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<sst xmlns="http://schemas.openxmlformats.org/spreadsheetml/2006/main" count="723" uniqueCount="289">
  <si>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</si>
  <si>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</si>
  <si>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</si>
  <si>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</si>
  <si>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</si>
  <si>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</si>
  <si>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</si>
  <si>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</si>
  <si>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</si>
  <si>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</si>
  <si>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</si>
  <si>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</si>
  <si>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</si>
  <si>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</si>
  <si>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</si>
  <si>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</si>
  <si>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</si>
  <si>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</si>
  <si>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</si>
  <si>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</si>
  <si>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</si>
  <si>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</si>
  <si>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</si>
  <si>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</si>
  <si>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</si>
  <si>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</si>
  <si>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</si>
  <si>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</si>
  <si>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</si>
  <si>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</si>
  <si>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</si>
  <si>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</si>
  <si>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</si>
  <si>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</si>
  <si>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</si>
  <si>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</si>
  <si>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</si>
  <si>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</si>
  <si>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</si>
  <si>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</si>
  <si>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</si>
  <si>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</si>
  <si>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</si>
  <si>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</si>
  <si>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</si>
  <si>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</si>
  <si>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</si>
  <si>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</si>
  <si>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</si>
  <si>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</si>
  <si>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</si>
  <si>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</si>
  <si>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</si>
  <si>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</si>
  <si>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</si>
  <si>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</si>
  <si>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</si>
  <si>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</si>
  <si>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</si>
  <si>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</si>
  <si>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</si>
  <si>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</si>
  <si>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</si>
  <si>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</si>
  <si>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</si>
  <si>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</si>
  <si>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</si>
  <si>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</si>
  <si>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</si>
  <si>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</si>
  <si>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</si>
  <si>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</si>
  <si>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</si>
  <si>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</si>
  <si>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</si>
  <si>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</si>
  <si>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</si>
  <si>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</si>
  <si>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</si>
  <si>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</si>
  <si>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</si>
  <si>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</si>
  <si>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</si>
  <si>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</si>
  <si>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</si>
  <si>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</si>
  <si>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</si>
  <si>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</si>
  <si>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</si>
  <si>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</si>
  <si>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</si>
  <si>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</si>
  <si>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</si>
  <si>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</si>
  <si>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</si>
  <si>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</si>
  <si>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</si>
  <si>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</si>
  <si>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</si>
  <si>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</si>
  <si>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</si>
  <si>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</si>
  <si>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</si>
  <si>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</si>
  <si>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</si>
  <si>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</si>
  <si>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</si>
  <si>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</si>
  <si>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</si>
  <si>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</si>
  <si>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</si>
  <si>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</si>
  <si>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</si>
  <si>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</si>
  <si>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</si>
  <si>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</si>
  <si>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</si>
  <si>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</si>
  <si>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</si>
  <si>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</si>
  <si>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</si>
  <si>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</si>
  <si>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</si>
  <si>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</si>
  <si>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</si>
  <si>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</si>
  <si>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</si>
  <si>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</si>
  <si>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</si>
  <si>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</si>
  <si>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</si>
  <si>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</si>
  <si>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</si>
  <si>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</si>
  <si>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</si>
  <si>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</si>
  <si>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</si>
  <si>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</si>
  <si>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</si>
  <si>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</si>
  <si>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</si>
  <si>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</si>
  <si>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</si>
  <si>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</si>
  <si>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</si>
  <si>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</si>
  <si>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</si>
  <si>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</si>
  <si>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</si>
  <si>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</si>
  <si>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</si>
  <si>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</si>
  <si>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</si>
  <si>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</si>
  <si>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</si>
  <si>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</si>
  <si>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</si>
  <si>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</si>
  <si>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</si>
  <si>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</si>
  <si>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</si>
  <si>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</si>
  <si>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</si>
  <si>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</si>
  <si>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</si>
  <si>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</si>
  <si>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</si>
  <si>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</si>
  <si>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</si>
  <si>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</si>
  <si>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</si>
  <si>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</si>
  <si>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</si>
  <si>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</si>
  <si>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</si>
  <si>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</si>
  <si>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</si>
  <si>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</si>
  <si>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</si>
  <si>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</si>
  <si>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</si>
  <si>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</si>
  <si>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</si>
  <si>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</si>
  <si>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</si>
  <si>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</si>
  <si>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</si>
  <si>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</si>
  <si>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</si>
  <si>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</si>
  <si>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</si>
  <si>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</si>
  <si>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</si>
  <si>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</si>
  <si>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</si>
  <si>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</si>
  <si>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</si>
  <si>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</si>
  <si>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</si>
  <si>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</si>
  <si>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</si>
  <si>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</si>
  <si>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</si>
  <si>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</si>
  <si>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</si>
  <si>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</si>
  <si>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</si>
  <si>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</si>
  <si>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</si>
  <si>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</si>
  <si>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</si>
  <si>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</si>
  <si>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</si>
  <si>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</si>
  <si>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</si>
  <si>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</si>
  <si>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</si>
  <si>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</si>
  <si>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</si>
  <si>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</si>
  <si>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</si>
  <si>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</si>
  <si>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</si>
  <si>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</si>
  <si>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</si>
  <si>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</si>
  <si>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</si>
  <si>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 xml:space="preserve">. </t>
  </si>
  <si>
    <t>Gibraltar</t>
  </si>
  <si>
    <t>Jamaica</t>
  </si>
  <si>
    <t>Ponderea, %</t>
  </si>
  <si>
    <t>Libia</t>
  </si>
  <si>
    <t>Zambia</t>
  </si>
  <si>
    <t>Swaziland</t>
  </si>
  <si>
    <t>Senegal</t>
  </si>
  <si>
    <t>de 2,9 ori</t>
  </si>
  <si>
    <t>ins.Bahamas</t>
  </si>
  <si>
    <t>Bosnia si Hertegovina</t>
  </si>
  <si>
    <t>Guinea</t>
  </si>
  <si>
    <t>Somalia</t>
  </si>
  <si>
    <t>de 2,3 ori</t>
  </si>
  <si>
    <t>Etiopia</t>
  </si>
  <si>
    <t>Cuba</t>
  </si>
  <si>
    <t>Arabia Saudita</t>
  </si>
  <si>
    <t>Sudan</t>
  </si>
  <si>
    <t>de 3,8 ori</t>
  </si>
  <si>
    <t>de 7,9 ori</t>
  </si>
  <si>
    <t>de 4,4 ori</t>
  </si>
  <si>
    <t>Rep.Dominicana</t>
  </si>
  <si>
    <t>Liechtenstein</t>
  </si>
  <si>
    <t>Trinidad Tobago</t>
  </si>
  <si>
    <t>de 4,6 ori</t>
  </si>
  <si>
    <t>Ianuarie-octombrie 2017</t>
  </si>
  <si>
    <t>în % faţă de ianuarie-octombrie 2016¹</t>
  </si>
  <si>
    <t>ianuarie-octombrie</t>
  </si>
  <si>
    <t>Ianuarie-octombrie</t>
  </si>
  <si>
    <t>Ianuarie-octombrie 2017    în % faţă de                          ianuarie-octombrie 2016</t>
  </si>
  <si>
    <t>Ianuarie-octombrie 2017 în % faţă de              ianuarie-octombrie 2016</t>
  </si>
  <si>
    <t>Romania</t>
  </si>
  <si>
    <t>Regatul Unit al Marii Britanii si Irlandei de Nord</t>
  </si>
  <si>
    <t>Franta</t>
  </si>
  <si>
    <t>Republica Ceha</t>
  </si>
  <si>
    <t>Croatia</t>
  </si>
  <si>
    <t>Federatia Rusa</t>
  </si>
  <si>
    <t>Kirgizstan</t>
  </si>
  <si>
    <t>Elvetia</t>
  </si>
  <si>
    <t>Montenegro</t>
  </si>
  <si>
    <t>de 147,2 ori</t>
  </si>
  <si>
    <t>de 48,7 ori</t>
  </si>
  <si>
    <t>de 2,7 ori</t>
  </si>
  <si>
    <t>de 12,6 ori</t>
  </si>
  <si>
    <t>de 10,3 ori</t>
  </si>
  <si>
    <t>de 821,7 ori</t>
  </si>
  <si>
    <t>de 7,1 ori</t>
  </si>
  <si>
    <t>Noua Zeelanda</t>
  </si>
  <si>
    <t>Mauritius</t>
  </si>
  <si>
    <t>Rep.Dominicană</t>
  </si>
  <si>
    <t>de 3,9 ori</t>
  </si>
  <si>
    <t>de 3,7 ori</t>
  </si>
  <si>
    <t>de 1700,6 ori</t>
  </si>
  <si>
    <t>de 5,7 ori</t>
  </si>
  <si>
    <t>de 10,0 ori</t>
  </si>
  <si>
    <t>de 19,7 ori</t>
  </si>
  <si>
    <t>de 46,6 ori</t>
  </si>
  <si>
    <t>de 209,0 ori</t>
  </si>
  <si>
    <t>de 4,9 ori</t>
  </si>
  <si>
    <t>de 42,9 ori</t>
  </si>
  <si>
    <t>de 204,1 ori</t>
  </si>
  <si>
    <t>de 208,7 ori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</si>
</sst>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5" fillId="0" borderId="0" xfId="0" applyNumberFormat="1" applyFont="1" applyAlignment="1">
      <alignment horizontal="right" vertical="top" wrapText="1"/>
    </xf>
    <xf numFmtId="164" fontId="15" fillId="0" borderId="14" xfId="0" applyNumberFormat="1" applyFont="1" applyFill="1" applyBorder="1" applyAlignment="1" applyProtection="1">
      <alignment horizontal="right" vertical="top"/>
      <protection/>
    </xf>
    <xf numFmtId="164" fontId="14" fillId="0" borderId="0" xfId="0" applyNumberFormat="1" applyFont="1" applyFill="1" applyAlignment="1" applyProtection="1">
      <alignment horizontal="right" vertical="top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4" fontId="11" fillId="0" borderId="10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9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3.75390625" style="16" customWidth="1"/>
    <col min="2" max="2" width="11.125" style="16" customWidth="1"/>
    <col min="3" max="3" width="10.00390625" style="16" customWidth="1"/>
    <col min="4" max="4" width="7.875" style="16" customWidth="1"/>
    <col min="5" max="5" width="7.625" style="16" customWidth="1"/>
    <col min="6" max="7" width="9.75390625" style="16" customWidth="1"/>
  </cols>
  <sheetData>
    <row r="1" spans="1:7" ht="15.75">
      <c r="A1" s="53" t="s">
        <v>28</v>
      </c>
      <c r="B1" s="53"/>
      <c r="C1" s="53"/>
      <c r="D1" s="53"/>
      <c r="E1" s="53"/>
      <c r="F1" s="53"/>
      <c r="G1" s="53"/>
    </row>
    <row r="3" spans="1:7" ht="55.5" customHeight="1">
      <c r="A3" s="54"/>
      <c r="B3" s="57" t="s">
        <v>252</v>
      </c>
      <c r="C3" s="58"/>
      <c r="D3" s="57" t="s">
        <v>230</v>
      </c>
      <c r="E3" s="58"/>
      <c r="F3" s="59" t="s">
        <v>1</v>
      </c>
      <c r="G3" s="60"/>
    </row>
    <row r="4" spans="1:7" ht="27" customHeight="1">
      <c r="A4" s="55"/>
      <c r="B4" s="61" t="s">
        <v>194</v>
      </c>
      <c r="C4" s="63" t="s">
        <v>253</v>
      </c>
      <c r="D4" s="65" t="s">
        <v>254</v>
      </c>
      <c r="E4" s="65"/>
      <c r="F4" s="65" t="s">
        <v>254</v>
      </c>
      <c r="G4" s="57"/>
    </row>
    <row r="5" spans="1:7" ht="31.5" customHeight="1">
      <c r="A5" s="56"/>
      <c r="B5" s="62"/>
      <c r="C5" s="64"/>
      <c r="D5" s="43">
        <v>2016</v>
      </c>
      <c r="E5" s="43">
        <v>2017</v>
      </c>
      <c r="F5" s="43" t="s">
        <v>2</v>
      </c>
      <c r="G5" s="42" t="s">
        <v>186</v>
      </c>
    </row>
    <row r="6" spans="1:7" ht="15.75" customHeight="1">
      <c r="A6" s="33" t="s">
        <v>31</v>
      </c>
      <c r="B6" s="34">
        <f>IF(1920023.18942="","-",1920023.18942)</f>
        <v>1920023.18942</v>
      </c>
      <c r="C6" s="34">
        <f>IF(1633487.06476="","-",1920023.18942/1633487.06476*100)</f>
        <v>117.5413770235211</v>
      </c>
      <c r="D6" s="34">
        <v>100</v>
      </c>
      <c r="E6" s="34">
        <v>100</v>
      </c>
      <c r="F6" s="34">
        <f>IF(1636115.84011="","-",(1633487.06476-1636115.84011)/1636115.84011*100)</f>
        <v>-0.1606717131852517</v>
      </c>
      <c r="G6" s="34">
        <f>IF(1633487.06476="","-",(1920023.18942-1633487.06476)/1633487.06476*100)</f>
        <v>17.541377023521108</v>
      </c>
    </row>
    <row r="7" spans="1:7" ht="13.5" customHeight="1">
      <c r="A7" s="14" t="s">
        <v>3</v>
      </c>
      <c r="B7" s="35"/>
      <c r="C7" s="36"/>
      <c r="D7" s="37"/>
      <c r="E7" s="37"/>
      <c r="F7" s="37"/>
      <c r="G7" s="37"/>
    </row>
    <row r="8" spans="1:7" ht="15.75" customHeight="1">
      <c r="A8" s="15" t="s">
        <v>4</v>
      </c>
      <c r="B8" s="26">
        <f>IF(1254551.47153="","-",1254551.47153)</f>
        <v>1254551.47153</v>
      </c>
      <c r="C8" s="26">
        <f>IF(1046517.06853="","-",1254551.47153/1046517.06853*100)</f>
        <v>119.87873960739289</v>
      </c>
      <c r="D8" s="26">
        <f>IF(1046517.06853="","-",1046517.06853/1633487.06476*100)</f>
        <v>64.06644356769115</v>
      </c>
      <c r="E8" s="26">
        <f>IF(1254551.47153="","-",1254551.47153/1920023.18942*100)</f>
        <v>65.34043330533808</v>
      </c>
      <c r="F8" s="26">
        <f>IF(1636115.84011="","-",(1046517.06853-1014703.13827)/1636115.84011*100)</f>
        <v>1.9444790814971344</v>
      </c>
      <c r="G8" s="26">
        <f>IF(1633487.06476="","-",(1254551.47153-1046517.06853)/1633487.06476*100)</f>
        <v>12.735601492538626</v>
      </c>
    </row>
    <row r="9" spans="1:7" s="29" customFormat="1" ht="15.75">
      <c r="A9" s="45" t="s">
        <v>5</v>
      </c>
      <c r="B9" s="27">
        <f>IF(480941.49931="","-",480941.49931)</f>
        <v>480941.49931</v>
      </c>
      <c r="C9" s="27">
        <f>IF(OR(409124.6452="",480941.49931=""),"-",480941.49931/409124.6452*100)</f>
        <v>117.55378341358352</v>
      </c>
      <c r="D9" s="27">
        <f>IF(409124.6452="","-",409124.6452/1633487.06476*100)</f>
        <v>25.046090295187657</v>
      </c>
      <c r="E9" s="27">
        <f>IF(480941.49931="","-",480941.49931/1920023.18942*100)</f>
        <v>25.048733888223644</v>
      </c>
      <c r="F9" s="27">
        <f>IF(OR(1636115.84011="",376464.08724="",409124.6452=""),"-",(409124.6452-376464.08724)/1636115.84011*100)</f>
        <v>1.9962252769219664</v>
      </c>
      <c r="G9" s="27">
        <f>IF(OR(1633487.06476="",480941.49931="",409124.6452=""),"-",(480941.49931-409124.6452)/1633487.06476*100)</f>
        <v>4.396536443987797</v>
      </c>
    </row>
    <row r="10" spans="1:7" s="29" customFormat="1" ht="15.75">
      <c r="A10" s="45" t="s">
        <v>6</v>
      </c>
      <c r="B10" s="27">
        <f>IF(185505.00436="","-",185505.00436)</f>
        <v>185505.00436</v>
      </c>
      <c r="C10" s="27">
        <f>IF(OR(161452.00157="",185505.00436=""),"-",185505.00436/161452.00157*100)</f>
        <v>114.89792790185476</v>
      </c>
      <c r="D10" s="27">
        <f>IF(161452.00157="","-",161452.00157/1633487.06476*100)</f>
        <v>9.883886138622183</v>
      </c>
      <c r="E10" s="27">
        <f>IF(185505.00436="","-",185505.00436/1920023.18942*100)</f>
        <v>9.661602285961832</v>
      </c>
      <c r="F10" s="27">
        <f>IF(OR(1636115.84011="",168652.598="",161452.00157=""),"-",(161452.00157-168652.598)/1636115.84011*100)</f>
        <v>-0.4401030937709088</v>
      </c>
      <c r="G10" s="27">
        <f>IF(OR(1633487.06476="",185505.00436="",161452.00157=""),"-",(185505.00436-161452.00157)/1633487.06476*100)</f>
        <v>1.4724942308333482</v>
      </c>
    </row>
    <row r="11" spans="1:7" s="29" customFormat="1" ht="15.75">
      <c r="A11" s="45" t="s">
        <v>7</v>
      </c>
      <c r="B11" s="27">
        <f>IF(127774.60884="","-",127774.60884)</f>
        <v>127774.60884</v>
      </c>
      <c r="C11" s="27">
        <f>IF(OR(102245.55462="",127774.60884=""),"-",127774.60884/102245.55462*100)</f>
        <v>124.96837570579946</v>
      </c>
      <c r="D11" s="27">
        <f>IF(102245.55462="","-",102245.55462/1633487.06476*100)</f>
        <v>6.259342778145746</v>
      </c>
      <c r="E11" s="27">
        <f>IF(127774.60884="","-",127774.60884/1920023.18942*100)</f>
        <v>6.6548471676843715</v>
      </c>
      <c r="F11" s="27">
        <f>IF(OR(1636115.84011="",97331.23025="",102245.55462=""),"-",(102245.55462-97331.23025)/1636115.84011*100)</f>
        <v>0.30036530724313504</v>
      </c>
      <c r="G11" s="27">
        <f>IF(OR(1633487.06476="",127774.60884="",102245.55462=""),"-",(127774.60884-102245.55462)/1633487.06476*100)</f>
        <v>1.562856221561256</v>
      </c>
    </row>
    <row r="12" spans="1:7" s="29" customFormat="1" ht="15.75">
      <c r="A12" s="45" t="s">
        <v>209</v>
      </c>
      <c r="B12" s="27">
        <f>IF(112573.67446="","-",112573.67446)</f>
        <v>112573.67446</v>
      </c>
      <c r="C12" s="27">
        <f>IF(OR(98637.96078="",112573.67446=""),"-",112573.67446/98637.96078*100)</f>
        <v>114.12814454982694</v>
      </c>
      <c r="D12" s="27">
        <f>IF(98637.96078="","-",98637.96078/1633487.06476*100)</f>
        <v>6.038490472802879</v>
      </c>
      <c r="E12" s="27">
        <f>IF(112573.67446="","-",112573.67446/1920023.18942*100)</f>
        <v>5.8631413974747995</v>
      </c>
      <c r="F12" s="27">
        <f>IF(OR(1636115.84011="",120796.61732="",98637.96078=""),"-",(98637.96078-120796.61732)/1636115.84011*100)</f>
        <v>-1.354345211798098</v>
      </c>
      <c r="G12" s="27">
        <f>IF(OR(1633487.06476="",112573.67446="",98637.96078=""),"-",(112573.67446-98637.96078)/1633487.06476*100)</f>
        <v>0.8531266626251187</v>
      </c>
    </row>
    <row r="13" spans="1:7" s="29" customFormat="1" ht="15.75">
      <c r="A13" s="45" t="s">
        <v>8</v>
      </c>
      <c r="B13" s="27">
        <f>IF(76097.08473="","-",76097.08473)</f>
        <v>76097.08473</v>
      </c>
      <c r="C13" s="27">
        <f>IF(OR(57557.28564="",76097.08473=""),"-",76097.08473/57557.28564*100)</f>
        <v>132.2110378970262</v>
      </c>
      <c r="D13" s="27">
        <f>IF(57557.28564="","-",57557.28564/1633487.06476*100)</f>
        <v>3.5235838031234485</v>
      </c>
      <c r="E13" s="27">
        <f>IF(76097.08473="","-",76097.08473/1920023.18942*100)</f>
        <v>3.9633419611451353</v>
      </c>
      <c r="F13" s="27">
        <f>IF(OR(1636115.84011="",54567.80061="",57557.28564=""),"-",(57557.28564-54567.80061)/1636115.84011*100)</f>
        <v>0.18271842107457462</v>
      </c>
      <c r="G13" s="27">
        <f>IF(OR(1633487.06476="",76097.08473="",57557.28564=""),"-",(76097.08473-57557.28564)/1633487.06476*100)</f>
        <v>1.13498291415757</v>
      </c>
    </row>
    <row r="14" spans="1:7" s="29" customFormat="1" ht="15.75">
      <c r="A14" s="45" t="s">
        <v>9</v>
      </c>
      <c r="B14" s="27">
        <f>IF(64791.29026="","-",64791.29026)</f>
        <v>64791.29026</v>
      </c>
      <c r="C14" s="27">
        <f>IF(OR(53232.64884="",64791.29026=""),"-",64791.29026/53232.64884*100)</f>
        <v>121.71344404585523</v>
      </c>
      <c r="D14" s="27">
        <f>IF(53232.64884="","-",53232.64884/1633487.06476*100)</f>
        <v>3.258835039983693</v>
      </c>
      <c r="E14" s="27">
        <f>IF(64791.29026="","-",64791.29026/1920023.18942*100)</f>
        <v>3.374505611027132</v>
      </c>
      <c r="F14" s="27">
        <f>IF(OR(1636115.84011="",22676.79985="",53232.64884=""),"-",(53232.64884-22676.79985)/1636115.84011*100)</f>
        <v>1.8675846930218378</v>
      </c>
      <c r="G14" s="27">
        <f>IF(OR(1633487.06476="",64791.29026="",53232.64884=""),"-",(64791.29026-53232.64884)/1633487.06476*100)</f>
        <v>0.7076053229535829</v>
      </c>
    </row>
    <row r="15" spans="1:7" s="31" customFormat="1" ht="15.75">
      <c r="A15" s="45" t="s">
        <v>200</v>
      </c>
      <c r="B15" s="27">
        <f>IF(33598.22948="","-",33598.22948)</f>
        <v>33598.22948</v>
      </c>
      <c r="C15" s="27">
        <f>IF(OR(32059.31231="",33598.22948=""),"-",33598.22948/32059.31231*100)</f>
        <v>104.8002189040093</v>
      </c>
      <c r="D15" s="27">
        <f>IF(32059.31231="","-",32059.31231/1633487.06476*100)</f>
        <v>1.9626303141072203</v>
      </c>
      <c r="E15" s="27">
        <f>IF(33598.22948="","-",33598.22948/1920023.18942*100)</f>
        <v>1.7498866505955766</v>
      </c>
      <c r="F15" s="27">
        <f>IF(OR(1636115.84011="",30791.15093="",32059.31231=""),"-",(32059.31231-30791.15093)/1636115.84011*100)</f>
        <v>0.0775104884941851</v>
      </c>
      <c r="G15" s="27">
        <f>IF(OR(1633487.06476="",33598.22948="",32059.31231=""),"-",(33598.22948-32059.31231)/1633487.06476*100)</f>
        <v>0.0942105513535919</v>
      </c>
    </row>
    <row r="16" spans="1:7" s="29" customFormat="1" ht="15.75">
      <c r="A16" s="45" t="s">
        <v>11</v>
      </c>
      <c r="B16" s="27">
        <f>IF(31341.6287="","-",31341.6287)</f>
        <v>31341.6287</v>
      </c>
      <c r="C16" s="27" t="s">
        <v>215</v>
      </c>
      <c r="D16" s="27">
        <f>IF(19765.31081="","-",19765.31081/1633487.06476*100)</f>
        <v>1.2100071825731913</v>
      </c>
      <c r="E16" s="27">
        <f>IF(31341.6287="","-",31341.6287/1920023.18942*100)</f>
        <v>1.6323567794755474</v>
      </c>
      <c r="F16" s="27">
        <f>IF(OR(1636115.84011="",18925.65751="",19765.31081=""),"-",(19765.31081-18925.65751)/1636115.84011*100)</f>
        <v>0.05131991753979634</v>
      </c>
      <c r="G16" s="27">
        <f>IF(OR(1633487.06476="",31341.6287="",19765.31081=""),"-",(31341.6287-19765.31081)/1633487.06476*100)</f>
        <v>0.7086874539591688</v>
      </c>
    </row>
    <row r="17" spans="1:7" s="29" customFormat="1" ht="15.75">
      <c r="A17" s="45" t="s">
        <v>12</v>
      </c>
      <c r="B17" s="27">
        <f>IF(24915.50694="","-",24915.50694)</f>
        <v>24915.50694</v>
      </c>
      <c r="C17" s="27">
        <f>IF(OR(19342.52521="",24915.50694=""),"-",24915.50694/19342.52521*100)</f>
        <v>128.81206910418703</v>
      </c>
      <c r="D17" s="27">
        <f>IF(19342.52521="","-",19342.52521/1633487.06476*100)</f>
        <v>1.184124786004467</v>
      </c>
      <c r="E17" s="27">
        <f>IF(24915.50694="","-",24915.50694/1920023.18942*100)</f>
        <v>1.2976669801330092</v>
      </c>
      <c r="F17" s="27">
        <f>IF(OR(1636115.84011="",21048.94155="",19342.52521=""),"-",(19342.52521-21048.94155)/1636115.84011*100)</f>
        <v>-0.10429679232769198</v>
      </c>
      <c r="G17" s="27">
        <f>IF(OR(1633487.06476="",24915.50694="",19342.52521=""),"-",(24915.50694-19342.52521)/1633487.06476*100)</f>
        <v>0.34117085162341393</v>
      </c>
    </row>
    <row r="18" spans="1:7" s="29" customFormat="1" ht="15.75">
      <c r="A18" s="45" t="s">
        <v>10</v>
      </c>
      <c r="B18" s="27">
        <f>IF(24305.35429="","-",24305.35429)</f>
        <v>24305.35429</v>
      </c>
      <c r="C18" s="27">
        <f>IF(OR(24011.74072="",24305.35429=""),"-",24305.35429/24011.74072*100)</f>
        <v>101.22279168938151</v>
      </c>
      <c r="D18" s="27">
        <f>IF(24011.74072="","-",24011.74072/1633487.06476*100)</f>
        <v>1.4699682194011083</v>
      </c>
      <c r="E18" s="27">
        <f>IF(24305.35429="","-",24305.35429/1920023.18942*100)</f>
        <v>1.2658885800927306</v>
      </c>
      <c r="F18" s="27">
        <f>IF(OR(1636115.84011="",23109.27666="",24011.74072=""),"-",(24011.74072-23109.27666)/1636115.84011*100)</f>
        <v>0.05515893421943322</v>
      </c>
      <c r="G18" s="27">
        <f>IF(OR(1633487.06476="",24305.35429="",24011.74072=""),"-",(24305.35429-24011.74072)/1633487.06476*100)</f>
        <v>0.01797464922338622</v>
      </c>
    </row>
    <row r="19" spans="1:7" s="29" customFormat="1" ht="15.75">
      <c r="A19" s="45" t="s">
        <v>123</v>
      </c>
      <c r="B19" s="27">
        <f>IF(21404.75103="","-",21404.75103)</f>
        <v>21404.75103</v>
      </c>
      <c r="C19" s="27" t="s">
        <v>198</v>
      </c>
      <c r="D19" s="27">
        <f>IF(8249.0336="","-",8249.0336/1633487.06476*100)</f>
        <v>0.5049953426605182</v>
      </c>
      <c r="E19" s="27">
        <f>IF(21404.75103="","-",21404.75103/1920023.18942*100)</f>
        <v>1.114817318246346</v>
      </c>
      <c r="F19" s="27">
        <f>IF(OR(1636115.84011="",8030.08513="",8249.0336=""),"-",(8249.0336-8030.08513)/1636115.84011*100)</f>
        <v>0.01338221075992271</v>
      </c>
      <c r="G19" s="27">
        <f>IF(OR(1633487.06476="",21404.75103="",8249.0336=""),"-",(21404.75103-8249.0336)/1633487.06476*100)</f>
        <v>0.8053762845029264</v>
      </c>
    </row>
    <row r="20" spans="1:7" s="29" customFormat="1" ht="15.75">
      <c r="A20" s="45" t="s">
        <v>13</v>
      </c>
      <c r="B20" s="27">
        <f>IF(19133.54106="","-",19133.54106)</f>
        <v>19133.54106</v>
      </c>
      <c r="C20" s="27">
        <f>IF(OR(21859.36771="",19133.54106=""),"-",19133.54106/21859.36771*100)</f>
        <v>87.53016699219064</v>
      </c>
      <c r="D20" s="27">
        <f>IF(21859.36771="","-",21859.36771/1633487.06476*100)</f>
        <v>1.3382026819546124</v>
      </c>
      <c r="E20" s="27">
        <f>IF(19133.54106="","-",19133.54106/1920023.18942*100)</f>
        <v>0.9965265610036643</v>
      </c>
      <c r="F20" s="27">
        <f>IF(OR(1636115.84011="",20576.16877="",21859.36771=""),"-",(21859.36771-20576.16877)/1636115.84011*100)</f>
        <v>0.07842958967463612</v>
      </c>
      <c r="G20" s="27">
        <f>IF(OR(1633487.06476="",19133.54106="",21859.36771=""),"-",(19133.54106-21859.36771)/1633487.06476*100)</f>
        <v>-0.16687163974576627</v>
      </c>
    </row>
    <row r="21" spans="1:7" s="29" customFormat="1" ht="15.75">
      <c r="A21" s="45" t="s">
        <v>124</v>
      </c>
      <c r="B21" s="27">
        <f>IF(10421.89298="","-",10421.89298)</f>
        <v>10421.89298</v>
      </c>
      <c r="C21" s="27">
        <f>IF(OR(7912.279="",10421.89298=""),"-",10421.89298/7912.279*100)</f>
        <v>131.7179662142854</v>
      </c>
      <c r="D21" s="27">
        <f>IF(7912.279="","-",7912.279/1633487.06476*100)</f>
        <v>0.48437965446408426</v>
      </c>
      <c r="E21" s="27">
        <f>IF(10421.89298="","-",10421.89298/1920023.18942*100)</f>
        <v>0.5428003701949163</v>
      </c>
      <c r="F21" s="27">
        <f>IF(OR(1636115.84011="",7852.46073="",7912.279=""),"-",(7912.279-7852.46073)/1636115.84011*100)</f>
        <v>0.0036561145936939857</v>
      </c>
      <c r="G21" s="27">
        <f>IF(OR(1633487.06476="",10421.89298="",7912.279=""),"-",(10421.89298-7912.279)/1633487.06476*100)</f>
        <v>0.15363537515179068</v>
      </c>
    </row>
    <row r="22" spans="1:7" s="16" customFormat="1" ht="15.75">
      <c r="A22" s="45" t="s">
        <v>127</v>
      </c>
      <c r="B22" s="27">
        <f>IF(8374.82237="","-",8374.82237)</f>
        <v>8374.82237</v>
      </c>
      <c r="C22" s="27">
        <f>IF(OR(5932.414="",8374.82237=""),"-",8374.82237/5932.414*100)</f>
        <v>141.17056513587892</v>
      </c>
      <c r="D22" s="27">
        <f>IF(5932.414="","-",5932.414/1633487.06476*100)</f>
        <v>0.36317483792696087</v>
      </c>
      <c r="E22" s="27">
        <f>IF(8374.82237="","-",8374.82237/1920023.18942*100)</f>
        <v>0.436183396958339</v>
      </c>
      <c r="F22" s="27">
        <f>IF(OR(1636115.84011="",7328.00633="",5932.414=""),"-",(5932.414-7328.00633)/1636115.84011*100)</f>
        <v>-0.0852991148784533</v>
      </c>
      <c r="G22" s="27">
        <f>IF(OR(1633487.06476="",8374.82237="",5932.414=""),"-",(8374.82237-5932.414)/1633487.06476*100)</f>
        <v>0.14952113320584212</v>
      </c>
    </row>
    <row r="23" spans="1:7" s="16" customFormat="1" ht="15.75">
      <c r="A23" s="45" t="s">
        <v>125</v>
      </c>
      <c r="B23" s="27">
        <f>IF(8190.78547="","-",8190.78547)</f>
        <v>8190.78547</v>
      </c>
      <c r="C23" s="27">
        <f>IF(OR(5986.43718="",8190.78547=""),"-",8190.78547/5986.43718*100)</f>
        <v>136.8223740385095</v>
      </c>
      <c r="D23" s="27">
        <f>IF(5986.43718="","-",5986.43718/1633487.06476*100)</f>
        <v>0.36648206827885454</v>
      </c>
      <c r="E23" s="27">
        <f>IF(8190.78547="","-",8190.78547/1920023.18942*100)</f>
        <v>0.4265982575176225</v>
      </c>
      <c r="F23" s="27">
        <f>IF(OR(1636115.84011="",3565.51772="",5986.43718=""),"-",(5986.43718-3565.51772)/1636115.84011*100)</f>
        <v>0.14796748498182355</v>
      </c>
      <c r="G23" s="27">
        <f>IF(OR(1633487.06476="",8190.78547="",5986.43718=""),"-",(8190.78547-5986.43718)/1633487.06476*100)</f>
        <v>0.13494739796570557</v>
      </c>
    </row>
    <row r="24" spans="1:7" s="29" customFormat="1" ht="15.75">
      <c r="A24" s="45" t="s">
        <v>130</v>
      </c>
      <c r="B24" s="27">
        <f>IF(6714.12157="","-",6714.12157)</f>
        <v>6714.12157</v>
      </c>
      <c r="C24" s="27" t="s">
        <v>198</v>
      </c>
      <c r="D24" s="27">
        <f>IF(2588.9365="","-",2588.9365/1633487.06476*100)</f>
        <v>0.15849139891293715</v>
      </c>
      <c r="E24" s="27">
        <f>IF(6714.12157="","-",6714.12157/1920023.18942*100)</f>
        <v>0.34968960828166873</v>
      </c>
      <c r="F24" s="27">
        <f>IF(OR(1636115.84011="",6896.92379="",2588.9365=""),"-",(2588.9365-6896.92379)/1636115.84011*100)</f>
        <v>-0.2633057626109386</v>
      </c>
      <c r="G24" s="27">
        <f>IF(OR(1633487.06476="",6714.12157="",2588.9365=""),"-",(6714.12157-2588.9365)/1633487.06476*100)</f>
        <v>0.25253858196949314</v>
      </c>
    </row>
    <row r="25" spans="1:7" s="29" customFormat="1" ht="15.75">
      <c r="A25" s="45" t="s">
        <v>126</v>
      </c>
      <c r="B25" s="27">
        <f>IF(6689.53318="","-",6689.53318)</f>
        <v>6689.53318</v>
      </c>
      <c r="C25" s="27">
        <f>IF(OR(5867.92629="",6689.53318=""),"-",6689.53318/5867.92629*100)</f>
        <v>114.00165662271809</v>
      </c>
      <c r="D25" s="27">
        <f>IF(5867.92629="","-",5867.92629/1633487.06476*100)</f>
        <v>0.3592269823613293</v>
      </c>
      <c r="E25" s="27">
        <f>IF(6689.53318="","-",6689.53318/1920023.18942*100)</f>
        <v>0.3484089784363892</v>
      </c>
      <c r="F25" s="27">
        <f>IF(OR(1636115.84011="",7064.42244="",5867.92629=""),"-",(5867.92629-7064.42244)/1636115.84011*100)</f>
        <v>-0.07313028336181604</v>
      </c>
      <c r="G25" s="27">
        <f>IF(OR(1633487.06476="",6689.53318="",5867.92629=""),"-",(6689.53318-5867.92629)/1633487.06476*100)</f>
        <v>0.05029772856638535</v>
      </c>
    </row>
    <row r="26" spans="1:7" s="16" customFormat="1" ht="15.75">
      <c r="A26" s="45" t="s">
        <v>128</v>
      </c>
      <c r="B26" s="27">
        <f>IF(4690.53543="","-",4690.53543)</f>
        <v>4690.53543</v>
      </c>
      <c r="C26" s="27">
        <f>IF(OR(4179.5393="",4690.53543=""),"-",4690.53543/4179.5393*100)</f>
        <v>112.22613530634821</v>
      </c>
      <c r="D26" s="27">
        <f>IF(4179.5393="","-",4179.5393/1633487.06476*100)</f>
        <v>0.25586607878122863</v>
      </c>
      <c r="E26" s="27">
        <f>IF(4690.53543="","-",4690.53543/1920023.18942*100)</f>
        <v>0.24429576975145365</v>
      </c>
      <c r="F26" s="27">
        <f>IF(OR(1636115.84011="",9586.2117="",4179.5393=""),"-",(4179.5393-9586.2117)/1636115.84011*100)</f>
        <v>-0.33045779934729413</v>
      </c>
      <c r="G26" s="27">
        <f>IF(OR(1633487.06476="",4690.53543="",4179.5393=""),"-",(4690.53543-4179.5393)/1633487.06476*100)</f>
        <v>0.03128253299484056</v>
      </c>
    </row>
    <row r="27" spans="1:7" s="16" customFormat="1" ht="15.75">
      <c r="A27" s="45" t="s">
        <v>129</v>
      </c>
      <c r="B27" s="27">
        <f>IF(2684.3069="","-",2684.3069)</f>
        <v>2684.3069</v>
      </c>
      <c r="C27" s="27">
        <f>IF(OR(2986.35129="",2684.3069=""),"-",2684.3069/2986.35129*100)</f>
        <v>89.88583858130099</v>
      </c>
      <c r="D27" s="27">
        <f>IF(2986.35129="","-",2986.35129/1633487.06476*100)</f>
        <v>0.1828206267699322</v>
      </c>
      <c r="E27" s="27">
        <f>IF(2684.3069="","-",2684.3069/1920023.18942*100)</f>
        <v>0.13980596249000904</v>
      </c>
      <c r="F27" s="27">
        <f>IF(OR(1636115.84011="",3303.70239="",2986.35129=""),"-",(2986.35129-3303.70239)/1636115.84011*100)</f>
        <v>-0.019396615583078983</v>
      </c>
      <c r="G27" s="27">
        <f>IF(OR(1633487.06476="",2684.3069="",2986.35129=""),"-",(2684.3069-2986.35129)/1633487.06476*100)</f>
        <v>-0.018490773298188184</v>
      </c>
    </row>
    <row r="28" spans="1:7" s="16" customFormat="1" ht="15.75">
      <c r="A28" s="45" t="s">
        <v>131</v>
      </c>
      <c r="B28" s="27">
        <f>IF(1156.50875="","-",1156.50875)</f>
        <v>1156.50875</v>
      </c>
      <c r="C28" s="27">
        <f>IF(OR(1043.40648="",1156.50875=""),"-",1156.50875/1043.40648*100)</f>
        <v>110.83971320553808</v>
      </c>
      <c r="D28" s="27">
        <f>IF(1043.40648="","-",1043.40648/1633487.06476*100)</f>
        <v>0.0638760172951417</v>
      </c>
      <c r="E28" s="27">
        <f>IF(1156.50875="","-",1156.50875/1920023.18942*100)</f>
        <v>0.06023410323233428</v>
      </c>
      <c r="F28" s="27">
        <f>IF(OR(1636115.84011="",2270.05021="",1043.40648=""),"-",(1043.40648-2270.05021)/1636115.84011*100)</f>
        <v>-0.07497291450448457</v>
      </c>
      <c r="G28" s="27">
        <f>IF(OR(1633487.06476="",1156.50875="",1043.40648=""),"-",(1156.50875-1043.40648)/1633487.06476*100)</f>
        <v>0.006923977081913252</v>
      </c>
    </row>
    <row r="29" spans="1:7" s="16" customFormat="1" ht="15.75">
      <c r="A29" s="45" t="s">
        <v>133</v>
      </c>
      <c r="B29" s="27">
        <f>IF(918.53794="","-",918.53794)</f>
        <v>918.53794</v>
      </c>
      <c r="C29" s="27">
        <f>IF(OR(623.86665="",918.53794=""),"-",918.53794/623.86665*100)</f>
        <v>147.2330569361257</v>
      </c>
      <c r="D29" s="27">
        <f>IF(623.86665="","-",623.86665/1633487.06476*100)</f>
        <v>0.038192322636583696</v>
      </c>
      <c r="E29" s="27">
        <f>IF(918.53794="","-",918.53794/1920023.18942*100)</f>
        <v>0.04783993990601081</v>
      </c>
      <c r="F29" s="27">
        <f>IF(OR(1636115.84011="",2338.80797="",623.86665=""),"-",(623.86665-2338.80797)/1636115.84011*100)</f>
        <v>-0.10481784223082276</v>
      </c>
      <c r="G29" s="27">
        <f>IF(OR(1633487.06476="",918.53794="",623.86665=""),"-",(918.53794-623.86665)/1633487.06476*100)</f>
        <v>0.018039401496166396</v>
      </c>
    </row>
    <row r="30" spans="1:7" s="16" customFormat="1" ht="15.75">
      <c r="A30" s="45" t="s">
        <v>201</v>
      </c>
      <c r="B30" s="27">
        <f>IF(686.23523="","-",686.23523)</f>
        <v>686.23523</v>
      </c>
      <c r="C30" s="27" t="s">
        <v>245</v>
      </c>
      <c r="D30" s="27">
        <f>IF(182.10966="","-",182.10966/1633487.06476*100)</f>
        <v>0.011148521707256767</v>
      </c>
      <c r="E30" s="27">
        <f>IF(686.23523="","-",686.23523/1920023.18942*100)</f>
        <v>0.03574098655586018</v>
      </c>
      <c r="F30" s="27">
        <f>IF(OR(1636115.84011="",192.20256="",182.10966=""),"-",(182.10966-192.20256)/1636115.84011*100)</f>
        <v>-0.0006168817483804475</v>
      </c>
      <c r="G30" s="27">
        <f>IF(OR(1633487.06476="",686.23523="",182.10966=""),"-",(686.23523-182.10966)/1633487.06476*100)</f>
        <v>0.03086192605229284</v>
      </c>
    </row>
    <row r="31" spans="1:7" s="16" customFormat="1" ht="15.75">
      <c r="A31" s="45" t="s">
        <v>134</v>
      </c>
      <c r="B31" s="27">
        <f>IF(643.60723="","-",643.60723)</f>
        <v>643.60723</v>
      </c>
      <c r="C31" s="27" t="s">
        <v>240</v>
      </c>
      <c r="D31" s="27">
        <f>IF(284.01166="","-",284.01166/1633487.06476*100)</f>
        <v>0.017386832508632592</v>
      </c>
      <c r="E31" s="27">
        <f>IF(643.60723="","-",643.60723/1920023.18942*100)</f>
        <v>0.03352080503748607</v>
      </c>
      <c r="F31" s="27">
        <f>IF(OR(1636115.84011="",106.97958="",284.01166=""),"-",(284.01166-106.97958)/1636115.84011*100)</f>
        <v>0.01082026563523141</v>
      </c>
      <c r="G31" s="27">
        <f>IF(OR(1633487.06476="",643.60723="",284.01166=""),"-",(643.60723-284.01166)/1633487.06476*100)</f>
        <v>0.02201398332179836</v>
      </c>
    </row>
    <row r="32" spans="1:7" s="16" customFormat="1" ht="15.75">
      <c r="A32" s="45" t="s">
        <v>136</v>
      </c>
      <c r="B32" s="27">
        <f>IF(614.41806="","-",614.41806)</f>
        <v>614.41806</v>
      </c>
      <c r="C32" s="27" t="s">
        <v>208</v>
      </c>
      <c r="D32" s="27">
        <f>IF(198.79953="","-",198.79953/1633487.06476*100)</f>
        <v>0.012170254315984353</v>
      </c>
      <c r="E32" s="27">
        <f>IF(614.41806="","-",614.41806/1920023.18942*100)</f>
        <v>0.03200055412797401</v>
      </c>
      <c r="F32" s="27">
        <f>IF(OR(1636115.84011="",215.82557="",198.79953=""),"-",(198.79953-215.82557)/1636115.84011*100)</f>
        <v>-0.00104063780709166</v>
      </c>
      <c r="G32" s="27">
        <f>IF(OR(1633487.06476="",614.41806="",198.79953=""),"-",(614.41806-198.79953)/1633487.06476*100)</f>
        <v>0.025443637661193525</v>
      </c>
    </row>
    <row r="33" spans="1:7" s="16" customFormat="1" ht="15.75">
      <c r="A33" s="45" t="s">
        <v>135</v>
      </c>
      <c r="B33" s="27">
        <f>IF(247.44813="","-",247.44813)</f>
        <v>247.44813</v>
      </c>
      <c r="C33" s="27">
        <f>IF(OR(370.0448="",247.44813=""),"-",247.44813/370.0448*100)</f>
        <v>66.86977630816592</v>
      </c>
      <c r="D33" s="27">
        <f>IF(370.0448="","-",370.0448/1633487.06476*100)</f>
        <v>0.022653671889000776</v>
      </c>
      <c r="E33" s="27">
        <f>IF(247.44813="","-",247.44813/1920023.18942*100)</f>
        <v>0.012887767781322945</v>
      </c>
      <c r="F33" s="27">
        <f>IF(OR(1636115.84011="",288.98211="",370.0448=""),"-",(370.0448-288.98211)/1636115.84011*100)</f>
        <v>0.004954581332978843</v>
      </c>
      <c r="G33" s="27">
        <f>IF(OR(1633487.06476="",247.44813="",370.0448=""),"-",(247.44813-370.0448)/1633487.06476*100)</f>
        <v>-0.00750521217124009</v>
      </c>
    </row>
    <row r="34" spans="1:7" s="16" customFormat="1" ht="15.75">
      <c r="A34" s="45" t="s">
        <v>132</v>
      </c>
      <c r="B34" s="27">
        <f>IF(87.26865="","-",87.26865)</f>
        <v>87.26865</v>
      </c>
      <c r="C34" s="27">
        <f>IF(OR(649.52027="",87.26865=""),"-",87.26865/649.52027*100)</f>
        <v>13.43586244044393</v>
      </c>
      <c r="D34" s="27">
        <f>IF(649.52027="","-",649.52027/1633487.06476*100)</f>
        <v>0.03976280461672531</v>
      </c>
      <c r="E34" s="27">
        <f>IF(87.26865="","-",87.26865/1920023.18942*100)</f>
        <v>0.004545187291532769</v>
      </c>
      <c r="F34" s="27">
        <f>IF(OR(1636115.84011="",75.81269="",649.52027=""),"-",(649.52027-75.81269)/1636115.84011*100)</f>
        <v>0.03506521762917644</v>
      </c>
      <c r="G34" s="27">
        <f>IF(OR(1633487.06476="",87.26865="",649.52027=""),"-",(87.26865-649.52027)/1633487.06476*100)</f>
        <v>-0.03442032888595961</v>
      </c>
    </row>
    <row r="35" spans="1:7" s="16" customFormat="1" ht="15.75">
      <c r="A35" s="45" t="s">
        <v>137</v>
      </c>
      <c r="B35" s="27">
        <f>IF(33.01571="","-",33.01571)</f>
        <v>33.01571</v>
      </c>
      <c r="C35" s="27">
        <f>IF(OR(98.8475="",33.01571=""),"-",33.01571/98.8475*100)</f>
        <v>33.40065252029641</v>
      </c>
      <c r="D35" s="27">
        <f>IF(98.8475="","-",98.8475/1633487.06476*100)</f>
        <v>0.006051318197277746</v>
      </c>
      <c r="E35" s="27">
        <f>IF(33.01571="","-",33.01571/1920023.18942*100)</f>
        <v>0.0017195474607769386</v>
      </c>
      <c r="F35" s="27">
        <f>IF(OR(1636115.84011="",353.50797="",98.8475=""),"-",(98.8475-353.50797)/1636115.84011*100)</f>
        <v>-0.015564941293085858</v>
      </c>
      <c r="G35" s="27">
        <f>IF(OR(1633487.06476="",33.01571="",98.8475=""),"-",(33.01571-98.8475)/1633487.06476*100)</f>
        <v>-0.004030138433307541</v>
      </c>
    </row>
    <row r="36" spans="1:7" s="16" customFormat="1" ht="15.75">
      <c r="A36" s="45" t="s">
        <v>138</v>
      </c>
      <c r="B36" s="27">
        <f>IF(16.26047="","-",16.26047)</f>
        <v>16.26047</v>
      </c>
      <c r="C36" s="27">
        <f>IF(OR(75.19141="",16.26047=""),"-",16.26047/75.19141*100)</f>
        <v>21.625435671441725</v>
      </c>
      <c r="D36" s="27">
        <f>IF(75.19141="","-",75.19141/1633487.06476*100)</f>
        <v>0.0046031224625000325</v>
      </c>
      <c r="E36" s="27">
        <f>IF(16.26047="","-",16.26047/1920023.18942*100)</f>
        <v>0.0008468892505882682</v>
      </c>
      <c r="F36" s="27">
        <f>IF(OR(1636115.84011="",293.31069="",75.19141=""),"-",(75.19141-293.31069)/1636115.84011*100)</f>
        <v>-0.01333153036311508</v>
      </c>
      <c r="G36" s="27">
        <f>IF(OR(1633487.06476="",16.26047="",75.19141=""),"-",(16.26047-75.19141)/1633487.06476*100)</f>
        <v>-0.0036076771754944034</v>
      </c>
    </row>
    <row r="37" spans="1:7" s="16" customFormat="1" ht="14.25" customHeight="1">
      <c r="A37" s="15" t="s">
        <v>14</v>
      </c>
      <c r="B37" s="26">
        <f>IF(379996.14512="","-",379996.14512)</f>
        <v>379996.14512</v>
      </c>
      <c r="C37" s="26">
        <f>IF(343430.66613="","-",379996.14512/343430.66613*100)</f>
        <v>110.64712112114027</v>
      </c>
      <c r="D37" s="26">
        <f>IF(343430.66613="","-",343430.66613/1633487.06476*100)</f>
        <v>21.024388471693136</v>
      </c>
      <c r="E37" s="26">
        <f>IF(379996.14512="","-",379996.14512/1920023.18942*100)</f>
        <v>19.791226856733388</v>
      </c>
      <c r="F37" s="26">
        <f>IF(1636115.84011="","-",(343430.66613-415582.4625)/1636115.84011*100)</f>
        <v>-4.4099442472941925</v>
      </c>
      <c r="G37" s="26">
        <f>IF(1633487.06476="","-",(379996.14512-343430.66613)/1633487.06476*100)</f>
        <v>2.238492105560221</v>
      </c>
    </row>
    <row r="38" spans="1:7" s="30" customFormat="1" ht="14.25" customHeight="1">
      <c r="A38" s="45" t="s">
        <v>210</v>
      </c>
      <c r="B38" s="27">
        <f>IF(208778.87264="","-",208778.87264)</f>
        <v>208778.87264</v>
      </c>
      <c r="C38" s="27">
        <f>IF(OR(194636.79387="",208778.87264=""),"-",208778.87264/194636.79387*100)</f>
        <v>107.26588148561757</v>
      </c>
      <c r="D38" s="27">
        <f>IF(194636.79387="","-",194636.79387/1633487.06476*100)</f>
        <v>11.91541690589371</v>
      </c>
      <c r="E38" s="27">
        <f>IF(208778.87264="","-",208778.87264/1920023.18942*100)</f>
        <v>10.873768285218882</v>
      </c>
      <c r="F38" s="27">
        <f>IF(OR(1636115.84011="",202677.17698="",194636.79387=""),"-",(194636.79387-202677.17698)/1636115.84011*100)</f>
        <v>-0.491431163545206</v>
      </c>
      <c r="G38" s="27">
        <f>IF(OR(1633487.06476="",208778.87264="",194636.79387=""),"-",(208778.87264-194636.79387)/1633487.06476*100)</f>
        <v>0.8657600708994789</v>
      </c>
    </row>
    <row r="39" spans="1:7" s="30" customFormat="1" ht="14.25" customHeight="1">
      <c r="A39" s="45" t="s">
        <v>15</v>
      </c>
      <c r="B39" s="27">
        <f>IF(91518.02927="","-",91518.02927)</f>
        <v>91518.02927</v>
      </c>
      <c r="C39" s="27">
        <f>IF(OR(85827.35394="",91518.02927=""),"-",91518.02927/85827.35394*100)</f>
        <v>106.63037489653733</v>
      </c>
      <c r="D39" s="27">
        <f>IF(85827.35394="","-",85827.35394/1633487.06476*100)</f>
        <v>5.254241419573787</v>
      </c>
      <c r="E39" s="27">
        <f>IF(91518.02927="","-",91518.02927/1920023.18942*100)</f>
        <v>4.766506455458266</v>
      </c>
      <c r="F39" s="27">
        <f>IF(OR(1636115.84011="",108915.40499="",85827.35394=""),"-",(85827.35394-108915.40499)/1636115.84011*100)</f>
        <v>-1.4111501449950958</v>
      </c>
      <c r="G39" s="27">
        <f>IF(OR(1633487.06476="",91518.02927="",85827.35394=""),"-",(91518.02927-85827.35394)/1633487.06476*100)</f>
        <v>0.3483759040868867</v>
      </c>
    </row>
    <row r="40" spans="1:7" s="30" customFormat="1" ht="14.25" customHeight="1">
      <c r="A40" s="45" t="s">
        <v>16</v>
      </c>
      <c r="B40" s="27">
        <f>IF(54290.9067999999="","-",54290.9067999999)</f>
        <v>54290.9067999999</v>
      </c>
      <c r="C40" s="27">
        <f>IF(OR(41275.06469="",54290.9067999999=""),"-",54290.9067999999/41275.06469*100)</f>
        <v>131.5343954219249</v>
      </c>
      <c r="D40" s="27">
        <f>IF(41275.06469="","-",41275.06469/1633487.06476*100)</f>
        <v>2.526806950630144</v>
      </c>
      <c r="E40" s="27">
        <f>IF(54290.9067999999="","-",54290.9067999999/1920023.18942*100)</f>
        <v>2.827617244372975</v>
      </c>
      <c r="F40" s="27">
        <f>IF(OR(1636115.84011="",37326.23761="",41275.06469=""),"-",(41275.06469-37326.23761)/1636115.84011*100)</f>
        <v>0.24135375889610075</v>
      </c>
      <c r="G40" s="27">
        <f>IF(OR(1633487.06476="",54290.9067999999="",41275.06469=""),"-",(54290.9067999999-41275.06469)/1633487.06476*100)</f>
        <v>0.7968132953603925</v>
      </c>
    </row>
    <row r="41" spans="1:7" s="25" customFormat="1" ht="14.25" customHeight="1">
      <c r="A41" s="45" t="s">
        <v>17</v>
      </c>
      <c r="B41" s="27">
        <f>IF(13770.28686="","-",13770.28686)</f>
        <v>13770.28686</v>
      </c>
      <c r="C41" s="27">
        <f>IF(OR(10946.95014="",13770.28686=""),"-",13770.28686/10946.95014*100)</f>
        <v>125.79108047348792</v>
      </c>
      <c r="D41" s="27">
        <f>IF(10946.95014="","-",10946.95014/1633487.06476*100)</f>
        <v>0.670158360979025</v>
      </c>
      <c r="E41" s="27">
        <f>IF(13770.28686="","-",13770.28686/1920023.18942*100)</f>
        <v>0.7171937784855466</v>
      </c>
      <c r="F41" s="27">
        <f>IF(OR(1636115.84011="",54269.04743="",10946.95014=""),"-",(10946.95014-54269.04743)/1636115.84011*100)</f>
        <v>-2.6478624696334063</v>
      </c>
      <c r="G41" s="27">
        <f>IF(OR(1633487.06476="",13770.28686="",10946.95014=""),"-",(13770.28686-10946.95014)/1633487.06476*100)</f>
        <v>0.17284108217990804</v>
      </c>
    </row>
    <row r="42" spans="1:7" s="30" customFormat="1" ht="14.25" customHeight="1">
      <c r="A42" s="45" t="s">
        <v>19</v>
      </c>
      <c r="B42" s="27">
        <f>IF(4746.9065="","-",4746.9065)</f>
        <v>4746.9065</v>
      </c>
      <c r="C42" s="27">
        <f>IF(OR(4214.89457="",4746.9065=""),"-",4746.9065/4214.89457*100)</f>
        <v>112.62218831727505</v>
      </c>
      <c r="D42" s="27">
        <f>IF(4214.89457="","-",4214.89457/1633487.06476*100)</f>
        <v>0.25803048343203583</v>
      </c>
      <c r="E42" s="27">
        <f>IF(4746.9065="","-",4746.9065/1920023.18942*100)</f>
        <v>0.24723172752064232</v>
      </c>
      <c r="F42" s="27">
        <f>IF(OR(1636115.84011="",5205.01225="",4214.89457=""),"-",(4214.89457-5205.01225)/1636115.84011*100)</f>
        <v>-0.06051635561045796</v>
      </c>
      <c r="G42" s="27">
        <f>IF(OR(1633487.06476="",4746.9065="",4214.89457=""),"-",(4746.9065-4214.89457)/1633487.06476*100)</f>
        <v>0.03256909353476671</v>
      </c>
    </row>
    <row r="43" spans="1:7" s="25" customFormat="1" ht="14.25" customHeight="1">
      <c r="A43" s="45" t="s">
        <v>18</v>
      </c>
      <c r="B43" s="27">
        <f>IF(4299.8266="","-",4299.8266)</f>
        <v>4299.8266</v>
      </c>
      <c r="C43" s="27">
        <f>IF(OR(2989.27838="",4299.8266=""),"-",4299.8266/2989.27838*100)</f>
        <v>143.8416250814352</v>
      </c>
      <c r="D43" s="27">
        <f>IF(2989.27838="","-",2989.27838/1633487.06476*100)</f>
        <v>0.1829998194959199</v>
      </c>
      <c r="E43" s="27">
        <f>IF(4299.8266="","-",4299.8266/1920023.18942*100)</f>
        <v>0.2239465972959884</v>
      </c>
      <c r="F43" s="27">
        <f>IF(OR(1636115.84011="",2705.81403="",2989.27838=""),"-",(2989.27838-2705.81403)/1636115.84011*100)</f>
        <v>0.017325444999110956</v>
      </c>
      <c r="G43" s="27">
        <f>IF(OR(1633487.06476="",4299.8266="",2989.27838=""),"-",(4299.8266-2989.27838)/1633487.06476*100)</f>
        <v>0.08023009476310437</v>
      </c>
    </row>
    <row r="44" spans="1:7" s="25" customFormat="1" ht="14.25" customHeight="1">
      <c r="A44" s="45" t="s">
        <v>20</v>
      </c>
      <c r="B44" s="27">
        <f>IF(866.87937="","-",866.87937)</f>
        <v>866.87937</v>
      </c>
      <c r="C44" s="27">
        <f>IF(OR(1555.36029="",866.87937=""),"-",866.87937/1555.36029*100)</f>
        <v>55.73495578956821</v>
      </c>
      <c r="D44" s="27">
        <f>IF(1555.36029="","-",1555.36029/1633487.06476*100)</f>
        <v>0.09521717824123213</v>
      </c>
      <c r="E44" s="27">
        <f>IF(866.87937="","-",866.87937/1920023.18942*100)</f>
        <v>0.04514942188077773</v>
      </c>
      <c r="F44" s="27">
        <f>IF(OR(1636115.84011="",1414.48122="",1555.36029=""),"-",(1555.36029-1414.48122)/1636115.84011*100)</f>
        <v>0.008610580409179863</v>
      </c>
      <c r="G44" s="27">
        <f>IF(OR(1633487.06476="",866.87937="",1555.36029=""),"-",(866.87937-1555.36029)/1633487.06476*100)</f>
        <v>-0.042147926044407036</v>
      </c>
    </row>
    <row r="45" spans="1:7" s="25" customFormat="1" ht="14.25" customHeight="1">
      <c r="A45" s="45" t="s">
        <v>22</v>
      </c>
      <c r="B45" s="27">
        <f>IF(843.96477="","-",843.96477)</f>
        <v>843.96477</v>
      </c>
      <c r="C45" s="27">
        <f>IF(OR(652.25807="",843.96477=""),"-",843.96477/652.25807*100)</f>
        <v>129.39123466881753</v>
      </c>
      <c r="D45" s="27">
        <f>IF(652.25807="","-",652.25807/1633487.06476*100)</f>
        <v>0.039930409249725705</v>
      </c>
      <c r="E45" s="27">
        <f>IF(843.96477="","-",843.96477/1920023.18942*100)</f>
        <v>0.04395596754510787</v>
      </c>
      <c r="F45" s="27">
        <f>IF(OR(1636115.84011="",883.93534="",652.25807=""),"-",(652.25807-883.93534)/1636115.84011*100)</f>
        <v>-0.01416019968270852</v>
      </c>
      <c r="G45" s="27">
        <f>IF(OR(1633487.06476="",843.96477="",652.25807=""),"-",(843.96477-652.25807)/1633487.06476*100)</f>
        <v>0.011736040286806101</v>
      </c>
    </row>
    <row r="46" spans="1:7" s="25" customFormat="1" ht="14.25" customHeight="1">
      <c r="A46" s="45" t="s">
        <v>21</v>
      </c>
      <c r="B46" s="27">
        <f>IF(507.9163="","-",507.9163)</f>
        <v>507.9163</v>
      </c>
      <c r="C46" s="27">
        <f>IF(OR(913.85487="",507.9163=""),"-",507.9163/913.85487*100)</f>
        <v>55.57953638743535</v>
      </c>
      <c r="D46" s="27">
        <f>IF(913.85487="","-",913.85487/1633487.06476*100)</f>
        <v>0.05594503254510118</v>
      </c>
      <c r="E46" s="27">
        <f>IF(507.9163="","-",507.9163/1920023.18942*100)</f>
        <v>0.026453654455779317</v>
      </c>
      <c r="F46" s="27">
        <f>IF(OR(1636115.84011="",1462.04283="",913.85487=""),"-",(913.85487-1462.04283)/1636115.84011*100)</f>
        <v>-0.03350544909846628</v>
      </c>
      <c r="G46" s="27">
        <f>IF(OR(1633487.06476="",507.9163="",913.85487=""),"-",(507.9163-913.85487)/1633487.06476*100)</f>
        <v>-0.024851042824734125</v>
      </c>
    </row>
    <row r="47" spans="1:7" s="25" customFormat="1" ht="14.25" customHeight="1">
      <c r="A47" s="45" t="s">
        <v>23</v>
      </c>
      <c r="B47" s="27">
        <f>IF(372.55601="","-",372.55601)</f>
        <v>372.55601</v>
      </c>
      <c r="C47" s="27">
        <f>IF(OR(418.85731="",372.55601=""),"-",372.55601/418.85731*100)</f>
        <v>88.94580591180325</v>
      </c>
      <c r="D47" s="27">
        <f>IF(418.85731="","-",418.85731/1633487.06476*100)</f>
        <v>0.025641911652452574</v>
      </c>
      <c r="E47" s="27">
        <f>IF(372.55601="","-",372.55601/1920023.18942*100)</f>
        <v>0.01940372449941824</v>
      </c>
      <c r="F47" s="27">
        <f>IF(OR(1636115.84011="",723.30982="",418.85731=""),"-",(418.85731-723.30982)/1636115.84011*100)</f>
        <v>-0.01860824903324271</v>
      </c>
      <c r="G47" s="27">
        <f>IF(OR(1633487.06476="",372.55601="",418.85731=""),"-",(372.55601-418.85731)/1633487.06476*100)</f>
        <v>-0.0028345066819860485</v>
      </c>
    </row>
    <row r="48" spans="1:7" s="16" customFormat="1" ht="15.75">
      <c r="A48" s="15" t="s">
        <v>24</v>
      </c>
      <c r="B48" s="26">
        <f>IF(285475.57277="","-",285475.57277)</f>
        <v>285475.57277</v>
      </c>
      <c r="C48" s="26">
        <f>IF(243539.3301="","-",285475.57277/243539.3301*100)</f>
        <v>117.21949495910191</v>
      </c>
      <c r="D48" s="26">
        <f>IF(243539.3301="","-",243539.3301/1633487.06476*100)</f>
        <v>14.909167960615715</v>
      </c>
      <c r="E48" s="26">
        <f>IF(285475.57277="","-",285475.57277/1920023.18942*100)</f>
        <v>14.86833983792854</v>
      </c>
      <c r="F48" s="26">
        <f>IF(1636115.84011="","-",(243539.3301-205830.23934)/1636115.84011*100)</f>
        <v>2.3047934526118103</v>
      </c>
      <c r="G48" s="26">
        <f>IF(1633487.06476="","-",(285475.57277-243539.3301)/1633487.06476*100)</f>
        <v>2.5672834254222585</v>
      </c>
    </row>
    <row r="49" spans="1:7" s="16" customFormat="1" ht="15.75">
      <c r="A49" s="45" t="s">
        <v>139</v>
      </c>
      <c r="B49" s="27">
        <f>IF(76742.33561="","-",76742.33561)</f>
        <v>76742.33561</v>
      </c>
      <c r="C49" s="27" t="s">
        <v>215</v>
      </c>
      <c r="D49" s="27">
        <f>IF(48754.18042="","-",48754.18042/1633487.06476*100)</f>
        <v>2.984668900770463</v>
      </c>
      <c r="E49" s="27">
        <f>IF(76742.33561="","-",76742.33561/1920023.18942*100)</f>
        <v>3.9969483719195233</v>
      </c>
      <c r="F49" s="27">
        <f>IF(OR(1636115.84011="",50626.7556="",48754.18042=""),"-",(48754.18042-50626.7556)/1636115.84011*100)</f>
        <v>-0.11445248154764531</v>
      </c>
      <c r="G49" s="27">
        <f>IF(OR(1633487.06476="",76742.33561="",48754.18042=""),"-",(76742.33561-48754.18042)/1633487.06476*100)</f>
        <v>1.7133992545029522</v>
      </c>
    </row>
    <row r="50" spans="1:7" s="29" customFormat="1" ht="15.75">
      <c r="A50" s="45" t="s">
        <v>206</v>
      </c>
      <c r="B50" s="27">
        <f>IF(28966.48527="","-",28966.48527)</f>
        <v>28966.48527</v>
      </c>
      <c r="C50" s="27">
        <f>IF(OR(33641.45686="",28966.48527=""),"-",28966.48527/33641.45686*100)</f>
        <v>86.10354001773752</v>
      </c>
      <c r="D50" s="27">
        <f>IF(33641.45686="","-",33641.45686/1633487.06476*100)</f>
        <v>2.059487190671006</v>
      </c>
      <c r="E50" s="27">
        <f>IF(28966.48527="","-",28966.48527/1920023.18942*100)</f>
        <v>1.5086528865700934</v>
      </c>
      <c r="F50" s="27">
        <f>IF(OR(1636115.84011="",31535.20502="",33641.45686=""),"-",(33641.45686-31535.20502)/1636115.84011*100)</f>
        <v>0.1287348846801941</v>
      </c>
      <c r="G50" s="27">
        <f>IF(OR(1633487.06476="",28966.48527="",33641.45686=""),"-",(28966.48527-33641.45686)/1633487.06476*100)</f>
        <v>-0.28619581329141824</v>
      </c>
    </row>
    <row r="51" spans="1:7" s="31" customFormat="1" ht="15.75">
      <c r="A51" s="45" t="s">
        <v>25</v>
      </c>
      <c r="B51" s="27">
        <f>IF(15044.81293="","-",15044.81293)</f>
        <v>15044.81293</v>
      </c>
      <c r="C51" s="27">
        <f>IF(OR(13580.11667="",15044.81293=""),"-",15044.81293/13580.11667*100)</f>
        <v>110.78559408282315</v>
      </c>
      <c r="D51" s="27">
        <f>IF(13580.11667="","-",13580.11667/1633487.06476*100)</f>
        <v>0.8313574660595955</v>
      </c>
      <c r="E51" s="27">
        <f>IF(15044.81293="","-",15044.81293/1920023.18942*100)</f>
        <v>0.7835745428962623</v>
      </c>
      <c r="F51" s="27">
        <f>IF(OR(1636115.84011="",18577.38901="",13580.11667=""),"-",(13580.11667-18577.38901)/1636115.84011*100)</f>
        <v>-0.3054351175809178</v>
      </c>
      <c r="G51" s="27">
        <f>IF(OR(1633487.06476="",15044.81293="",13580.11667=""),"-",(15044.81293-13580.11667)/1633487.06476*100)</f>
        <v>0.08966684166643224</v>
      </c>
    </row>
    <row r="52" spans="1:7" s="16" customFormat="1" ht="15.75">
      <c r="A52" s="45" t="s">
        <v>142</v>
      </c>
      <c r="B52" s="27">
        <f>IF(14789.9454="","-",14789.9454)</f>
        <v>14789.9454</v>
      </c>
      <c r="C52" s="27">
        <f>IF(OR(11936.18719="",14789.9454=""),"-",14789.9454/11936.18719*100)</f>
        <v>123.90845723658595</v>
      </c>
      <c r="D52" s="27">
        <f>IF(11936.18719="","-",11936.18719/1633487.06476*100)</f>
        <v>0.7307181946833307</v>
      </c>
      <c r="E52" s="27">
        <f>IF(14789.9454="","-",14789.9454/1920023.18942*100)</f>
        <v>0.7703003526987475</v>
      </c>
      <c r="F52" s="27">
        <f>IF(OR(1636115.84011="",6169.22648="",11936.18719=""),"-",(11936.18719-6169.22648)/1636115.84011*100)</f>
        <v>0.3524787529477298</v>
      </c>
      <c r="G52" s="27">
        <f>IF(OR(1633487.06476="",14789.9454="",11936.18719=""),"-",(14789.9454-11936.18719)/1633487.06476*100)</f>
        <v>0.17470344709581695</v>
      </c>
    </row>
    <row r="53" spans="1:7" s="31" customFormat="1" ht="15.75">
      <c r="A53" s="45" t="s">
        <v>141</v>
      </c>
      <c r="B53" s="27">
        <f>IF(14573.40519="","-",14573.40519)</f>
        <v>14573.40519</v>
      </c>
      <c r="C53" s="27">
        <f>IF(OR(13641.14175="",14573.40519=""),"-",14573.40519/13641.14175*100)</f>
        <v>106.83420388912825</v>
      </c>
      <c r="D53" s="27">
        <f>IF(13641.14175="","-",13641.14175/1633487.06476*100)</f>
        <v>0.8350933438217477</v>
      </c>
      <c r="E53" s="27">
        <f>IF(14573.40519="","-",14573.40519/1920023.18942*100)</f>
        <v>0.7590223529749309</v>
      </c>
      <c r="F53" s="27">
        <f>IF(OR(1636115.84011="",16214.40041="",13641.14175=""),"-",(13641.14175-16214.40041)/1636115.84011*100)</f>
        <v>-0.1572785127382541</v>
      </c>
      <c r="G53" s="27">
        <f>IF(OR(1633487.06476="",14573.40519="",13641.14175=""),"-",(14573.40519-13641.14175)/1633487.06476*100)</f>
        <v>0.0570719817813171</v>
      </c>
    </row>
    <row r="54" spans="1:7" s="29" customFormat="1" ht="15.75">
      <c r="A54" s="45" t="s">
        <v>140</v>
      </c>
      <c r="B54" s="27">
        <f>IF(11934.61383="","-",11934.61383)</f>
        <v>11934.61383</v>
      </c>
      <c r="C54" s="27">
        <f>IF(OR(25087.5347="",11934.61383=""),"-",11934.61383/25087.5347*100)</f>
        <v>47.57188768332824</v>
      </c>
      <c r="D54" s="27">
        <f>IF(25087.5347="","-",25087.5347/1633487.06476*100)</f>
        <v>1.5358269582432222</v>
      </c>
      <c r="E54" s="27">
        <f>IF(11934.61383="","-",11934.61383/1920023.18942*100)</f>
        <v>0.621586962895235</v>
      </c>
      <c r="F54" s="27">
        <f>IF(OR(1636115.84011="",10669.02741="",25087.5347=""),"-",(25087.5347-10669.02741)/1636115.84011*100)</f>
        <v>0.8812644518514415</v>
      </c>
      <c r="G54" s="27">
        <f>IF(OR(1633487.06476="",11934.61383="",25087.5347=""),"-",(11934.61383-25087.5347)/1633487.06476*100)</f>
        <v>-0.8052050826574799</v>
      </c>
    </row>
    <row r="55" spans="1:7" s="16" customFormat="1" ht="15.75">
      <c r="A55" s="45" t="s">
        <v>202</v>
      </c>
      <c r="B55" s="27">
        <f>IF(11556.70812="","-",11556.70812)</f>
        <v>11556.70812</v>
      </c>
      <c r="C55" s="27" t="str">
        <f>IF(OR(""="",11556.70812=""),"-",11556.70812/""*100)</f>
        <v>-</v>
      </c>
      <c r="D55" s="27" t="str">
        <f>IF(""="","-",""/1633487.06476*100)</f>
        <v>-</v>
      </c>
      <c r="E55" s="27">
        <f>IF(11556.70812="","-",11556.70812/1920023.18942*100)</f>
        <v>0.6019046115526889</v>
      </c>
      <c r="F55" s="27" t="str">
        <f>IF(OR(1636115.84011="",0.16492="",""=""),"-",(""-0.16492)/1636115.84011*100)</f>
        <v>-</v>
      </c>
      <c r="G55" s="27" t="str">
        <f>IF(OR(1633487.06476="",11556.70812="",""=""),"-",(11556.70812-"")/1633487.06476*100)</f>
        <v>-</v>
      </c>
    </row>
    <row r="56" spans="1:7" s="16" customFormat="1" ht="15.75">
      <c r="A56" s="45" t="s">
        <v>151</v>
      </c>
      <c r="B56" s="27">
        <f>IF(7394.69773="","-",7394.69773)</f>
        <v>7394.69773</v>
      </c>
      <c r="C56" s="27" t="s">
        <v>208</v>
      </c>
      <c r="D56" s="27">
        <f>IF(2412.44029="","-",2412.44029/1633487.06476*100)</f>
        <v>0.14768652547330993</v>
      </c>
      <c r="E56" s="27">
        <f>IF(7394.69773="","-",7394.69773/1920023.18942*100)</f>
        <v>0.3851358551681758</v>
      </c>
      <c r="F56" s="27">
        <f>IF(OR(1636115.84011="",2025.74289="",2412.44029=""),"-",(2412.44029-2025.74289)/1636115.84011*100)</f>
        <v>0.023635086863653947</v>
      </c>
      <c r="G56" s="27">
        <f>IF(OR(1633487.06476="",7394.69773="",2412.44029=""),"-",(7394.69773-2412.44029)/1633487.06476*100)</f>
        <v>0.3050074621026777</v>
      </c>
    </row>
    <row r="57" spans="1:7" s="31" customFormat="1" ht="15.75">
      <c r="A57" s="45" t="s">
        <v>143</v>
      </c>
      <c r="B57" s="27">
        <f>IF(7176.69949="","-",7176.69949)</f>
        <v>7176.69949</v>
      </c>
      <c r="C57" s="27">
        <f>IF(OR(9142.37303="",7176.69949=""),"-",7176.69949/9142.37303*100)</f>
        <v>78.4993071979256</v>
      </c>
      <c r="D57" s="27">
        <f>IF(9142.37303="","-",9142.37303/1633487.06476*100)</f>
        <v>0.5596844460683406</v>
      </c>
      <c r="E57" s="27">
        <f>IF(7176.69949="","-",7176.69949/1920023.18942*100)</f>
        <v>0.3737819172990267</v>
      </c>
      <c r="F57" s="27">
        <f>IF(OR(1636115.84011="",6806.11947="",9142.37303=""),"-",(9142.37303-6806.11947)/1636115.84011*100)</f>
        <v>0.14279267413259253</v>
      </c>
      <c r="G57" s="27">
        <f>IF(OR(1633487.06476="",7176.69949="",9142.37303=""),"-",(7176.69949-9142.37303)/1633487.06476*100)</f>
        <v>-0.12033603341014562</v>
      </c>
    </row>
    <row r="58" spans="1:7" s="16" customFormat="1" ht="15.75">
      <c r="A58" s="45" t="s">
        <v>144</v>
      </c>
      <c r="B58" s="27">
        <f>IF(5905.93634="","-",5905.93634)</f>
        <v>5905.93634</v>
      </c>
      <c r="C58" s="27">
        <f>IF(OR(8677.21536="",5905.93634=""),"-",5905.93634/8677.21536*100)</f>
        <v>68.06257647153753</v>
      </c>
      <c r="D58" s="27">
        <f>IF(8677.21536="","-",8677.21536/1633487.06476*100)</f>
        <v>0.5312080852795059</v>
      </c>
      <c r="E58" s="27">
        <f>IF(5905.93634="","-",5905.93634/1920023.18942*100)</f>
        <v>0.30759713593792914</v>
      </c>
      <c r="F58" s="27">
        <f>IF(OR(1636115.84011="",2704.47521="",8677.21536=""),"-",(8677.21536-2704.47521)/1636115.84011*100)</f>
        <v>0.3650560677658642</v>
      </c>
      <c r="G58" s="27">
        <f>IF(OR(1633487.06476="",5905.93634="",8677.21536=""),"-",(5905.93634-8677.21536)/1633487.06476*100)</f>
        <v>-0.16965417601315197</v>
      </c>
    </row>
    <row r="59" spans="1:7" s="29" customFormat="1" ht="15.75">
      <c r="A59" s="45" t="s">
        <v>146</v>
      </c>
      <c r="B59" s="27">
        <f>IF(5000.26374="","-",5000.26374)</f>
        <v>5000.26374</v>
      </c>
      <c r="C59" s="27">
        <f>IF(OR(3554.79716="",5000.26374=""),"-",5000.26374/3554.79716*100)</f>
        <v>140.6624208060299</v>
      </c>
      <c r="D59" s="27">
        <f>IF(3554.79716="","-",3554.79716/1633487.06476*100)</f>
        <v>0.2176201597606338</v>
      </c>
      <c r="E59" s="27">
        <f>IF(5000.26374="","-",5000.26374/1920023.18942*100)</f>
        <v>0.26042725773069847</v>
      </c>
      <c r="F59" s="27">
        <f>IF(OR(1636115.84011="",4527.76631="",3554.79716=""),"-",(3554.79716-4527.76631)/1636115.84011*100)</f>
        <v>-0.05946823116965758</v>
      </c>
      <c r="G59" s="27">
        <f>IF(OR(1633487.06476="",5000.26374="",3554.79716=""),"-",(5000.26374-3554.79716)/1633487.06476*100)</f>
        <v>0.08848962512062349</v>
      </c>
    </row>
    <row r="60" spans="1:7" s="16" customFormat="1" ht="15.75">
      <c r="A60" s="45" t="s">
        <v>150</v>
      </c>
      <c r="B60" s="27">
        <f>IF(4296.82077="","-",4296.82077)</f>
        <v>4296.82077</v>
      </c>
      <c r="C60" s="27">
        <f>IF(OR(3553.78414="",4296.82077=""),"-",4296.82077/3553.78414*100)</f>
        <v>120.90832196690484</v>
      </c>
      <c r="D60" s="27">
        <f>IF(3553.78414="","-",3553.78414/1633487.06476*100)</f>
        <v>0.21755814396498693</v>
      </c>
      <c r="E60" s="27">
        <f>IF(4296.82077="","-",4296.82077/1920023.18942*100)</f>
        <v>0.22379004554095946</v>
      </c>
      <c r="F60" s="27">
        <f>IF(OR(1636115.84011="",7349.72166="",3553.78414=""),"-",(3553.78414-7349.72166)/1636115.84011*100)</f>
        <v>-0.23200909293469035</v>
      </c>
      <c r="G60" s="27">
        <f>IF(OR(1633487.06476="",4296.82077="",3553.78414=""),"-",(4296.82077-3553.78414)/1633487.06476*100)</f>
        <v>0.04548775720542181</v>
      </c>
    </row>
    <row r="61" spans="1:7" s="29" customFormat="1" ht="15.75">
      <c r="A61" s="45" t="s">
        <v>153</v>
      </c>
      <c r="B61" s="27">
        <f>IF(4088.39892="","-",4088.39892)</f>
        <v>4088.39892</v>
      </c>
      <c r="C61" s="27" t="s">
        <v>184</v>
      </c>
      <c r="D61" s="27">
        <f>IF(1962.73664="","-",1962.73664/1633487.06476*100)</f>
        <v>0.12015624012843805</v>
      </c>
      <c r="E61" s="27">
        <f>IF(4088.39892="","-",4088.39892/1920023.18942*100)</f>
        <v>0.21293487196032368</v>
      </c>
      <c r="F61" s="27">
        <f>IF(OR(1636115.84011="",1911.87449="",1962.73664=""),"-",(1962.73664-1911.87449)/1636115.84011*100)</f>
        <v>0.0031087132556934702</v>
      </c>
      <c r="G61" s="27">
        <f>IF(OR(1633487.06476="",4088.39892="",1962.73664=""),"-",(4088.39892-1962.73664)/1633487.06476*100)</f>
        <v>0.13013034053699793</v>
      </c>
    </row>
    <row r="62" spans="1:7" s="16" customFormat="1" ht="15.75">
      <c r="A62" s="45" t="s">
        <v>149</v>
      </c>
      <c r="B62" s="27">
        <f>IF(3438.86595="","-",3438.86595)</f>
        <v>3438.86595</v>
      </c>
      <c r="C62" s="27">
        <f>IF(OR(3411.70659="",3438.86595=""),"-",3438.86595/3411.70659*100)</f>
        <v>100.7960637670193</v>
      </c>
      <c r="D62" s="27">
        <f>IF(3411.70659="","-",3411.70659/1633487.06476*100)</f>
        <v>0.208860337103512</v>
      </c>
      <c r="E62" s="27">
        <f>IF(3438.86595="","-",3438.86595/1920023.18942*100)</f>
        <v>0.17910543835873208</v>
      </c>
      <c r="F62" s="27">
        <f>IF(OR(1636115.84011="",1413.17328="",3411.70659=""),"-",(3411.70659-1413.17328)/1636115.84011*100)</f>
        <v>0.12215108863353061</v>
      </c>
      <c r="G62" s="27">
        <f>IF(OR(1633487.06476="",3438.86595="",3411.70659=""),"-",(3438.86595-3411.70659)/1633487.06476*100)</f>
        <v>0.0016626614673554514</v>
      </c>
    </row>
    <row r="63" spans="1:7" s="29" customFormat="1" ht="15.75">
      <c r="A63" s="45" t="s">
        <v>148</v>
      </c>
      <c r="B63" s="27">
        <f>IF(3427.3256="","-",3427.3256)</f>
        <v>3427.3256</v>
      </c>
      <c r="C63" s="27">
        <f>IF(OR(3497.466="",3427.3256=""),"-",3427.3256/3497.466*100)</f>
        <v>97.99453661593851</v>
      </c>
      <c r="D63" s="27">
        <f>IF(3497.466="","-",3497.466/1633487.06476*100)</f>
        <v>0.21411041908151657</v>
      </c>
      <c r="E63" s="27">
        <f>IF(3427.3256="","-",3427.3256/1920023.18942*100)</f>
        <v>0.1785043857223061</v>
      </c>
      <c r="F63" s="27">
        <f>IF(OR(1636115.84011="",456.54324="",3497.466=""),"-",(3497.466-456.54324)/1636115.84011*100)</f>
        <v>0.1858623139908939</v>
      </c>
      <c r="G63" s="27">
        <f>IF(OR(1633487.06476="",3427.3256="",3497.466=""),"-",(3427.3256-3497.466)/1633487.06476*100)</f>
        <v>-0.004293906056140405</v>
      </c>
    </row>
    <row r="64" spans="1:7" s="16" customFormat="1" ht="15.75">
      <c r="A64" s="45" t="s">
        <v>119</v>
      </c>
      <c r="B64" s="27">
        <f>IF(3382.83234="","-",3382.83234)</f>
        <v>3382.83234</v>
      </c>
      <c r="C64" s="27" t="s">
        <v>198</v>
      </c>
      <c r="D64" s="27">
        <f>IF(1313.58654="","-",1313.58654/1633487.06476*100)</f>
        <v>0.08041609684818647</v>
      </c>
      <c r="E64" s="27">
        <f>IF(3382.83234="","-",3382.83234/1920023.18942*100)</f>
        <v>0.17618705641893237</v>
      </c>
      <c r="F64" s="27">
        <f>IF(OR(1636115.84011="",343.78908="",1313.58654=""),"-",(1313.58654-343.78908)/1636115.84011*100)</f>
        <v>0.05927437631401442</v>
      </c>
      <c r="G64" s="27">
        <f>IF(OR(1633487.06476="",3382.83234="",1313.58654=""),"-",(3382.83234-1313.58654)/1633487.06476*100)</f>
        <v>0.12667659540383466</v>
      </c>
    </row>
    <row r="65" spans="1:7" s="16" customFormat="1" ht="15.75">
      <c r="A65" s="45" t="s">
        <v>145</v>
      </c>
      <c r="B65" s="27">
        <f>IF(3228.58472="","-",3228.58472)</f>
        <v>3228.58472</v>
      </c>
      <c r="C65" s="27">
        <f>IF(OR(7070.68271="",3228.58472=""),"-",3228.58472/7070.68271*100)</f>
        <v>45.66156978637781</v>
      </c>
      <c r="D65" s="27">
        <f>IF(7070.68271="","-",7070.68271/1633487.06476*100)</f>
        <v>0.43285820025999777</v>
      </c>
      <c r="E65" s="27">
        <f>IF(3228.58472="","-",3228.58472/1920023.18942*100)</f>
        <v>0.16815342323939794</v>
      </c>
      <c r="F65" s="27">
        <f>IF(OR(1636115.84011="",1887.12866="",7070.68271=""),"-",(7070.68271-1887.12866)/1636115.84011*100)</f>
        <v>0.3168207239929599</v>
      </c>
      <c r="G65" s="27">
        <f>IF(OR(1633487.06476="",3228.58472="",7070.68271=""),"-",(3228.58472-7070.68271)/1633487.06476*100)</f>
        <v>-0.23520835107221985</v>
      </c>
    </row>
    <row r="66" spans="1:7" s="29" customFormat="1" ht="15.75">
      <c r="A66" s="45" t="s">
        <v>157</v>
      </c>
      <c r="B66" s="27">
        <f>IF(2737.63836="","-",2737.63836)</f>
        <v>2737.63836</v>
      </c>
      <c r="C66" s="27" t="s">
        <v>189</v>
      </c>
      <c r="D66" s="27">
        <f>IF(1103.09441="","-",1103.09441/1633487.06476*100)</f>
        <v>0.06753003643540159</v>
      </c>
      <c r="E66" s="27">
        <f>IF(2737.63836="","-",2737.63836/1920023.18942*100)</f>
        <v>0.14258360915041784</v>
      </c>
      <c r="F66" s="27">
        <f>IF(OR(1636115.84011="",765.08212="",1103.09441=""),"-",(1103.09441-765.08212)/1636115.84011*100)</f>
        <v>0.02065943509093308</v>
      </c>
      <c r="G66" s="27">
        <f>IF(OR(1633487.06476="",2737.63836="",1103.09441=""),"-",(2737.63836-1103.09441)/1633487.06476*100)</f>
        <v>0.10006470116983482</v>
      </c>
    </row>
    <row r="67" spans="1:7" s="31" customFormat="1" ht="15.75">
      <c r="A67" s="45" t="s">
        <v>160</v>
      </c>
      <c r="B67" s="27">
        <f>IF(2142.40049="","-",2142.40049)</f>
        <v>2142.40049</v>
      </c>
      <c r="C67" s="27" t="s">
        <v>185</v>
      </c>
      <c r="D67" s="27">
        <f>IF(763.19737="","-",763.19737/1633487.06476*100)</f>
        <v>0.04672197205994605</v>
      </c>
      <c r="E67" s="27">
        <f>IF(2142.40049="","-",2142.40049/1920023.18942*100)</f>
        <v>0.11158201118639487</v>
      </c>
      <c r="F67" s="27">
        <f>IF(OR(1636115.84011="",735.88248="",763.19737=""),"-",(763.19737-735.88248)/1636115.84011*100)</f>
        <v>0.0016694960913136532</v>
      </c>
      <c r="G67" s="27">
        <f>IF(OR(1633487.06476="",2142.40049="",763.19737=""),"-",(2142.40049-763.19737)/1633487.06476*100)</f>
        <v>0.08443306039908186</v>
      </c>
    </row>
    <row r="68" spans="1:7" s="16" customFormat="1" ht="15.75">
      <c r="A68" s="45" t="s">
        <v>221</v>
      </c>
      <c r="B68" s="27">
        <f>IF(1533.42101="","-",1533.42101)</f>
        <v>1533.42101</v>
      </c>
      <c r="C68" s="27" t="s">
        <v>251</v>
      </c>
      <c r="D68" s="27">
        <f>IF(333.83922="","-",333.83922/1633487.06476*100)</f>
        <v>0.020437212341748744</v>
      </c>
      <c r="E68" s="27">
        <f>IF(1533.42101="","-",1533.42101/1920023.18942*100)</f>
        <v>0.07986471301230562</v>
      </c>
      <c r="F68" s="27">
        <f>IF(OR(1636115.84011="",556.11339="",333.83922=""),"-",(333.83922-556.11339)/1636115.84011*100)</f>
        <v>-0.013585478763230845</v>
      </c>
      <c r="G68" s="27">
        <f>IF(OR(1633487.06476="",1533.42101="",333.83922=""),"-",(1533.42101-333.83922)/1633487.06476*100)</f>
        <v>0.07343687108879852</v>
      </c>
    </row>
    <row r="69" spans="1:7" s="16" customFormat="1" ht="15.75">
      <c r="A69" s="45" t="s">
        <v>152</v>
      </c>
      <c r="B69" s="27">
        <f>IF(1419.29266="","-",1419.29266)</f>
        <v>1419.29266</v>
      </c>
      <c r="C69" s="27">
        <f>IF(OR(2565.7021="",1419.29266=""),"-",1419.29266/2565.7021*100)</f>
        <v>55.31790537958402</v>
      </c>
      <c r="D69" s="27">
        <f>IF(2565.7021="","-",2565.7021/1633487.06476*100)</f>
        <v>0.15706901850349</v>
      </c>
      <c r="E69" s="27">
        <f>IF(1419.29266="","-",1419.29266/1920023.18942*100)</f>
        <v>0.07392059990841775</v>
      </c>
      <c r="F69" s="27">
        <f>IF(OR(1636115.84011="",565.148="",2565.7021=""),"-",(2565.7021-565.148)/1636115.84011*100)</f>
        <v>0.12227460005921693</v>
      </c>
      <c r="G69" s="27">
        <f>IF(OR(1633487.06476="",1419.29266="",2565.7021=""),"-",(1419.29266-2565.7021)/1633487.06476*100)</f>
        <v>-0.07018172746708809</v>
      </c>
    </row>
    <row r="70" spans="1:7" s="16" customFormat="1" ht="15.75">
      <c r="A70" s="45" t="s">
        <v>207</v>
      </c>
      <c r="B70" s="27">
        <f>IF(1276.62825="","-",1276.62825)</f>
        <v>1276.62825</v>
      </c>
      <c r="C70" s="27">
        <f>IF(OR(948.44681="",1276.62825=""),"-",1276.62825/948.44681*100)</f>
        <v>134.60198679987124</v>
      </c>
      <c r="D70" s="27">
        <f>IF(948.44681="","-",948.44681/1633487.06476*100)</f>
        <v>0.0580627071044086</v>
      </c>
      <c r="E70" s="27">
        <f>IF(1276.62825="","-",1276.62825/1920023.18942*100)</f>
        <v>0.06649025163001512</v>
      </c>
      <c r="F70" s="27">
        <f>IF(OR(1636115.84011="",628.78633="",948.44681=""),"-",(948.44681-628.78633)/1636115.84011*100)</f>
        <v>0.019537765735371675</v>
      </c>
      <c r="G70" s="27">
        <f>IF(OR(1633487.06476="",1276.62825="",948.44681=""),"-",(1276.62825-948.44681)/1633487.06476*100)</f>
        <v>0.02009085024791537</v>
      </c>
    </row>
    <row r="71" spans="1:7" s="16" customFormat="1" ht="15.75">
      <c r="A71" s="45" t="s">
        <v>244</v>
      </c>
      <c r="B71" s="27">
        <f>IF(1251.29416="","-",1251.29416)</f>
        <v>1251.29416</v>
      </c>
      <c r="C71" s="27" t="s">
        <v>267</v>
      </c>
      <c r="D71" s="27">
        <f>IF(8.5019="","-",8.5019/1633487.06476*100)</f>
        <v>0.0005204755019746141</v>
      </c>
      <c r="E71" s="27">
        <f>IF(1251.29416="","-",1251.29416/1920023.18942*100)</f>
        <v>0.06517078371214832</v>
      </c>
      <c r="F71" s="27">
        <f>IF(OR(1636115.84011="",1902.07736="",8.5019=""),"-",(8.5019-1902.07736)/1636115.84011*100)</f>
        <v>-0.11573602636062068</v>
      </c>
      <c r="G71" s="27">
        <f>IF(OR(1633487.06476="",1251.29416="",8.5019=""),"-",(1251.29416-8.5019)/1633487.06476*100)</f>
        <v>0.07608216109030512</v>
      </c>
    </row>
    <row r="72" spans="1:7" s="16" customFormat="1" ht="15.75">
      <c r="A72" s="45" t="s">
        <v>226</v>
      </c>
      <c r="B72" s="27">
        <f>IF(1251.1606="","-",1251.1606)</f>
        <v>1251.1606</v>
      </c>
      <c r="C72" s="27" t="s">
        <v>268</v>
      </c>
      <c r="D72" s="27">
        <f>IF(25.68753="","-",25.68753/1633487.06476*100)</f>
        <v>0.0015725579072016795</v>
      </c>
      <c r="E72" s="27">
        <f>IF(1251.1606="","-",1251.1606/1920023.18942*100)</f>
        <v>0.06516382754616365</v>
      </c>
      <c r="F72" s="27">
        <f>IF(OR(1636115.84011="",44.2398="",25.68753=""),"-",(25.68753-44.2398)/1636115.84011*100)</f>
        <v>-0.0011339215442564684</v>
      </c>
      <c r="G72" s="27">
        <f>IF(OR(1633487.06476="",1251.1606="",25.68753=""),"-",(1251.1606-25.68753)/1633487.06476*100)</f>
        <v>0.07502190231179165</v>
      </c>
    </row>
    <row r="73" spans="1:7" s="16" customFormat="1" ht="15.75">
      <c r="A73" s="45" t="s">
        <v>147</v>
      </c>
      <c r="B73" s="27">
        <f>IF(1229.76969="","-",1229.76969)</f>
        <v>1229.76969</v>
      </c>
      <c r="C73" s="27">
        <f>IF(OR(4210.03303="",1229.76969=""),"-",1229.76969/4210.03303*100)</f>
        <v>29.21045229899301</v>
      </c>
      <c r="D73" s="27">
        <f>IF(4210.03303="","-",4210.03303/1633487.06476*100)</f>
        <v>0.2577328661380345</v>
      </c>
      <c r="E73" s="27">
        <f>IF(1229.76969="","-",1229.76969/1920023.18942*100)</f>
        <v>0.06404973110618985</v>
      </c>
      <c r="F73" s="27">
        <f>IF(OR(1636115.84011="",1611.47068="",4210.03303=""),"-",(4210.03303-1611.47068)/1636115.84011*100)</f>
        <v>0.1588250835481974</v>
      </c>
      <c r="G73" s="27">
        <f>IF(OR(1633487.06476="",1229.76969="",4210.03303=""),"-",(1229.76969-4210.03303)/1633487.06476*100)</f>
        <v>-0.18244793021595643</v>
      </c>
    </row>
    <row r="74" spans="1:7" s="16" customFormat="1" ht="15.75">
      <c r="A74" s="45" t="s">
        <v>155</v>
      </c>
      <c r="B74" s="27">
        <f>IF(1081.39834="","-",1081.39834)</f>
        <v>1081.39834</v>
      </c>
      <c r="C74" s="27">
        <f>IF(OR(1353.31678="",1081.39834=""),"-",1081.39834/1353.31678*100)</f>
        <v>79.90725866858755</v>
      </c>
      <c r="D74" s="27">
        <f>IF(1353.31678="","-",1353.31678/1633487.06476*100)</f>
        <v>0.08284833159660411</v>
      </c>
      <c r="E74" s="27">
        <f>IF(1081.39834="","-",1081.39834/1920023.18942*100)</f>
        <v>0.056322149959379834</v>
      </c>
      <c r="F74" s="27">
        <f>IF(OR(1636115.84011="",1042.17195="",1353.31678=""),"-",(1353.31678-1042.17195)/1636115.84011*100)</f>
        <v>0.019017286085261615</v>
      </c>
      <c r="G74" s="27">
        <f>IF(OR(1633487.06476="",1081.39834="",1353.31678=""),"-",(1081.39834-1353.31678)/1633487.06476*100)</f>
        <v>-0.016646500965096518</v>
      </c>
    </row>
    <row r="75" spans="1:7" s="16" customFormat="1" ht="15.75">
      <c r="A75" s="45" t="s">
        <v>228</v>
      </c>
      <c r="B75" s="27">
        <f>IF(1034.90358="","-",1034.90358)</f>
        <v>1034.90358</v>
      </c>
      <c r="C75" s="27" t="s">
        <v>189</v>
      </c>
      <c r="D75" s="27">
        <f>IF(420.55127="","-",420.55127/1633487.06476*100)</f>
        <v>0.025745613728614954</v>
      </c>
      <c r="E75" s="27">
        <f>IF(1034.90358="","-",1034.90358/1920023.18942*100)</f>
        <v>0.05390057712337439</v>
      </c>
      <c r="F75" s="27" t="str">
        <f>IF(OR(1636115.84011="",""="",420.55127=""),"-",(420.55127-"")/1636115.84011*100)</f>
        <v>-</v>
      </c>
      <c r="G75" s="27">
        <f>IF(OR(1633487.06476="",1034.90358="",420.55127=""),"-",(1034.90358-420.55127)/1633487.06476*100)</f>
        <v>0.03760986684582431</v>
      </c>
    </row>
    <row r="76" spans="1:7" s="16" customFormat="1" ht="15.75">
      <c r="A76" s="45" t="s">
        <v>161</v>
      </c>
      <c r="B76" s="27">
        <f>IF(974.36421="","-",974.36421)</f>
        <v>974.36421</v>
      </c>
      <c r="C76" s="27">
        <f>IF(OR(671.52408="",974.36421=""),"-",974.36421/671.52408*100)</f>
        <v>145.09743418285163</v>
      </c>
      <c r="D76" s="27">
        <f>IF(671.52408="","-",671.52408/1633487.06476*100)</f>
        <v>0.0411098498719158</v>
      </c>
      <c r="E76" s="27">
        <f>IF(974.36421="","-",974.36421/1920023.18942*100)</f>
        <v>0.05074752301790353</v>
      </c>
      <c r="F76" s="27">
        <f>IF(OR(1636115.84011="",1172.6839="",671.52408=""),"-",(671.52408-1172.6839)/1636115.84011*100)</f>
        <v>-0.030631071939643695</v>
      </c>
      <c r="G76" s="27">
        <f>IF(OR(1633487.06476="",974.36421="",671.52408=""),"-",(974.36421-671.52408)/1633487.06476*100)</f>
        <v>0.01853948748865634</v>
      </c>
    </row>
    <row r="77" spans="1:7" ht="15.75">
      <c r="A77" s="45" t="s">
        <v>162</v>
      </c>
      <c r="B77" s="27">
        <f>IF(787.44382="","-",787.44382)</f>
        <v>787.44382</v>
      </c>
      <c r="C77" s="27">
        <f>IF(OR(643.13181="",787.44382=""),"-",787.44382/643.13181*100)</f>
        <v>122.438947624127</v>
      </c>
      <c r="D77" s="27">
        <f>IF(643.13181="","-",643.13181/1633487.06476*100)</f>
        <v>0.03937171122285515</v>
      </c>
      <c r="E77" s="27">
        <f>IF(787.44382="","-",787.44382/1920023.18942*100)</f>
        <v>0.04101220362020059</v>
      </c>
      <c r="F77" s="27">
        <f>IF(OR(1636115.84011="",616.66006="",643.13181=""),"-",(643.13181-616.66006)/1636115.84011*100)</f>
        <v>0.0016179630653915171</v>
      </c>
      <c r="G77" s="27">
        <f>IF(OR(1633487.06476="",787.44382="",643.13181=""),"-",(787.44382-643.13181)/1633487.06476*100)</f>
        <v>0.008834597660018999</v>
      </c>
    </row>
    <row r="78" spans="1:7" ht="15.75">
      <c r="A78" s="45" t="s">
        <v>203</v>
      </c>
      <c r="B78" s="27">
        <f>IF(782.2788="","-",782.2788)</f>
        <v>782.2788</v>
      </c>
      <c r="C78" s="27" t="s">
        <v>269</v>
      </c>
      <c r="D78" s="27">
        <f>IF(292.68466="","-",292.68466/1633487.06476*100)</f>
        <v>0.017917782534935634</v>
      </c>
      <c r="E78" s="27">
        <f>IF(782.2788="","-",782.2788/1920023.18942*100)</f>
        <v>0.04074319541090077</v>
      </c>
      <c r="F78" s="27" t="str">
        <f>IF(OR(1636115.84011="",""="",292.68466=""),"-",(292.68466-"")/1636115.84011*100)</f>
        <v>-</v>
      </c>
      <c r="G78" s="27">
        <f>IF(OR(1633487.06476="",782.2788="",292.68466=""),"-",(782.2788-292.68466)/1633487.06476*100)</f>
        <v>0.029972330394421192</v>
      </c>
    </row>
    <row r="79" spans="1:7" ht="15.75">
      <c r="A79" s="45" t="s">
        <v>120</v>
      </c>
      <c r="B79" s="27">
        <f>IF(751.26123="","-",751.26123)</f>
        <v>751.26123</v>
      </c>
      <c r="C79" s="27" t="s">
        <v>208</v>
      </c>
      <c r="D79" s="27">
        <f>IF(238.84397="","-",238.84397/1633487.06476*100)</f>
        <v>0.01462172398868014</v>
      </c>
      <c r="E79" s="27">
        <f>IF(751.26123="","-",751.26123/1920023.18942*100)</f>
        <v>0.03912771648486916</v>
      </c>
      <c r="F79" s="27">
        <f>IF(OR(1636115.84011="",209.89817="",238.84397=""),"-",(238.84397-209.89817)/1636115.84011*100)</f>
        <v>0.0017691779084575041</v>
      </c>
      <c r="G79" s="27">
        <f>IF(OR(1633487.06476="",751.26123="",238.84397=""),"-",(751.26123-238.84397)/1633487.06476*100)</f>
        <v>0.03136953276549434</v>
      </c>
    </row>
    <row r="80" spans="1:7" ht="15.75">
      <c r="A80" s="45" t="s">
        <v>225</v>
      </c>
      <c r="B80" s="27">
        <f>IF(743.49168="","-",743.49168)</f>
        <v>743.49168</v>
      </c>
      <c r="C80" s="27" t="s">
        <v>270</v>
      </c>
      <c r="D80" s="27">
        <f>IF(59.19914="","-",59.19914/1633487.06476*100)</f>
        <v>0.003624096038293259</v>
      </c>
      <c r="E80" s="27">
        <f>IF(743.49168="","-",743.49168/1920023.18942*100)</f>
        <v>0.03872305730977102</v>
      </c>
      <c r="F80" s="27">
        <f>IF(OR(1636115.84011="",56.52931="",59.19914=""),"-",(59.19914-56.52931)/1636115.84011*100)</f>
        <v>0.0001631809884452007</v>
      </c>
      <c r="G80" s="27">
        <f>IF(OR(1633487.06476="",743.49168="",59.19914=""),"-",(743.49168-59.19914)/1633487.06476*100)</f>
        <v>0.04189151874921884</v>
      </c>
    </row>
    <row r="81" spans="1:7" ht="15.75">
      <c r="A81" s="45" t="s">
        <v>172</v>
      </c>
      <c r="B81" s="27">
        <f>IF(716.27311="","-",716.27311)</f>
        <v>716.27311</v>
      </c>
      <c r="C81" s="27" t="s">
        <v>271</v>
      </c>
      <c r="D81" s="27">
        <f>IF(69.87158="","-",69.87158/1633487.06476*100)</f>
        <v>0.00427744923773032</v>
      </c>
      <c r="E81" s="27">
        <f>IF(716.27311="","-",716.27311/1920023.18942*100)</f>
        <v>0.03730544057732821</v>
      </c>
      <c r="F81" s="27">
        <f>IF(OR(1636115.84011="",16.9251="",69.87158=""),"-",(69.87158-16.9251)/1636115.84011*100)</f>
        <v>0.0032361082694756065</v>
      </c>
      <c r="G81" s="27">
        <f>IF(OR(1633487.06476="",716.27311="",69.87158=""),"-",(716.27311-69.87158)/1633487.06476*100)</f>
        <v>0.039571879321552664</v>
      </c>
    </row>
    <row r="82" spans="1:7" ht="15.75">
      <c r="A82" s="45" t="s">
        <v>222</v>
      </c>
      <c r="B82" s="27">
        <f>IF(664.78177="","-",664.78177)</f>
        <v>664.78177</v>
      </c>
      <c r="C82" s="27" t="s">
        <v>189</v>
      </c>
      <c r="D82" s="27">
        <f>IF(269.46157="","-",269.46157/1633487.06476*100)</f>
        <v>0.016496094509299994</v>
      </c>
      <c r="E82" s="27">
        <f>IF(664.78177="","-",664.78177/1920023.18942*100)</f>
        <v>0.03462363234273317</v>
      </c>
      <c r="F82" s="27">
        <f>IF(OR(1636115.84011="",1071.95562="",269.46157=""),"-",(269.46157-1071.95562)/1636115.84011*100)</f>
        <v>-0.04904873055602508</v>
      </c>
      <c r="G82" s="27">
        <f>IF(OR(1633487.06476="",664.78177="",269.46157=""),"-",(664.78177-269.46157)/1633487.06476*100)</f>
        <v>0.024200999721909793</v>
      </c>
    </row>
    <row r="83" spans="1:7" ht="15.75">
      <c r="A83" s="45" t="s">
        <v>154</v>
      </c>
      <c r="B83" s="27">
        <f>IF(635.90845="","-",635.90845)</f>
        <v>635.90845</v>
      </c>
      <c r="C83" s="27">
        <f>IF(OR(1745.68753="",635.90845=""),"-",635.90845/1745.68753*100)</f>
        <v>36.427392592991716</v>
      </c>
      <c r="D83" s="27">
        <f>IF(1745.68753="","-",1745.68753/1633487.06476*100)</f>
        <v>0.10686876974177234</v>
      </c>
      <c r="E83" s="27">
        <f>IF(635.90845="","-",635.90845/1920023.18942*100)</f>
        <v>0.033119831755370366</v>
      </c>
      <c r="F83" s="27">
        <f>IF(OR(1636115.84011="",270.22407="",1745.68753=""),"-",(1745.68753-270.22407)/1636115.84011*100)</f>
        <v>0.09018086762736806</v>
      </c>
      <c r="G83" s="27">
        <f>IF(OR(1633487.06476="",635.90845="",1745.68753=""),"-",(635.90845-1745.68753)/1633487.06476*100)</f>
        <v>-0.06793926342863658</v>
      </c>
    </row>
    <row r="84" spans="1:7" ht="15.75">
      <c r="A84" s="45" t="s">
        <v>159</v>
      </c>
      <c r="B84" s="27">
        <f>IF(625.24773="","-",625.24773)</f>
        <v>625.24773</v>
      </c>
      <c r="C84" s="27">
        <f>IF(OR(884.8753="",625.24773=""),"-",625.24773/884.8753*100)</f>
        <v>70.65941720827782</v>
      </c>
      <c r="D84" s="27">
        <f>IF(884.8753="","-",884.8753/1633487.06476*100)</f>
        <v>0.05417094013719725</v>
      </c>
      <c r="E84" s="27">
        <f>IF(625.24773="","-",625.24773/1920023.18942*100)</f>
        <v>0.03256459262811689</v>
      </c>
      <c r="F84" s="27">
        <f>IF(OR(1636115.84011="",628.63605="",884.8753=""),"-",(884.8753-628.63605)/1636115.84011*100)</f>
        <v>0.015661436905517186</v>
      </c>
      <c r="G84" s="27">
        <f>IF(OR(1633487.06476="",625.24773="",884.8753=""),"-",(625.24773-884.8753)/1633487.06476*100)</f>
        <v>-0.015894069540008618</v>
      </c>
    </row>
    <row r="85" spans="1:7" ht="15.75">
      <c r="A85" s="45" t="s">
        <v>164</v>
      </c>
      <c r="B85" s="27">
        <f>IF(523.97839="","-",523.97839)</f>
        <v>523.97839</v>
      </c>
      <c r="C85" s="27">
        <f>IF(OR(396.20749="",523.97839=""),"-",523.97839/396.20749*100)</f>
        <v>132.24848172355348</v>
      </c>
      <c r="D85" s="27">
        <f>IF(396.20749="","-",396.20749/1633487.06476*100)</f>
        <v>0.024255318486909035</v>
      </c>
      <c r="E85" s="27">
        <f>IF(523.97839="","-",523.97839/1920023.18942*100)</f>
        <v>0.027290211539491</v>
      </c>
      <c r="F85" s="27">
        <f>IF(OR(1636115.84011="",393.96877="",396.20749=""),"-",(396.20749-393.96877)/1636115.84011*100)</f>
        <v>0.00013683138718646512</v>
      </c>
      <c r="G85" s="27">
        <f>IF(OR(1633487.06476="",523.97839="",396.20749=""),"-",(523.97839-396.20749)/1633487.06476*100)</f>
        <v>0.007821971949240548</v>
      </c>
    </row>
    <row r="86" spans="1:7" ht="15.75">
      <c r="A86" s="45" t="s">
        <v>169</v>
      </c>
      <c r="B86" s="27">
        <f>IF(505.37697="","-",505.37697)</f>
        <v>505.37697</v>
      </c>
      <c r="C86" s="27">
        <f>IF(OR(371.43938="",505.37697=""),"-",505.37697/371.43938*100)</f>
        <v>136.05907106564737</v>
      </c>
      <c r="D86" s="27">
        <f>IF(371.43938="","-",371.43938/1633487.06476*100)</f>
        <v>0.02273904630243116</v>
      </c>
      <c r="E86" s="27">
        <f>IF(505.37697="","-",505.37697/1920023.18942*100)</f>
        <v>0.02632139928230055</v>
      </c>
      <c r="F86" s="27">
        <f>IF(OR(1636115.84011="",725.83131="",371.43938=""),"-",(371.43938-725.83131)/1636115.84011*100)</f>
        <v>-0.0216605646930338</v>
      </c>
      <c r="G86" s="27">
        <f>IF(OR(1633487.06476="",505.37697="",371.43938=""),"-",(505.37697-371.43938)/1633487.06476*100)</f>
        <v>0.00819948886584411</v>
      </c>
    </row>
    <row r="87" spans="1:7" ht="15.75">
      <c r="A87" s="45" t="s">
        <v>205</v>
      </c>
      <c r="B87" s="27">
        <f>IF(448.52158="","-",448.52158)</f>
        <v>448.52158</v>
      </c>
      <c r="C87" s="27">
        <f>IF(OR(440.22491="",448.52158=""),"-",448.52158/440.22491*100)</f>
        <v>101.88464346554127</v>
      </c>
      <c r="D87" s="27">
        <f>IF(440.22491="","-",440.22491/1633487.06476*100)</f>
        <v>0.02695000894082256</v>
      </c>
      <c r="E87" s="27">
        <f>IF(448.52158="","-",448.52158/1920023.18942*100)</f>
        <v>0.023360216817771312</v>
      </c>
      <c r="F87" s="27">
        <f>IF(OR(1636115.84011="",380.38329="",440.22491=""),"-",(440.22491-380.38329)/1636115.84011*100)</f>
        <v>0.003657541754254805</v>
      </c>
      <c r="G87" s="27">
        <f>IF(OR(1633487.06476="",448.52158="",440.22491=""),"-",(448.52158-440.22491)/1633487.06476*100)</f>
        <v>0.0005079115824660011</v>
      </c>
    </row>
    <row r="88" spans="1:7" ht="15.75">
      <c r="A88" s="45" t="s">
        <v>231</v>
      </c>
      <c r="B88" s="27">
        <f>IF(391.7119="","-",391.7119)</f>
        <v>391.7119</v>
      </c>
      <c r="C88" s="27">
        <f>IF(OR(801.64653="",391.7119=""),"-",391.7119/801.64653*100)</f>
        <v>48.86341864412486</v>
      </c>
      <c r="D88" s="27">
        <f>IF(801.64653="","-",801.64653/1633487.06476*100)</f>
        <v>0.04907578072053983</v>
      </c>
      <c r="E88" s="27">
        <f>IF(391.7119="","-",391.7119/1920023.18942*100)</f>
        <v>0.02040141505365507</v>
      </c>
      <c r="F88" s="27">
        <f>IF(OR(1636115.84011="",72.54842="",801.64653=""),"-",(801.64653-72.54842)/1636115.84011*100)</f>
        <v>0.04456274379392238</v>
      </c>
      <c r="G88" s="27">
        <f>IF(OR(1633487.06476="",391.7119="",801.64653=""),"-",(391.7119-801.64653)/1633487.06476*100)</f>
        <v>-0.02509567653418973</v>
      </c>
    </row>
    <row r="89" spans="1:7" ht="15.75">
      <c r="A89" s="45" t="s">
        <v>182</v>
      </c>
      <c r="B89" s="27">
        <f>IF(346.01784="","-",346.01784)</f>
        <v>346.01784</v>
      </c>
      <c r="C89" s="27" t="s">
        <v>26</v>
      </c>
      <c r="D89" s="27">
        <f>IF(177.41336="","-",177.41336/1633487.06476*100)</f>
        <v>0.010861020195838922</v>
      </c>
      <c r="E89" s="27">
        <f>IF(346.01784="","-",346.01784/1920023.18942*100)</f>
        <v>0.01802154483897275</v>
      </c>
      <c r="F89" s="27">
        <f>IF(OR(1636115.84011="",150.90639="",177.41336=""),"-",(177.41336-150.90639)/1636115.84011*100)</f>
        <v>0.001620115724704303</v>
      </c>
      <c r="G89" s="27">
        <f>IF(OR(1633487.06476="",346.01784="",177.41336=""),"-",(346.01784-177.41336)/1633487.06476*100)</f>
        <v>0.010321751768800947</v>
      </c>
    </row>
    <row r="90" spans="1:7" s="31" customFormat="1" ht="15.75">
      <c r="A90" s="45" t="s">
        <v>188</v>
      </c>
      <c r="B90" s="27">
        <f>IF(292.62645="","-",292.62645)</f>
        <v>292.62645</v>
      </c>
      <c r="C90" s="27">
        <f>IF(OR(223.4447="",292.62645=""),"-",292.62645/223.4447*100)</f>
        <v>130.96146384317908</v>
      </c>
      <c r="D90" s="27">
        <f>IF(223.4447="","-",223.4447/1633487.06476*100)</f>
        <v>0.013679000270065172</v>
      </c>
      <c r="E90" s="27">
        <f>IF(292.62645="","-",292.62645/1920023.18942*100)</f>
        <v>0.015240776862095946</v>
      </c>
      <c r="F90" s="27">
        <f>IF(OR(1636115.84011="",353.73032="",223.4447=""),"-",(223.4447-353.73032)/1636115.84011*100)</f>
        <v>-0.00796310486128174</v>
      </c>
      <c r="G90" s="27">
        <f>IF(OR(1633487.06476="",292.62645="",223.4447=""),"-",(292.62645-223.4447)/1633487.06476*100)</f>
        <v>0.004235218722724596</v>
      </c>
    </row>
    <row r="91" spans="1:7" ht="15.75">
      <c r="A91" s="45" t="s">
        <v>173</v>
      </c>
      <c r="B91" s="27">
        <f>IF(287.20418="","-",287.20418)</f>
        <v>287.20418</v>
      </c>
      <c r="C91" s="27">
        <f>IF(OR(232.66674="",287.20418=""),"-",287.20418/232.66674*100)</f>
        <v>123.44015307043885</v>
      </c>
      <c r="D91" s="27">
        <f>IF(232.66674="","-",232.66674/1633487.06476*100)</f>
        <v>0.014243561826685451</v>
      </c>
      <c r="E91" s="27">
        <f>IF(287.20418="","-",287.20418/1920023.18942*100)</f>
        <v>0.01495837037711813</v>
      </c>
      <c r="F91" s="27">
        <f>IF(OR(1636115.84011="",456.3872="",232.66674=""),"-",(232.66674-456.3872)/1636115.84011*100)</f>
        <v>-0.01367387653828709</v>
      </c>
      <c r="G91" s="27">
        <f>IF(OR(1633487.06476="",287.20418="",232.66674=""),"-",(287.20418-232.66674)/1633487.06476*100)</f>
        <v>0.0033387126948576677</v>
      </c>
    </row>
    <row r="92" spans="1:7" ht="15.75">
      <c r="A92" s="45" t="s">
        <v>156</v>
      </c>
      <c r="B92" s="27">
        <f>IF(283.66265="","-",283.66265)</f>
        <v>283.66265</v>
      </c>
      <c r="C92" s="27">
        <f>IF(OR(1429.88723="",283.66265=""),"-",283.66265/1429.88723*100)</f>
        <v>19.838113387445244</v>
      </c>
      <c r="D92" s="27">
        <f>IF(1429.88723="","-",1429.88723/1633487.06476*100)</f>
        <v>0.08753587713350434</v>
      </c>
      <c r="E92" s="27">
        <f>IF(283.66265="","-",283.66265/1920023.18942*100)</f>
        <v>0.014773917917402273</v>
      </c>
      <c r="F92" s="27">
        <f>IF(OR(1636115.84011="",527.76143="",1429.88723=""),"-",(1429.88723-527.76143)/1636115.84011*100)</f>
        <v>0.05513825964421614</v>
      </c>
      <c r="G92" s="27">
        <f>IF(OR(1633487.06476="",283.66265="",1429.88723=""),"-",(283.66265-1429.88723)/1633487.06476*100)</f>
        <v>-0.070170410573065</v>
      </c>
    </row>
    <row r="93" spans="1:7" ht="15.75">
      <c r="A93" s="45" t="s">
        <v>114</v>
      </c>
      <c r="B93" s="27">
        <f>IF(270.00269="","-",270.00269)</f>
        <v>270.00269</v>
      </c>
      <c r="C93" s="27">
        <f>IF(OR(303.29212="",270.00269=""),"-",270.00269/303.29212*100)</f>
        <v>89.02397134485392</v>
      </c>
      <c r="D93" s="27">
        <f>IF(303.29212="","-",303.29212/1633487.06476*100)</f>
        <v>0.01856715774143955</v>
      </c>
      <c r="E93" s="27">
        <f>IF(270.00269="","-",270.00269/1920023.18942*100)</f>
        <v>0.014062470260141091</v>
      </c>
      <c r="F93" s="27">
        <f>IF(OR(1636115.84011="",177.04989="",303.29212=""),"-",(303.29212-177.04989)/1636115.84011*100)</f>
        <v>0.007715971382045444</v>
      </c>
      <c r="G93" s="27">
        <f>IF(OR(1633487.06476="",270.00269="",303.29212=""),"-",(270.00269-303.29212)/1633487.06476*100)</f>
        <v>-0.002037936554146579</v>
      </c>
    </row>
    <row r="94" spans="1:7" ht="15.75">
      <c r="A94" s="45" t="s">
        <v>234</v>
      </c>
      <c r="B94" s="27">
        <f>IF(235.61856="","-",235.61856)</f>
        <v>235.61856</v>
      </c>
      <c r="C94" s="27">
        <f>IF(OR(247.55993="",235.61856=""),"-",235.61856/247.55993*100)</f>
        <v>95.17637204049944</v>
      </c>
      <c r="D94" s="27">
        <f>IF(247.55993="","-",247.55993/1633487.06476*100)</f>
        <v>0.015155303971529935</v>
      </c>
      <c r="E94" s="27">
        <f>IF(235.61856="","-",235.61856/1920023.18942*100)</f>
        <v>0.012271651785162844</v>
      </c>
      <c r="F94" s="27">
        <f>IF(OR(1636115.84011="",247.4362="",247.55993=""),"-",(247.55993-247.4362)/1636115.84011*100)</f>
        <v>7.562422963381133E-06</v>
      </c>
      <c r="G94" s="27">
        <f>IF(OR(1633487.06476="",235.61856="",247.55993=""),"-",(235.61856-247.55993)/1633487.06476*100)</f>
        <v>-0.0007310354797180161</v>
      </c>
    </row>
    <row r="95" spans="1:7" ht="15.75">
      <c r="A95" s="45" t="s">
        <v>187</v>
      </c>
      <c r="B95" s="27">
        <f>IF(186.33116="","-",186.33116)</f>
        <v>186.33116</v>
      </c>
      <c r="C95" s="27" t="str">
        <f>IF(OR(""="",186.33116=""),"-",186.33116/""*100)</f>
        <v>-</v>
      </c>
      <c r="D95" s="27" t="str">
        <f>IF(""="","-",""/1633487.06476*100)</f>
        <v>-</v>
      </c>
      <c r="E95" s="27">
        <f>IF(186.33116="","-",186.33116/1920023.18942*100)</f>
        <v>0.00970463070585553</v>
      </c>
      <c r="F95" s="27" t="str">
        <f>IF(OR(1636115.84011="",163.41066="",""=""),"-",(""-163.41066)/1636115.84011*100)</f>
        <v>-</v>
      </c>
      <c r="G95" s="27" t="str">
        <f>IF(OR(1633487.06476="",186.33116="",""=""),"-",(186.33116-"")/1633487.06476*100)</f>
        <v>-</v>
      </c>
    </row>
    <row r="96" spans="1:7" ht="15.75">
      <c r="A96" s="45" t="s">
        <v>232</v>
      </c>
      <c r="B96" s="27">
        <f>IF(177.95744="","-",177.95744)</f>
        <v>177.95744</v>
      </c>
      <c r="C96" s="27" t="str">
        <f>IF(OR(""="",177.95744=""),"-",177.95744/""*100)</f>
        <v>-</v>
      </c>
      <c r="D96" s="27" t="str">
        <f>IF(""="","-",""/1633487.06476*100)</f>
        <v>-</v>
      </c>
      <c r="E96" s="27">
        <f>IF(177.95744="","-",177.95744/1920023.18942*100)</f>
        <v>0.009268504723307917</v>
      </c>
      <c r="F96" s="27" t="str">
        <f>IF(OR(1636115.84011="",""="",""=""),"-",(""-"")/1636115.84011*100)</f>
        <v>-</v>
      </c>
      <c r="G96" s="27" t="str">
        <f>IF(OR(1633487.06476="",177.95744="",""=""),"-",(177.95744-"")/1633487.06476*100)</f>
        <v>-</v>
      </c>
    </row>
    <row r="97" spans="1:7" ht="15.75">
      <c r="A97" s="45" t="s">
        <v>233</v>
      </c>
      <c r="B97" s="27">
        <f>IF(175.37435="","-",175.37435)</f>
        <v>175.37435</v>
      </c>
      <c r="C97" s="27">
        <f>IF(OR(118.14958="",175.37435=""),"-",175.37435/118.14958*100)</f>
        <v>148.43417132756628</v>
      </c>
      <c r="D97" s="27">
        <f>IF(118.14958="","-",118.14958/1633487.06476*100)</f>
        <v>0.007232966978979973</v>
      </c>
      <c r="E97" s="27">
        <f>IF(175.37435="","-",175.37435/1920023.18942*100)</f>
        <v>0.00913397041068952</v>
      </c>
      <c r="F97" s="27" t="str">
        <f>IF(OR(1636115.84011="",""="",118.14958=""),"-",(118.14958-"")/1636115.84011*100)</f>
        <v>-</v>
      </c>
      <c r="G97" s="27">
        <f>IF(OR(1633487.06476="",175.37435="",118.14958=""),"-",(175.37435-118.14958)/1633487.06476*100)</f>
        <v>0.0035032276186654555</v>
      </c>
    </row>
    <row r="98" spans="1:7" ht="15.75">
      <c r="A98" s="45" t="s">
        <v>204</v>
      </c>
      <c r="B98" s="27">
        <f>IF(174.27736="","-",174.27736)</f>
        <v>174.27736</v>
      </c>
      <c r="C98" s="27" t="s">
        <v>272</v>
      </c>
      <c r="D98" s="27">
        <f>IF(0.2121="","-",0.2121/1633487.06476*100)</f>
        <v>1.2984492168670022E-05</v>
      </c>
      <c r="E98" s="27">
        <f>IF(174.27736="","-",174.27736/1920023.18942*100)</f>
        <v>0.009076836204913006</v>
      </c>
      <c r="F98" s="27">
        <f>IF(OR(1636115.84011="",27.7076="",0.2121=""),"-",(0.2121-27.7076)/1636115.84011*100)</f>
        <v>-0.0016805350407310654</v>
      </c>
      <c r="G98" s="27">
        <f>IF(OR(1633487.06476="",174.27736="",0.2121=""),"-",(174.27736-0.2121)/1633487.06476*100)</f>
        <v>0.010656053773255592</v>
      </c>
    </row>
    <row r="99" spans="1:7" ht="15.75">
      <c r="A99" s="45" t="s">
        <v>121</v>
      </c>
      <c r="B99" s="27">
        <f>IF(131.43172="","-",131.43172)</f>
        <v>131.43172</v>
      </c>
      <c r="C99" s="27" t="s">
        <v>122</v>
      </c>
      <c r="D99" s="27">
        <f>IF(55.05138="","-",55.05138/1633487.06476*100)</f>
        <v>0.0033701754478287476</v>
      </c>
      <c r="E99" s="27">
        <f>IF(131.43172="","-",131.43172/1920023.18942*100)</f>
        <v>0.006845319406777731</v>
      </c>
      <c r="F99" s="27">
        <f>IF(OR(1636115.84011="",83.51252="",55.05138=""),"-",(55.05138-83.51252)/1636115.84011*100)</f>
        <v>-0.0017395553115656214</v>
      </c>
      <c r="G99" s="27">
        <f>IF(OR(1633487.06476="",131.43172="",55.05138=""),"-",(131.43172-55.05138)/1633487.06476*100)</f>
        <v>0.004675907244556124</v>
      </c>
    </row>
    <row r="100" spans="1:7" ht="15.75">
      <c r="A100" s="45" t="s">
        <v>167</v>
      </c>
      <c r="B100" s="27">
        <f>IF(119.69828="","-",119.69828)</f>
        <v>119.69828</v>
      </c>
      <c r="C100" s="27" t="s">
        <v>212</v>
      </c>
      <c r="D100" s="27">
        <f>IF(40.49776="","-",40.49776/1633487.06476*100)</f>
        <v>0.002479221346386978</v>
      </c>
      <c r="E100" s="27">
        <f>IF(119.69828="","-",119.69828/1920023.18942*100)</f>
        <v>0.0062342101209808</v>
      </c>
      <c r="F100" s="27" t="str">
        <f>IF(OR(1636115.84011="",""="",40.49776=""),"-",(40.49776-"")/1636115.84011*100)</f>
        <v>-</v>
      </c>
      <c r="G100" s="27">
        <f>IF(OR(1633487.06476="",119.69828="",40.49776=""),"-",(119.69828-40.49776)/1633487.06476*100)</f>
        <v>0.004848555076353575</v>
      </c>
    </row>
    <row r="101" spans="1:7" ht="15.75">
      <c r="A101" s="45" t="s">
        <v>163</v>
      </c>
      <c r="B101" s="27">
        <f>IF(104.96327="","-",104.96327)</f>
        <v>104.96327</v>
      </c>
      <c r="C101" s="27">
        <f>IF(OR(500.87669="",104.96327=""),"-",104.96327/500.87669*100)</f>
        <v>20.955910325952683</v>
      </c>
      <c r="D101" s="27">
        <f>IF(500.87669="","-",500.87669/1633487.06476*100)</f>
        <v>0.0306630337518829</v>
      </c>
      <c r="E101" s="27">
        <f>IF(104.96327="","-",104.96327/1920023.18942*100)</f>
        <v>0.005466770952475177</v>
      </c>
      <c r="F101" s="27">
        <f>IF(OR(1636115.84011="",480.36922="",500.87669=""),"-",(500.87669-480.36922)/1636115.84011*100)</f>
        <v>0.00125342408509542</v>
      </c>
      <c r="G101" s="27">
        <f>IF(OR(1633487.06476="",104.96327="",500.87669=""),"-",(104.96327-500.87669)/1633487.06476*100)</f>
        <v>-0.02423731589562171</v>
      </c>
    </row>
    <row r="102" spans="1:7" ht="15.75">
      <c r="A102" s="45" t="s">
        <v>211</v>
      </c>
      <c r="B102" s="27">
        <f>IF(89.758="","-",89.758)</f>
        <v>89.758</v>
      </c>
      <c r="C102" s="27">
        <f>IF(OR(317.7785="",89.758=""),"-",89.758/317.7785*100)</f>
        <v>28.245460281296562</v>
      </c>
      <c r="D102" s="27">
        <f>IF(317.7785="","-",317.7785/1633487.06476*100)</f>
        <v>0.019453995495623322</v>
      </c>
      <c r="E102" s="27">
        <f>IF(89.758="","-",89.758/1920023.18942*100)</f>
        <v>0.0046748393714512405</v>
      </c>
      <c r="F102" s="27">
        <f>IF(OR(1636115.84011="",27.84592="",317.7785=""),"-",(317.7785-27.84592)/1636115.84011*100)</f>
        <v>0.01772078558817126</v>
      </c>
      <c r="G102" s="27">
        <f>IF(OR(1633487.06476="",89.758="",317.7785=""),"-",(89.758-317.7785)/1633487.06476*100)</f>
        <v>-0.013959124924781815</v>
      </c>
    </row>
    <row r="103" spans="1:7" ht="15.75">
      <c r="A103" s="45" t="s">
        <v>179</v>
      </c>
      <c r="B103" s="27">
        <f>IF(80.95778="","-",80.95778)</f>
        <v>80.95778</v>
      </c>
      <c r="C103" s="27" t="str">
        <f>IF(OR(""="",80.95778=""),"-",80.95778/""*100)</f>
        <v>-</v>
      </c>
      <c r="D103" s="27" t="str">
        <f>IF(""="","-",""/1633487.06476*100)</f>
        <v>-</v>
      </c>
      <c r="E103" s="27">
        <f>IF(80.95778="","-",80.95778/1920023.18942*100)</f>
        <v>0.0042165001155249435</v>
      </c>
      <c r="F103" s="27" t="str">
        <f>IF(OR(1636115.84011="",""="",""=""),"-",(""-"")/1636115.84011*100)</f>
        <v>-</v>
      </c>
      <c r="G103" s="27" t="str">
        <f>IF(OR(1633487.06476="",80.95778="",""=""),"-",(80.95778-"")/1633487.06476*100)</f>
        <v>-</v>
      </c>
    </row>
    <row r="104" spans="1:7" ht="15.75">
      <c r="A104" s="45" t="s">
        <v>223</v>
      </c>
      <c r="B104" s="27">
        <f>IF(64.1936="","-",64.1936)</f>
        <v>64.1936</v>
      </c>
      <c r="C104" s="27" t="s">
        <v>247</v>
      </c>
      <c r="D104" s="27">
        <f>IF(14.606="","-",14.606/1633487.06476*100)</f>
        <v>0.0008941607384044994</v>
      </c>
      <c r="E104" s="27">
        <f>IF(64.1936="","-",64.1936/1920023.18942*100)</f>
        <v>0.0033433762859599414</v>
      </c>
      <c r="F104" s="27" t="str">
        <f>IF(OR(1636115.84011="",""="",14.606=""),"-",(14.606-"")/1636115.84011*100)</f>
        <v>-</v>
      </c>
      <c r="G104" s="27">
        <f>IF(OR(1633487.06476="",64.1936="",14.606=""),"-",(64.1936-14.606)/1633487.06476*100)</f>
        <v>0.0030356897871906723</v>
      </c>
    </row>
    <row r="105" spans="1:7" ht="15.75">
      <c r="A105" s="45" t="s">
        <v>238</v>
      </c>
      <c r="B105" s="27">
        <f>IF(55.15="","-",55.15)</f>
        <v>55.15</v>
      </c>
      <c r="C105" s="27" t="str">
        <f>IF(OR(""="",55.15=""),"-",55.15/""*100)</f>
        <v>-</v>
      </c>
      <c r="D105" s="27" t="str">
        <f>IF(""="","-",""/1633487.06476*100)</f>
        <v>-</v>
      </c>
      <c r="E105" s="27">
        <f>IF(55.15="","-",55.15/1920023.18942*100)</f>
        <v>0.0028723611414641142</v>
      </c>
      <c r="F105" s="27" t="str">
        <f>IF(OR(1636115.84011="",""="",""=""),"-",(""-"")/1636115.84011*100)</f>
        <v>-</v>
      </c>
      <c r="G105" s="27" t="str">
        <f>IF(OR(1633487.06476="",55.15="",""=""),"-",(55.15-"")/1633487.06476*100)</f>
        <v>-</v>
      </c>
    </row>
    <row r="106" spans="1:7" ht="15.75">
      <c r="A106" s="45" t="s">
        <v>168</v>
      </c>
      <c r="B106" s="27">
        <f>IF(50.98567="","-",50.98567)</f>
        <v>50.98567</v>
      </c>
      <c r="C106" s="27" t="s">
        <v>273</v>
      </c>
      <c r="D106" s="27">
        <f>IF(7.225="","-",7.225/1633487.06476*100)</f>
        <v>0.0004423053084330076</v>
      </c>
      <c r="E106" s="27">
        <f>IF(50.98567="","-",50.98567/1920023.18942*100)</f>
        <v>0.002655471573517908</v>
      </c>
      <c r="F106" s="27" t="str">
        <f>IF(OR(1636115.84011="",""="",7.225=""),"-",(7.225-"")/1636115.84011*100)</f>
        <v>-</v>
      </c>
      <c r="G106" s="27">
        <f>IF(OR(1633487.06476="",50.98567="",7.225=""),"-",(50.98567-7.225)/1633487.06476*100)</f>
        <v>0.002678972545548105</v>
      </c>
    </row>
    <row r="107" spans="1:7" ht="15.75">
      <c r="A107" s="45" t="s">
        <v>266</v>
      </c>
      <c r="B107" s="27">
        <f>IF(48.51914="","-",48.51914)</f>
        <v>48.51914</v>
      </c>
      <c r="C107" s="27" t="s">
        <v>214</v>
      </c>
      <c r="D107" s="27">
        <f>IF(27.79088="","-",27.79088/1633487.06476*100)</f>
        <v>0.0017013223183425193</v>
      </c>
      <c r="E107" s="27">
        <f>IF(48.51914="","-",48.51914/1920023.18942*100)</f>
        <v>0.0025270080209112812</v>
      </c>
      <c r="F107" s="27">
        <f>IF(OR(1636115.84011="",18.09034="",27.79088=""),"-",(27.79088-18.09034)/1636115.84011*100)</f>
        <v>0.0005929005613287021</v>
      </c>
      <c r="G107" s="27">
        <f>IF(OR(1633487.06476="",48.51914="",27.79088=""),"-",(48.51914-27.79088)/1633487.06476*100)</f>
        <v>0.0012689577069314288</v>
      </c>
    </row>
    <row r="108" spans="1:7" ht="15.75">
      <c r="A108" s="45" t="s">
        <v>239</v>
      </c>
      <c r="B108" s="27">
        <f>IF(45.3129="","-",45.3129)</f>
        <v>45.3129</v>
      </c>
      <c r="C108" s="27">
        <f>IF(OR(50.13236="",45.3129=""),"-",45.3129/50.13236*100)</f>
        <v>90.38652878101091</v>
      </c>
      <c r="D108" s="27">
        <f>IF(50.13236="","-",50.13236/1633487.06476*100)</f>
        <v>0.003069039301352882</v>
      </c>
      <c r="E108" s="27">
        <f>IF(45.3129="","-",45.3129/1920023.18942*100)</f>
        <v>0.0023600183711160335</v>
      </c>
      <c r="F108" s="27" t="str">
        <f>IF(OR(1636115.84011="",""="",50.13236=""),"-",(50.13236-"")/1636115.84011*100)</f>
        <v>-</v>
      </c>
      <c r="G108" s="27">
        <f>IF(OR(1633487.06476="",45.3129="",50.13236=""),"-",(45.3129-50.13236)/1633487.06476*100)</f>
        <v>-0.00029504120993502315</v>
      </c>
    </row>
    <row r="109" spans="1:7" ht="15.75">
      <c r="A109" s="52" t="s">
        <v>27</v>
      </c>
      <c r="B109" s="52"/>
      <c r="C109" s="52"/>
      <c r="D109" s="52"/>
      <c r="E109" s="52"/>
      <c r="F109" s="52"/>
      <c r="G109" s="52"/>
    </row>
  </sheetData>
  <sheetProtection/>
  <mergeCells count="10">
    <mergeCell ref="A109:G10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6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33.625" style="0" customWidth="1"/>
    <col min="2" max="2" width="11.125" style="0" customWidth="1"/>
    <col min="3" max="3" width="10.2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66" t="s">
        <v>30</v>
      </c>
      <c r="B1" s="66"/>
      <c r="C1" s="66"/>
      <c r="D1" s="66"/>
      <c r="E1" s="66"/>
      <c r="F1" s="66"/>
      <c r="G1" s="66"/>
    </row>
    <row r="2" ht="15.75">
      <c r="A2" s="2"/>
    </row>
    <row r="3" spans="1:7" ht="56.25" customHeight="1">
      <c r="A3" s="67"/>
      <c r="B3" s="70" t="s">
        <v>252</v>
      </c>
      <c r="C3" s="71"/>
      <c r="D3" s="70" t="s">
        <v>230</v>
      </c>
      <c r="E3" s="71"/>
      <c r="F3" s="72" t="s">
        <v>220</v>
      </c>
      <c r="G3" s="73"/>
    </row>
    <row r="4" spans="1:7" ht="30" customHeight="1">
      <c r="A4" s="68"/>
      <c r="B4" s="74" t="s">
        <v>217</v>
      </c>
      <c r="C4" s="76" t="s">
        <v>253</v>
      </c>
      <c r="D4" s="78" t="s">
        <v>254</v>
      </c>
      <c r="E4" s="78"/>
      <c r="F4" s="78" t="s">
        <v>254</v>
      </c>
      <c r="G4" s="70"/>
    </row>
    <row r="5" spans="1:7" ht="26.25" customHeight="1">
      <c r="A5" s="69"/>
      <c r="B5" s="75"/>
      <c r="C5" s="77"/>
      <c r="D5" s="18">
        <v>2016</v>
      </c>
      <c r="E5" s="18">
        <v>2017</v>
      </c>
      <c r="F5" s="18" t="s">
        <v>2</v>
      </c>
      <c r="G5" s="19" t="s">
        <v>186</v>
      </c>
    </row>
    <row r="6" spans="1:7" s="3" customFormat="1" ht="15">
      <c r="A6" s="7" t="s">
        <v>29</v>
      </c>
      <c r="B6" s="34">
        <f>IF(3904713.17235="","-",3904713.17235)</f>
        <v>3904713.17235</v>
      </c>
      <c r="C6" s="34">
        <f>IF(3275429.97191="","-",3904713.17235/3275429.97191*100)</f>
        <v>119.21223185464859</v>
      </c>
      <c r="D6" s="34">
        <v>100</v>
      </c>
      <c r="E6" s="34">
        <v>100</v>
      </c>
      <c r="F6" s="34">
        <f>IF(3299511.05107="","-",(3275429.97191-3299511.05107)/3299511.05107*100)</f>
        <v>-0.7298378089138672</v>
      </c>
      <c r="G6" s="34">
        <f>IF(3275429.97191="","-",(3904713.17235-3275429.97191)/3275429.97191*100)</f>
        <v>19.212231854648586</v>
      </c>
    </row>
    <row r="7" spans="1:7" ht="12.75" customHeight="1">
      <c r="A7" s="8" t="s">
        <v>3</v>
      </c>
      <c r="B7" s="44"/>
      <c r="C7" s="38"/>
      <c r="D7" s="39"/>
      <c r="E7" s="39"/>
      <c r="F7" s="40"/>
      <c r="G7" s="40"/>
    </row>
    <row r="8" spans="1:7" ht="15.75">
      <c r="A8" s="9" t="s">
        <v>4</v>
      </c>
      <c r="B8" s="26">
        <f>IF(1945061.38824="","-",1945061.38824)</f>
        <v>1945061.38824</v>
      </c>
      <c r="C8" s="26">
        <f>IF(1625474.55028="","-",1945061.38824/1625474.55028*100)</f>
        <v>119.66114067457707</v>
      </c>
      <c r="D8" s="26">
        <f>IF(1625474.55028="","-",1625474.55028/3275429.97191*100)</f>
        <v>49.626295302296995</v>
      </c>
      <c r="E8" s="26">
        <f>IF(1945061.38824="","-",1945061.38824/3904713.17235*100)</f>
        <v>49.81316942850864</v>
      </c>
      <c r="F8" s="26">
        <f>IF(3299511.05107="","-",(1625474.55028-1634400.39906)/3299511.05107*100)</f>
        <v>-0.27052034807112757</v>
      </c>
      <c r="G8" s="26">
        <f>IF(3275429.97191="","-",(1945061.38824-1625474.55028)/3275429.97191*100)</f>
        <v>9.757095730965649</v>
      </c>
    </row>
    <row r="9" spans="1:7" s="16" customFormat="1" ht="15.75">
      <c r="A9" s="45" t="s">
        <v>5</v>
      </c>
      <c r="B9" s="27">
        <f>IF(563455.3087="","-",563455.3087)</f>
        <v>563455.3087</v>
      </c>
      <c r="C9" s="27">
        <f>IF(OR(450230.64742="",563455.3087=""),"-",563455.3087/450230.64742*100)</f>
        <v>125.14814616215537</v>
      </c>
      <c r="D9" s="27">
        <f>IF(450230.64742="","-",450230.64742/3275429.97191*100)</f>
        <v>13.745696024069085</v>
      </c>
      <c r="E9" s="27">
        <f>IF(563455.3087="","-",563455.3087/3904713.17235*100)</f>
        <v>14.430133119378189</v>
      </c>
      <c r="F9" s="27">
        <f>IF(OR(3299511.05107="",481385.34849="",450230.64742=""),"-",(450230.64742-481385.34849)/3299511.05107*100)</f>
        <v>-0.9442217524895647</v>
      </c>
      <c r="G9" s="27">
        <f>IF(OR(3275429.97191="",563455.3087="",450230.64742=""),"-",(563455.3087-450230.64742)/3275429.97191*100)</f>
        <v>3.4567877271384746</v>
      </c>
    </row>
    <row r="10" spans="1:7" s="16" customFormat="1" ht="15.75">
      <c r="A10" s="45" t="s">
        <v>7</v>
      </c>
      <c r="B10" s="27">
        <f>IF(319036.72565="","-",319036.72565)</f>
        <v>319036.72565</v>
      </c>
      <c r="C10" s="27">
        <f>IF(OR(261340.05116="",319036.72565=""),"-",319036.72565/261340.05116*100)</f>
        <v>122.0772415991747</v>
      </c>
      <c r="D10" s="27">
        <f>IF(261340.05116="","-",261340.05116/3275429.97191*100)</f>
        <v>7.978801360470085</v>
      </c>
      <c r="E10" s="27">
        <f>IF(319036.72565="","-",319036.72565/3904713.17235*100)</f>
        <v>8.170554700641224</v>
      </c>
      <c r="F10" s="27">
        <f>IF(OR(3299511.05107="",269814.82723="",261340.05116=""),"-",(261340.05116-269814.82723)/3299511.05107*100)</f>
        <v>-0.2568494525045371</v>
      </c>
      <c r="G10" s="27">
        <f>IF(OR(3275429.97191="",319036.72565="",261340.05116=""),"-",(319036.72565-261340.05116)/3275429.97191*100)</f>
        <v>1.761499253069219</v>
      </c>
    </row>
    <row r="11" spans="1:7" s="16" customFormat="1" ht="15.75">
      <c r="A11" s="45" t="s">
        <v>6</v>
      </c>
      <c r="B11" s="27">
        <f>IF(274890.93253="","-",274890.93253)</f>
        <v>274890.93253</v>
      </c>
      <c r="C11" s="27">
        <f>IF(OR(234678.44442="",274890.93253=""),"-",274890.93253/234678.44442*100)</f>
        <v>117.13514345528573</v>
      </c>
      <c r="D11" s="27">
        <f>IF(234678.44442="","-",234678.44442/3275429.97191*100)</f>
        <v>7.164813365957938</v>
      </c>
      <c r="E11" s="27">
        <f>IF(274890.93253="","-",274890.93253/3904713.17235*100)</f>
        <v>7.039977596217663</v>
      </c>
      <c r="F11" s="27">
        <f>IF(OR(3299511.05107="",229835.71697="",234678.44442=""),"-",(234678.44442-229835.71697)/3299511.05107*100)</f>
        <v>0.14677106319827465</v>
      </c>
      <c r="G11" s="27">
        <f>IF(OR(3275429.97191="",274890.93253="",234678.44442=""),"-",(274890.93253-234678.44442)/3275429.97191*100)</f>
        <v>1.2277010485603785</v>
      </c>
    </row>
    <row r="12" spans="1:7" s="16" customFormat="1" ht="15.75">
      <c r="A12" s="45" t="s">
        <v>8</v>
      </c>
      <c r="B12" s="27">
        <f>IF(133116.6662="","-",133116.6662)</f>
        <v>133116.6662</v>
      </c>
      <c r="C12" s="27">
        <f>IF(OR(105726.18525="",133116.6662=""),"-",133116.6662/105726.18525*100)</f>
        <v>125.90699823816827</v>
      </c>
      <c r="D12" s="27">
        <f>IF(105726.18525="","-",105726.18525/3275429.97191*100)</f>
        <v>3.227856683144043</v>
      </c>
      <c r="E12" s="27">
        <f>IF(133116.6662="","-",133116.6662/3904713.17235*100)</f>
        <v>3.409127900677158</v>
      </c>
      <c r="F12" s="27">
        <f>IF(OR(3299511.05107="",99523.35789="",105726.18525=""),"-",(105726.18525-99523.35789)/3299511.05107*100)</f>
        <v>0.18799231958894266</v>
      </c>
      <c r="G12" s="27">
        <f>IF(OR(3275429.97191="",133116.6662="",105726.18525=""),"-",(133116.6662-105726.18525)/3275429.97191*100)</f>
        <v>0.8362407740327239</v>
      </c>
    </row>
    <row r="13" spans="1:7" s="16" customFormat="1" ht="15.75">
      <c r="A13" s="45" t="s">
        <v>200</v>
      </c>
      <c r="B13" s="27">
        <f>IF(93630.7979="","-",93630.7979)</f>
        <v>93630.7979</v>
      </c>
      <c r="C13" s="27">
        <f>IF(OR(75447.53349="",93630.7979=""),"-",93630.7979/75447.53349*100)</f>
        <v>124.1005418850572</v>
      </c>
      <c r="D13" s="27">
        <f>IF(75447.53349="","-",75447.53349/3275429.97191*100)</f>
        <v>2.3034390640934483</v>
      </c>
      <c r="E13" s="27">
        <f>IF(93630.7979="","-",93630.7979/3904713.17235*100)</f>
        <v>2.397891823732844</v>
      </c>
      <c r="F13" s="27">
        <f>IF(OR(3299511.05107="",66723.09999="",75447.53349=""),"-",(75447.53349-66723.09999)/3299511.05107*100)</f>
        <v>0.26441595027150305</v>
      </c>
      <c r="G13" s="27">
        <f>IF(OR(3275429.97191="",93630.7979="",75447.53349=""),"-",(93630.7979-75447.53349)/3275429.97191*100)</f>
        <v>0.555141296438611</v>
      </c>
    </row>
    <row r="14" spans="1:7" s="16" customFormat="1" ht="15.75">
      <c r="A14" s="45" t="s">
        <v>125</v>
      </c>
      <c r="B14" s="27">
        <f>IF(81508.3948="","-",81508.3948)</f>
        <v>81508.3948</v>
      </c>
      <c r="C14" s="27">
        <f>IF(OR(66723.8536="",81508.3948=""),"-",81508.3948/66723.8536*100)</f>
        <v>122.15780474645726</v>
      </c>
      <c r="D14" s="27">
        <f>IF(66723.8536="","-",66723.8536/3275429.97191*100)</f>
        <v>2.0371021262008955</v>
      </c>
      <c r="E14" s="27">
        <f>IF(81508.3948="","-",81508.3948/3904713.17235*100)</f>
        <v>2.0874361624606923</v>
      </c>
      <c r="F14" s="27">
        <f>IF(OR(3299511.05107="",56382.62421="",66723.8536=""),"-",(66723.8536-56382.62421)/3299511.05107*100)</f>
        <v>0.313417025430069</v>
      </c>
      <c r="G14" s="27">
        <f>IF(OR(3275429.97191="",81508.3948="",66723.8536=""),"-",(81508.3948-66723.8536)/3275429.97191*100)</f>
        <v>0.45137711160952376</v>
      </c>
    </row>
    <row r="15" spans="1:7" s="16" customFormat="1" ht="15.75">
      <c r="A15" s="45" t="s">
        <v>11</v>
      </c>
      <c r="B15" s="27">
        <f>IF(65635.98216="","-",65635.98216)</f>
        <v>65635.98216</v>
      </c>
      <c r="C15" s="27">
        <f>IF(OR(63334.37461="",65635.98216=""),"-",65635.98216/63334.37461*100)</f>
        <v>103.63405743590717</v>
      </c>
      <c r="D15" s="27">
        <f>IF(63334.37461="","-",63334.37461/3275429.97191*100)</f>
        <v>1.933620170577723</v>
      </c>
      <c r="E15" s="27">
        <f>IF(65635.98216="","-",65635.98216/3904713.17235*100)</f>
        <v>1.680942472926836</v>
      </c>
      <c r="F15" s="27">
        <f>IF(OR(3299511.05107="",77590.37305="",63334.37461=""),"-",(63334.37461-77590.37305)/3299511.05107*100)</f>
        <v>-0.4320639700654104</v>
      </c>
      <c r="G15" s="27">
        <f>IF(OR(3275429.97191="",65635.98216="",63334.37461=""),"-",(65635.98216-63334.37461)/3275429.97191*100)</f>
        <v>0.07026886759108042</v>
      </c>
    </row>
    <row r="16" spans="1:7" s="16" customFormat="1" ht="15.75">
      <c r="A16" s="45" t="s">
        <v>9</v>
      </c>
      <c r="B16" s="27">
        <f>IF(60502.35257="","-",60502.35257)</f>
        <v>60502.35257</v>
      </c>
      <c r="C16" s="27">
        <f>IF(OR(47911.31484="",60502.35257=""),"-",60502.35257/47911.31484*100)</f>
        <v>126.27988351404636</v>
      </c>
      <c r="D16" s="27">
        <f>IF(47911.31484="","-",47911.31484/3275429.97191*100)</f>
        <v>1.4627488681146035</v>
      </c>
      <c r="E16" s="27">
        <f>IF(60502.35257="","-",60502.35257/3904713.17235*100)</f>
        <v>1.549469830420027</v>
      </c>
      <c r="F16" s="27">
        <f>IF(OR(3299511.05107="",54951.22757="",47911.31484=""),"-",(47911.31484-54951.22757)/3299511.05107*100)</f>
        <v>-0.21336230189976257</v>
      </c>
      <c r="G16" s="27">
        <f>IF(OR(3275429.97191="",60502.35257="",47911.31484=""),"-",(60502.35257-47911.31484)/3275429.97191*100)</f>
        <v>0.3844086986435493</v>
      </c>
    </row>
    <row r="17" spans="1:7" s="16" customFormat="1" ht="15.75">
      <c r="A17" s="45" t="s">
        <v>10</v>
      </c>
      <c r="B17" s="27">
        <f>IF(53362.4184="","-",53362.4184)</f>
        <v>53362.4184</v>
      </c>
      <c r="C17" s="27">
        <f>IF(OR(44178.91879="",53362.4184=""),"-",53362.4184/44178.91879*100)</f>
        <v>120.7870628379405</v>
      </c>
      <c r="D17" s="27">
        <f>IF(44178.91879="","-",44178.91879/3275429.97191*100)</f>
        <v>1.3487975370829857</v>
      </c>
      <c r="E17" s="27">
        <f>IF(53362.4184="","-",53362.4184/3904713.17235*100)</f>
        <v>1.3666155757065388</v>
      </c>
      <c r="F17" s="27">
        <f>IF(OR(3299511.05107="",41840.36163="",44178.91879=""),"-",(44178.91879-41840.36163)/3299511.05107*100)</f>
        <v>0.07087586990325831</v>
      </c>
      <c r="G17" s="27">
        <f>IF(OR(3275429.97191="",53362.4184="",44178.91879=""),"-",(53362.4184-44178.91879)/3275429.97191*100)</f>
        <v>0.2803753915900339</v>
      </c>
    </row>
    <row r="18" spans="1:7" s="16" customFormat="1" ht="15.75">
      <c r="A18" s="45" t="s">
        <v>123</v>
      </c>
      <c r="B18" s="27">
        <f>IF(48708.86362="","-",48708.86362)</f>
        <v>48708.86362</v>
      </c>
      <c r="C18" s="27">
        <f>IF(OR(40568.95921="",48708.86362=""),"-",48708.86362/40568.95921*100)</f>
        <v>120.06436588098015</v>
      </c>
      <c r="D18" s="27">
        <f>IF(40568.95921="","-",40568.95921/3275429.97191*100)</f>
        <v>1.2385842334569297</v>
      </c>
      <c r="E18" s="27">
        <f>IF(48708.86362="","-",48708.86362/3904713.17235*100)</f>
        <v>1.2474376854340163</v>
      </c>
      <c r="F18" s="27">
        <f>IF(OR(3299511.05107="",35925.34376="",40568.95921=""),"-",(40568.95921-35925.34376)/3299511.05107*100)</f>
        <v>0.14073647210528714</v>
      </c>
      <c r="G18" s="27">
        <f>IF(OR(3275429.97191="",48708.86362="",40568.95921=""),"-",(48708.86362-40568.95921)/3275429.97191*100)</f>
        <v>0.24851407234493175</v>
      </c>
    </row>
    <row r="19" spans="1:7" s="16" customFormat="1" ht="15.75">
      <c r="A19" s="45" t="s">
        <v>209</v>
      </c>
      <c r="B19" s="27">
        <f>IF(47472.43144="","-",47472.43144)</f>
        <v>47472.43144</v>
      </c>
      <c r="C19" s="27">
        <f>IF(OR(53528.20941="",47472.43144=""),"-",47472.43144/53528.20941*100)</f>
        <v>88.68675407463064</v>
      </c>
      <c r="D19" s="27">
        <f>IF(53528.20941="","-",53528.20941/3275429.97191*100)</f>
        <v>1.6342345850485738</v>
      </c>
      <c r="E19" s="27">
        <f>IF(47472.43144="","-",47472.43144/3904713.17235*100)</f>
        <v>1.215772563684347</v>
      </c>
      <c r="F19" s="27">
        <f>IF(OR(3299511.05107="",44068.68795="",53528.20941=""),"-",(53528.20941-44068.68795)/3299511.05107*100)</f>
        <v>0.2866946439513325</v>
      </c>
      <c r="G19" s="27">
        <f>IF(OR(3275429.97191="",47472.43144="",53528.20941=""),"-",(47472.43144-53528.20941)/3275429.97191*100)</f>
        <v>-0.18488497760398462</v>
      </c>
    </row>
    <row r="20" spans="1:7" s="16" customFormat="1" ht="15.75">
      <c r="A20" s="45" t="s">
        <v>13</v>
      </c>
      <c r="B20" s="27">
        <f>IF(38337.96047="","-",38337.96047)</f>
        <v>38337.96047</v>
      </c>
      <c r="C20" s="27">
        <f>IF(OR(35432.4064="",38337.96047=""),"-",38337.96047/35432.4064*100)</f>
        <v>108.20027304157361</v>
      </c>
      <c r="D20" s="27">
        <f>IF(35432.4064="","-",35432.4064/3275429.97191*100)</f>
        <v>1.0817635151374743</v>
      </c>
      <c r="E20" s="27">
        <f>IF(38337.96047="","-",38337.96047/3904713.17235*100)</f>
        <v>0.9818380705010096</v>
      </c>
      <c r="F20" s="27">
        <f>IF(OR(3299511.05107="",34672.6254="",35432.4064=""),"-",(35432.4064-34672.6254)/3299511.05107*100)</f>
        <v>0.0230270785046655</v>
      </c>
      <c r="G20" s="27">
        <f>IF(OR(3275429.97191="",38337.96047="",35432.4064=""),"-",(38337.96047-35432.4064)/3275429.97191*100)</f>
        <v>0.08870756190539723</v>
      </c>
    </row>
    <row r="21" spans="1:7" s="16" customFormat="1" ht="15.75">
      <c r="A21" s="45" t="s">
        <v>124</v>
      </c>
      <c r="B21" s="27">
        <f>IF(31758.78457="","-",31758.78457)</f>
        <v>31758.78457</v>
      </c>
      <c r="C21" s="27">
        <f>IF(OR(25486.67598="",31758.78457=""),"-",31758.78457/25486.67598*100)</f>
        <v>124.60936292720899</v>
      </c>
      <c r="D21" s="27">
        <f>IF(25486.67598="","-",25486.67598/3275429.97191*100)</f>
        <v>0.778116955592794</v>
      </c>
      <c r="E21" s="27">
        <f>IF(31758.78457="","-",31758.78457/3904713.17235*100)</f>
        <v>0.8133448775415787</v>
      </c>
      <c r="F21" s="27">
        <f>IF(OR(3299511.05107="",27887.76089="",25486.67598=""),"-",(25486.67598-27887.76089)/3299511.05107*100)</f>
        <v>-0.07277093099055851</v>
      </c>
      <c r="G21" s="27">
        <f>IF(OR(3275429.97191="",31758.78457="",25486.67598=""),"-",(31758.78457-25486.67598)/3275429.97191*100)</f>
        <v>0.19148962559998034</v>
      </c>
    </row>
    <row r="22" spans="1:7" s="16" customFormat="1" ht="15.75">
      <c r="A22" s="45" t="s">
        <v>12</v>
      </c>
      <c r="B22" s="27">
        <f>IF(20359.05315="","-",20359.05315)</f>
        <v>20359.05315</v>
      </c>
      <c r="C22" s="27">
        <f>IF(OR(15897.02183="",20359.05315=""),"-",20359.05315/15897.02183*100)</f>
        <v>128.06834744089926</v>
      </c>
      <c r="D22" s="27">
        <f>IF(15897.02183="","-",15897.02183/3275429.97191*100)</f>
        <v>0.4853415266493998</v>
      </c>
      <c r="E22" s="27">
        <f>IF(20359.05315="","-",20359.05315/3904713.17235*100)</f>
        <v>0.5213968927133045</v>
      </c>
      <c r="F22" s="27">
        <f>IF(OR(3299511.05107="",16334.3811="",15897.02183=""),"-",(15897.02183-16334.3811)/3299511.05107*100)</f>
        <v>-0.013255275197765115</v>
      </c>
      <c r="G22" s="27">
        <f>IF(OR(3275429.97191="",20359.05315="",15897.02183=""),"-",(20359.05315-15897.02183)/3275429.97191*100)</f>
        <v>0.13622734597491817</v>
      </c>
    </row>
    <row r="23" spans="1:7" s="16" customFormat="1" ht="15.75">
      <c r="A23" s="45" t="s">
        <v>127</v>
      </c>
      <c r="B23" s="27">
        <f>IF(19337.57405="","-",19337.57405)</f>
        <v>19337.57405</v>
      </c>
      <c r="C23" s="27">
        <f>IF(OR(15046.31575="",19337.57405=""),"-",19337.57405/15046.31575*100)</f>
        <v>128.520325980797</v>
      </c>
      <c r="D23" s="27">
        <f>IF(15046.31575="","-",15046.31575/3275429.97191*100)</f>
        <v>0.4593691783685441</v>
      </c>
      <c r="E23" s="27">
        <f>IF(19337.57405="","-",19337.57405/3904713.17235*100)</f>
        <v>0.4952367356182</v>
      </c>
      <c r="F23" s="27">
        <f>IF(OR(3299511.05107="",12338.37372="",15046.31575=""),"-",(15046.31575-12338.37372)/3299511.05107*100)</f>
        <v>0.08207100955524425</v>
      </c>
      <c r="G23" s="27">
        <f>IF(OR(3275429.97191="",19337.57405="",15046.31575=""),"-",(19337.57405-15046.31575)/3275429.97191*100)</f>
        <v>0.13101358712601754</v>
      </c>
    </row>
    <row r="24" spans="1:7" s="16" customFormat="1" ht="15.75">
      <c r="A24" s="45" t="s">
        <v>133</v>
      </c>
      <c r="B24" s="27">
        <f>IF(16053.79785="","-",16053.79785)</f>
        <v>16053.79785</v>
      </c>
      <c r="C24" s="27">
        <f>IF(OR(14776.26871="",16053.79785=""),"-",16053.79785/14776.26871*100)</f>
        <v>108.64581691814672</v>
      </c>
      <c r="D24" s="27">
        <f>IF(14776.26871="","-",14776.26871/3275429.97191*100)</f>
        <v>0.45112454965366033</v>
      </c>
      <c r="E24" s="27">
        <f>IF(16053.79785="","-",16053.79785/3904713.17235*100)</f>
        <v>0.41113897849603726</v>
      </c>
      <c r="F24" s="27">
        <f>IF(OR(3299511.05107="",13102.42136="",14776.26871=""),"-",(14776.26871-13102.42136)/3299511.05107*100)</f>
        <v>0.05073016347246927</v>
      </c>
      <c r="G24" s="27">
        <f>IF(OR(3275429.97191="",16053.79785="",14776.26871=""),"-",(16053.79785-14776.26871)/3275429.97191*100)</f>
        <v>0.03900340263586938</v>
      </c>
    </row>
    <row r="25" spans="1:7" s="16" customFormat="1" ht="15.75">
      <c r="A25" s="45" t="s">
        <v>135</v>
      </c>
      <c r="B25" s="27">
        <f>IF(13235.76731="","-",13235.76731)</f>
        <v>13235.76731</v>
      </c>
      <c r="C25" s="27">
        <f>IF(OR(13147.81654="",13235.76731=""),"-",13235.76731/13147.81654*100)</f>
        <v>100.66893822052067</v>
      </c>
      <c r="D25" s="27">
        <f>IF(13147.81654="","-",13147.81654/3275429.97191*100)</f>
        <v>0.40140734660045624</v>
      </c>
      <c r="E25" s="27">
        <f>IF(13235.76731="","-",13235.76731/3904713.17235*100)</f>
        <v>0.33896900299169036</v>
      </c>
      <c r="F25" s="27">
        <f>IF(OR(3299511.05107="",13545.64621="",13147.81654=""),"-",(13147.81654-13545.64621)/3299511.05107*100)</f>
        <v>-0.012057231021274761</v>
      </c>
      <c r="G25" s="27">
        <f>IF(OR(3275429.97191="",13235.76731="",13147.81654=""),"-",(13235.76731-13147.81654)/3275429.97191*100)</f>
        <v>0.0026851671613883654</v>
      </c>
    </row>
    <row r="26" spans="1:7" s="16" customFormat="1" ht="15.75">
      <c r="A26" s="45" t="s">
        <v>131</v>
      </c>
      <c r="B26" s="27">
        <f>IF(11970.79875="","-",11970.79875)</f>
        <v>11970.79875</v>
      </c>
      <c r="C26" s="27">
        <f>IF(OR(9677.07573="",11970.79875=""),"-",11970.79875/9677.07573*100)</f>
        <v>123.70264617118998</v>
      </c>
      <c r="D26" s="27">
        <f>IF(9677.07573="","-",9677.07573/3275429.97191*100)</f>
        <v>0.29544443975265366</v>
      </c>
      <c r="E26" s="27">
        <f>IF(11970.79875="","-",11970.79875/3904713.17235*100)</f>
        <v>0.3065730623895105</v>
      </c>
      <c r="F26" s="27">
        <f>IF(OR(3299511.05107="",12413.34547="",9677.07573=""),"-",(9677.07573-12413.34547)/3299511.05107*100)</f>
        <v>-0.0829295522169157</v>
      </c>
      <c r="G26" s="27">
        <f>IF(OR(3275429.97191="",11970.79875="",9677.07573=""),"-",(11970.79875-9677.07573)/3275429.97191*100)</f>
        <v>0.07002815018702604</v>
      </c>
    </row>
    <row r="27" spans="1:7" s="16" customFormat="1" ht="15.75">
      <c r="A27" s="45" t="s">
        <v>132</v>
      </c>
      <c r="B27" s="27">
        <f>IF(11082.76853="","-",11082.76853)</f>
        <v>11082.76853</v>
      </c>
      <c r="C27" s="27">
        <f>IF(OR(10290.50183="",11082.76853=""),"-",11082.76853/10290.50183*100)</f>
        <v>107.69900936891432</v>
      </c>
      <c r="D27" s="27">
        <f>IF(10290.50183="","-",10290.50183/3275429.97191*100)</f>
        <v>0.3141725488943763</v>
      </c>
      <c r="E27" s="27">
        <f>IF(11082.76853="","-",11082.76853/3904713.17235*100)</f>
        <v>0.28383054121565554</v>
      </c>
      <c r="F27" s="27">
        <f>IF(OR(3299511.05107="",10785.26091="",10290.50183=""),"-",(10290.50183-10785.26091)/3299511.05107*100)</f>
        <v>-0.014994921136559189</v>
      </c>
      <c r="G27" s="27">
        <f>IF(OR(3275429.97191="",11082.76853="",10290.50183=""),"-",(11082.76853-10290.50183)/3275429.97191*100)</f>
        <v>0.02418817397393497</v>
      </c>
    </row>
    <row r="28" spans="1:7" s="16" customFormat="1" ht="15.75">
      <c r="A28" s="45" t="s">
        <v>134</v>
      </c>
      <c r="B28" s="27">
        <f>IF(10901.1922="","-",10901.1922)</f>
        <v>10901.1922</v>
      </c>
      <c r="C28" s="27">
        <f>IF(OR(10703.35103="",10901.1922=""),"-",10901.1922/10703.35103*100)</f>
        <v>101.84840401333636</v>
      </c>
      <c r="D28" s="27">
        <f>IF(10703.35103="","-",10703.35103/3275429.97191*100)</f>
        <v>0.3267769765127526</v>
      </c>
      <c r="E28" s="27">
        <f>IF(10901.1922="","-",10901.1922/3904713.17235*100)</f>
        <v>0.27918035765580346</v>
      </c>
      <c r="F28" s="27">
        <f>IF(OR(3299511.05107="",5815.74178="",10703.35103=""),"-",(10703.35103-5815.74178)/3299511.05107*100)</f>
        <v>0.14813131928789855</v>
      </c>
      <c r="G28" s="27">
        <f>IF(OR(3275429.97191="",10901.1922="",10703.35103=""),"-",(10901.1922-10703.35103)/3275429.97191*100)</f>
        <v>0.006040158748520966</v>
      </c>
    </row>
    <row r="29" spans="1:7" s="16" customFormat="1" ht="15.75">
      <c r="A29" s="45" t="s">
        <v>126</v>
      </c>
      <c r="B29" s="27">
        <f>IF(9294.17742="","-",9294.17742)</f>
        <v>9294.17742</v>
      </c>
      <c r="C29" s="27">
        <f>IF(OR(11726.7879="",9294.17742=""),"-",9294.17742/11726.7879*100)</f>
        <v>79.2559522629381</v>
      </c>
      <c r="D29" s="27">
        <f>IF(11726.7879="","-",11726.7879/3275429.97191*100)</f>
        <v>0.3580228550318163</v>
      </c>
      <c r="E29" s="27">
        <f>IF(9294.17742="","-",9294.17742/3904713.17235*100)</f>
        <v>0.2380245874604516</v>
      </c>
      <c r="F29" s="27">
        <f>IF(OR(3299511.05107="",8542.9684="",11726.7879=""),"-",(11726.7879-8542.9684)/3299511.05107*100)</f>
        <v>0.09649367590290438</v>
      </c>
      <c r="G29" s="27">
        <f>IF(OR(3275429.97191="",9294.17742="",11726.7879=""),"-",(9294.17742-11726.7879)/3275429.97191*100)</f>
        <v>-0.07426843195739191</v>
      </c>
    </row>
    <row r="30" spans="1:7" s="16" customFormat="1" ht="15.75">
      <c r="A30" s="45" t="s">
        <v>128</v>
      </c>
      <c r="B30" s="27">
        <f>IF(6777.5956="","-",6777.5956)</f>
        <v>6777.5956</v>
      </c>
      <c r="C30" s="27">
        <f>IF(OR(7033.1294="",6777.5956=""),"-",6777.5956/7033.1294*100)</f>
        <v>96.36671266136521</v>
      </c>
      <c r="D30" s="27">
        <f>IF(7033.1294="","-",7033.1294/3275429.97191*100)</f>
        <v>0.21472385183978684</v>
      </c>
      <c r="E30" s="27">
        <f>IF(6777.5956="","-",6777.5956/3904713.17235*100)</f>
        <v>0.17357473650032515</v>
      </c>
      <c r="F30" s="27">
        <f>IF(OR(3299511.05107="",6684.78604="",7033.1294=""),"-",(7033.1294-6684.78604)/3299511.05107*100)</f>
        <v>0.010557423648786852</v>
      </c>
      <c r="G30" s="27">
        <f>IF(OR(3275429.97191="",6777.5956="",7033.1294=""),"-",(6777.5956-7033.1294)/3275429.97191*100)</f>
        <v>-0.007801534521923876</v>
      </c>
    </row>
    <row r="31" spans="1:7" s="16" customFormat="1" ht="15.75">
      <c r="A31" s="45" t="s">
        <v>136</v>
      </c>
      <c r="B31" s="27">
        <f>IF(5617.46916="","-",5617.46916)</f>
        <v>5617.46916</v>
      </c>
      <c r="C31" s="27">
        <f>IF(OR(4688.59919="",5617.46916=""),"-",5617.46916/4688.59919*100)</f>
        <v>119.81124707740265</v>
      </c>
      <c r="D31" s="27">
        <f>IF(4688.59919="","-",4688.59919/3275429.97191*100)</f>
        <v>0.14314454072318145</v>
      </c>
      <c r="E31" s="27">
        <f>IF(5617.46916="","-",5617.46916/3904713.17235*100)</f>
        <v>0.14386381052975525</v>
      </c>
      <c r="F31" s="27">
        <f>IF(OR(3299511.05107="",5337.54554="",4688.59919=""),"-",(4688.59919-5337.54554)/3299511.05107*100)</f>
        <v>-0.019667955038051868</v>
      </c>
      <c r="G31" s="27">
        <f>IF(OR(3275429.97191="",5617.46916="",4688.59919=""),"-",(5617.46916-4688.59919)/3275429.97191*100)</f>
        <v>0.02835871864048274</v>
      </c>
    </row>
    <row r="32" spans="1:7" s="16" customFormat="1" ht="15.75">
      <c r="A32" s="45" t="s">
        <v>129</v>
      </c>
      <c r="B32" s="27">
        <f>IF(4158.73746="","-",4158.73746)</f>
        <v>4158.73746</v>
      </c>
      <c r="C32" s="27">
        <f>IF(OR(3624.22717="",4158.73746=""),"-",4158.73746/3624.22717*100)</f>
        <v>114.74825569502036</v>
      </c>
      <c r="D32" s="27">
        <f>IF(3624.22717="","-",3624.22717/3275429.97191*100)</f>
        <v>0.11064889804029626</v>
      </c>
      <c r="E32" s="27">
        <f>IF(4158.73746="","-",4158.73746/3904713.17235*100)</f>
        <v>0.10650558124086537</v>
      </c>
      <c r="F32" s="27">
        <f>IF(OR(3299511.05107="",5088.35701="",3624.22717=""),"-",(3624.22717-5088.35701)/3299511.05107*100)</f>
        <v>-0.044374145663952126</v>
      </c>
      <c r="G32" s="27">
        <f>IF(OR(3275429.97191="",4158.73746="",3624.22717=""),"-",(4158.73746-3624.22717)/3275429.97191*100)</f>
        <v>0.016318782406705264</v>
      </c>
    </row>
    <row r="33" spans="1:7" s="16" customFormat="1" ht="15.75">
      <c r="A33" s="45" t="s">
        <v>137</v>
      </c>
      <c r="B33" s="27">
        <f>IF(2012.34081="","-",2012.34081)</f>
        <v>2012.34081</v>
      </c>
      <c r="C33" s="27">
        <f>IF(OR(1994.53855="",2012.34081=""),"-",2012.34081/1994.53855*100)</f>
        <v>100.89255030944375</v>
      </c>
      <c r="D33" s="27">
        <f>IF(1994.53855="","-",1994.53855/3275429.97191*100)</f>
        <v>0.06089394574468419</v>
      </c>
      <c r="E33" s="27">
        <f>IF(2012.34081="","-",2012.34081/3904713.17235*100)</f>
        <v>0.05153620051402903</v>
      </c>
      <c r="F33" s="27">
        <f>IF(OR(3299511.05107="",1864.35202="",1994.53855=""),"-",(1994.53855-1864.35202)/3299511.05107*100)</f>
        <v>0.003945630973346238</v>
      </c>
      <c r="G33" s="27">
        <f>IF(OR(3275429.97191="",2012.34081="",1994.53855=""),"-",(2012.34081-1994.53855)/3275429.97191*100)</f>
        <v>0.0005435091011766895</v>
      </c>
    </row>
    <row r="34" spans="1:7" s="16" customFormat="1" ht="15.75">
      <c r="A34" s="45" t="s">
        <v>201</v>
      </c>
      <c r="B34" s="27">
        <f>IF(1753.3375="","-",1753.3375)</f>
        <v>1753.3375</v>
      </c>
      <c r="C34" s="27">
        <f>IF(OR(1488.1336="",1753.3375=""),"-",1753.3375/1488.1336*100)</f>
        <v>117.82124266262117</v>
      </c>
      <c r="D34" s="27">
        <f>IF(1488.1336="","-",1488.1336/3275429.97191*100)</f>
        <v>0.045433229003892434</v>
      </c>
      <c r="E34" s="27">
        <f>IF(1753.3375="","-",1753.3375/3904713.17235*100)</f>
        <v>0.044903106133779784</v>
      </c>
      <c r="F34" s="27">
        <f>IF(OR(3299511.05107="",1194.69272="",1488.1336=""),"-",(1488.1336-1194.69272)/3299511.05107*100)</f>
        <v>0.008893465591055978</v>
      </c>
      <c r="G34" s="27">
        <f>IF(OR(3275429.97191="",1753.3375="",1488.1336=""),"-",(1753.3375-1488.1336)/3275429.97191*100)</f>
        <v>0.008096765990248053</v>
      </c>
    </row>
    <row r="35" spans="1:7" s="16" customFormat="1" ht="15.75">
      <c r="A35" s="45" t="s">
        <v>130</v>
      </c>
      <c r="B35" s="27">
        <f>IF(853.79302="","-",853.79302)</f>
        <v>853.79302</v>
      </c>
      <c r="C35" s="27">
        <f>IF(OR(510.69207="",853.79302=""),"-",853.79302/510.69207*100)</f>
        <v>167.18352803089346</v>
      </c>
      <c r="D35" s="27">
        <f>IF(510.69207="","-",510.69207/3275429.97191*100)</f>
        <v>0.015591603984199984</v>
      </c>
      <c r="E35" s="27">
        <f>IF(853.79302="","-",853.79302/3904713.17235*100)</f>
        <v>0.021865703889490964</v>
      </c>
      <c r="F35" s="27">
        <f>IF(OR(3299511.05107="",594.87031="",510.69207=""),"-",(510.69207-594.87031)/3299511.05107*100)</f>
        <v>-0.0025512337645513207</v>
      </c>
      <c r="G35" s="27">
        <f>IF(OR(3275429.97191="",853.79302="",510.69207=""),"-",(853.79302-510.69207)/3275429.97191*100)</f>
        <v>0.010474989633190896</v>
      </c>
    </row>
    <row r="36" spans="1:7" s="16" customFormat="1" ht="15.75">
      <c r="A36" s="45" t="s">
        <v>138</v>
      </c>
      <c r="B36" s="27">
        <f>IF(235.36642="","-",235.36642)</f>
        <v>235.36642</v>
      </c>
      <c r="C36" s="27">
        <f>IF(OR(282.5164="",235.36642=""),"-",235.36642/282.5164*100)</f>
        <v>83.31071045787077</v>
      </c>
      <c r="D36" s="27">
        <f>IF(282.5164="","-",282.5164/3275429.97191*100)</f>
        <v>0.008625322550714047</v>
      </c>
      <c r="E36" s="27">
        <f>IF(235.36642="","-",235.36642/3904713.17235*100)</f>
        <v>0.006027751837616995</v>
      </c>
      <c r="F36" s="27">
        <f>IF(OR(3299511.05107="",156.30144="",282.5164=""),"-",(282.5164-156.30144)/3299511.05107*100)</f>
        <v>0.003825262532734044</v>
      </c>
      <c r="G36" s="27">
        <f>IF(OR(3275429.97191="",235.36642="",282.5164=""),"-",(235.36642-282.5164)/3275429.97191*100)</f>
        <v>-0.0014395050544312332</v>
      </c>
    </row>
    <row r="37" spans="1:7" s="16" customFormat="1" ht="15.75">
      <c r="A37" s="15" t="s">
        <v>14</v>
      </c>
      <c r="B37" s="26">
        <f>IF(964408.59234="","-",964408.59234)</f>
        <v>964408.59234</v>
      </c>
      <c r="C37" s="26">
        <f>IF(828045.62091="","-",964408.59234/828045.62091*100)</f>
        <v>116.4680505501787</v>
      </c>
      <c r="D37" s="26">
        <f>IF(828045.62091="","-",828045.62091/3275429.97191*100)</f>
        <v>25.280516695862747</v>
      </c>
      <c r="E37" s="26">
        <f>IF(964408.59234="","-",964408.59234/3904713.17235*100)</f>
        <v>24.698577072681204</v>
      </c>
      <c r="F37" s="26">
        <f>IF(3299511.05107="","-",(828045.62091-823992.18546)/3299511.05107*100)</f>
        <v>0.1228495794455853</v>
      </c>
      <c r="G37" s="26">
        <f>IF(3275429.97191="","-",(964408.59234-828045.62091)/3275429.97191*100)</f>
        <v>4.163208268821044</v>
      </c>
    </row>
    <row r="38" spans="1:7" s="16" customFormat="1" ht="15.75">
      <c r="A38" s="45" t="s">
        <v>210</v>
      </c>
      <c r="B38" s="27">
        <f>IF(442919.69753="","-",442919.69753)</f>
        <v>442919.69753</v>
      </c>
      <c r="C38" s="27">
        <f>IF(OR(421569.28473="",442919.69753=""),"-",442919.69753/421569.28473*100)</f>
        <v>105.06450862843913</v>
      </c>
      <c r="D38" s="27">
        <f>IF(421569.28473="","-",421569.28473/3275429.97191*100)</f>
        <v>12.870654794801506</v>
      </c>
      <c r="E38" s="27">
        <f>IF(442919.69753="","-",442919.69753/3904713.17235*100)</f>
        <v>11.343206990628575</v>
      </c>
      <c r="F38" s="27">
        <f>IF(OR(3299511.05107="",424432.06753="",421569.28473=""),"-",(421569.28473-424432.06753)/3299511.05107*100)</f>
        <v>-0.08676384942161697</v>
      </c>
      <c r="G38" s="27">
        <f>IF(OR(3275429.97191="",442919.69753="",421569.28473=""),"-",(442919.69753-421569.28473)/3275429.97191*100)</f>
        <v>0.6518354226193374</v>
      </c>
    </row>
    <row r="39" spans="1:7" s="16" customFormat="1" ht="15.75">
      <c r="A39" s="45" t="s">
        <v>16</v>
      </c>
      <c r="B39" s="27">
        <f>IF(419001.19083="","-",419001.19083)</f>
        <v>419001.19083</v>
      </c>
      <c r="C39" s="27">
        <f>IF(OR(316083.84128="",419001.19083=""),"-",419001.19083/316083.84128*100)</f>
        <v>132.56014262963592</v>
      </c>
      <c r="D39" s="27">
        <f>IF(316083.84128="","-",316083.84128/3275429.97191*100)</f>
        <v>9.650148041348054</v>
      </c>
      <c r="E39" s="27">
        <f>IF(419001.19083="","-",419001.19083/3904713.17235*100)</f>
        <v>10.730652222985936</v>
      </c>
      <c r="F39" s="27">
        <f>IF(OR(3299511.05107="",307876.73411="",316083.84128=""),"-",(316083.84128-307876.73411)/3299511.05107*100)</f>
        <v>0.24873707173487075</v>
      </c>
      <c r="G39" s="27">
        <f>IF(OR(3275429.97191="",419001.19083="",316083.84128=""),"-",(419001.19083-316083.84128)/3275429.97191*100)</f>
        <v>3.142101966233943</v>
      </c>
    </row>
    <row r="40" spans="1:7" s="16" customFormat="1" ht="15.75">
      <c r="A40" s="45" t="s">
        <v>15</v>
      </c>
      <c r="B40" s="27">
        <f>IF(95252.09335="","-",95252.09335)</f>
        <v>95252.09335</v>
      </c>
      <c r="C40" s="27">
        <f>IF(OR(84455.21483="",95252.09335=""),"-",95252.09335/84455.21483*100)</f>
        <v>112.78414665303148</v>
      </c>
      <c r="D40" s="27">
        <f>IF(84455.21483="","-",84455.21483/3275429.97191*100)</f>
        <v>2.578446663622354</v>
      </c>
      <c r="E40" s="27">
        <f>IF(95252.09335="","-",95252.09335/3904713.17235*100)</f>
        <v>2.439413322968196</v>
      </c>
      <c r="F40" s="27">
        <f>IF(OR(3299511.05107="",68330.83812="",84455.21483=""),"-",(84455.21483-68330.83812)/3299511.05107*100)</f>
        <v>0.48868988345321696</v>
      </c>
      <c r="G40" s="27">
        <f>IF(OR(3275429.97191="",95252.09335="",84455.21483=""),"-",(95252.09335-84455.21483)/3275429.97191*100)</f>
        <v>0.32963240284767925</v>
      </c>
    </row>
    <row r="41" spans="1:7" s="16" customFormat="1" ht="15.75">
      <c r="A41" s="45" t="s">
        <v>19</v>
      </c>
      <c r="B41" s="27">
        <f>IF(5063.04358="","-",5063.04358)</f>
        <v>5063.04358</v>
      </c>
      <c r="C41" s="27" t="s">
        <v>193</v>
      </c>
      <c r="D41" s="27">
        <f>IF(2333.21632="","-",2333.21632/3275429.97191*100)</f>
        <v>0.07123389417601968</v>
      </c>
      <c r="E41" s="27">
        <f>IF(5063.04358="","-",5063.04358/3904713.17235*100)</f>
        <v>0.12966492944609484</v>
      </c>
      <c r="F41" s="27">
        <f>IF(OR(3299511.05107="",10338.75586="",2333.21632=""),"-",(2333.21632-10338.75586)/3299511.05107*100)</f>
        <v>-0.2426280565844409</v>
      </c>
      <c r="G41" s="27">
        <f>IF(OR(3275429.97191="",5063.04358="",2333.21632=""),"-",(5063.04358-2333.21632)/3275429.97191*100)</f>
        <v>0.08334256214942544</v>
      </c>
    </row>
    <row r="42" spans="1:7" s="16" customFormat="1" ht="15.75">
      <c r="A42" s="45" t="s">
        <v>17</v>
      </c>
      <c r="B42" s="27">
        <f>IF(1461.33501="","-",1461.33501)</f>
        <v>1461.33501</v>
      </c>
      <c r="C42" s="27">
        <f>IF(OR(2636.67247="",1461.33501=""),"-",1461.33501/2636.67247*100)</f>
        <v>55.42345614129312</v>
      </c>
      <c r="D42" s="27">
        <f>IF(2636.67247="","-",2636.67247/3275429.97191*100)</f>
        <v>0.08049851447327627</v>
      </c>
      <c r="E42" s="27">
        <f>IF(1461.33501="","-",1461.33501/3904713.17235*100)</f>
        <v>0.0374249002551067</v>
      </c>
      <c r="F42" s="27">
        <f>IF(OR(3299511.05107="",9544.10467="",2636.67247=""),"-",(2636.67247-9544.10467)/3299511.05107*100)</f>
        <v>-0.20934714547356909</v>
      </c>
      <c r="G42" s="27">
        <f>IF(OR(3275429.97191="",1461.33501="",2636.67247=""),"-",(1461.33501-2636.67247)/3275429.97191*100)</f>
        <v>-0.0358834556097875</v>
      </c>
    </row>
    <row r="43" spans="1:7" s="16" customFormat="1" ht="15.75">
      <c r="A43" s="45" t="s">
        <v>22</v>
      </c>
      <c r="B43" s="27">
        <f>IF(467.46217="","-",467.46217)</f>
        <v>467.46217</v>
      </c>
      <c r="C43" s="27" t="s">
        <v>213</v>
      </c>
      <c r="D43" s="27">
        <f>IF(267.12121="","-",267.12121/3275429.97191*100)</f>
        <v>0.008155302121883978</v>
      </c>
      <c r="E43" s="27">
        <f>IF(467.46217="","-",467.46217/3904713.17235*100)</f>
        <v>0.0119717415688862</v>
      </c>
      <c r="F43" s="27">
        <f>IF(OR(3299511.05107="",492.52554="",267.12121=""),"-",(267.12121-492.52554)/3299511.05107*100)</f>
        <v>-0.006831446432855664</v>
      </c>
      <c r="G43" s="27">
        <f>IF(OR(3275429.97191="",467.46217="",267.12121=""),"-",(467.46217-267.12121)/3275429.97191*100)</f>
        <v>0.006116478194255983</v>
      </c>
    </row>
    <row r="44" spans="1:7" s="16" customFormat="1" ht="15.75">
      <c r="A44" s="45" t="s">
        <v>18</v>
      </c>
      <c r="B44" s="27">
        <f>IF(141.24066="","-",141.24066)</f>
        <v>141.24066</v>
      </c>
      <c r="C44" s="27">
        <f>IF(OR(590.97024="",141.24066=""),"-",141.24066/590.97024*100)</f>
        <v>23.89979231441502</v>
      </c>
      <c r="D44" s="27">
        <f>IF(590.97024="","-",590.97024/3275429.97191*100)</f>
        <v>0.018042524037092687</v>
      </c>
      <c r="E44" s="27">
        <f>IF(141.24066="","-",141.24066/3904713.17235*100)</f>
        <v>0.003617183997025732</v>
      </c>
      <c r="F44" s="27">
        <f>IF(OR(3299511.05107="",15.36773="",590.97024=""),"-",(590.97024-15.36773)/3299511.05107*100)</f>
        <v>0.01744508507747951</v>
      </c>
      <c r="G44" s="27">
        <f>IF(OR(3275429.97191="",141.24066="",590.97024=""),"-",(141.24066-590.97024)/3275429.97191*100)</f>
        <v>-0.013730398263949128</v>
      </c>
    </row>
    <row r="45" spans="1:7" s="16" customFormat="1" ht="15.75">
      <c r="A45" s="45" t="s">
        <v>20</v>
      </c>
      <c r="B45" s="27">
        <f>IF(95.42623="","-",95.42623)</f>
        <v>95.42623</v>
      </c>
      <c r="C45" s="27">
        <f>IF(OR(90.57511="",95.42623=""),"-",95.42623/90.57511*100)</f>
        <v>105.35590848302587</v>
      </c>
      <c r="D45" s="27">
        <f>IF(90.57511="","-",90.57511/3275429.97191*100)</f>
        <v>0.0027652891613244588</v>
      </c>
      <c r="E45" s="27">
        <f>IF(95.42623="","-",95.42623/3904713.17235*100)</f>
        <v>0.002443872975759932</v>
      </c>
      <c r="F45" s="27">
        <f>IF(OR(3299511.05107="",185.52484="",90.57511=""),"-",(90.57511-185.52484)/3299511.05107*100)</f>
        <v>-0.002877690922393144</v>
      </c>
      <c r="G45" s="27">
        <f>IF(OR(3275429.97191="",95.42623="",90.57511=""),"-",(95.42623-90.57511)/3275429.97191*100)</f>
        <v>0.0001481063567715715</v>
      </c>
    </row>
    <row r="46" spans="1:7" s="16" customFormat="1" ht="15.75">
      <c r="A46" s="45" t="s">
        <v>21</v>
      </c>
      <c r="B46" s="27">
        <f>IF(4.47522="","-",4.47522)</f>
        <v>4.47522</v>
      </c>
      <c r="C46" s="27">
        <f>IF(OR(17.29307="",4.47522=""),"-",4.47522/17.29307*100)</f>
        <v>25.878690134256093</v>
      </c>
      <c r="D46" s="27">
        <f>IF(17.29307="","-",17.29307/3275429.97191*100)</f>
        <v>0.0005279633559045655</v>
      </c>
      <c r="E46" s="27">
        <f>IF(4.47522="","-",4.47522/3904713.17235*100)</f>
        <v>0.00011461072305361288</v>
      </c>
      <c r="F46" s="27">
        <f>IF(OR(3299511.05107="",2682.67357="",17.29307=""),"-",(17.29307-2682.67357)/3299511.05107*100)</f>
        <v>-0.08078107509704027</v>
      </c>
      <c r="G46" s="27">
        <f>IF(OR(3275429.97191="",4.47522="",17.29307=""),"-",(4.47522-17.29307)/3275429.97191*100)</f>
        <v>-0.00039133335500760323</v>
      </c>
    </row>
    <row r="47" spans="1:7" s="16" customFormat="1" ht="15.75">
      <c r="A47" s="45" t="s">
        <v>23</v>
      </c>
      <c r="B47" s="27">
        <f>IF(2.62776="","-",2.62776)</f>
        <v>2.62776</v>
      </c>
      <c r="C47" s="27" t="s">
        <v>213</v>
      </c>
      <c r="D47" s="27">
        <f>IF(1.43165="","-",1.43165/3275429.97191*100)</f>
        <v>4.370876533089678E-05</v>
      </c>
      <c r="E47" s="27">
        <f>IF(2.62776="","-",2.62776/3904713.17235*100)</f>
        <v>6.729713256808866E-05</v>
      </c>
      <c r="F47" s="27">
        <f>IF(OR(3299511.05107="",93.59349="",1.43165=""),"-",(1.43165-93.59349)/3299511.05107*100)</f>
        <v>-0.002793196888069606</v>
      </c>
      <c r="G47" s="27">
        <f>IF(OR(3275429.97191="",2.62776="",1.43165=""),"-",(2.62776-1.43165)/3275429.97191*100)</f>
        <v>3.65176483777033E-05</v>
      </c>
    </row>
    <row r="48" spans="1:7" s="16" customFormat="1" ht="15.75">
      <c r="A48" s="15" t="s">
        <v>24</v>
      </c>
      <c r="B48" s="26">
        <f>IF(995243.19177="","-",995243.19177)</f>
        <v>995243.19177</v>
      </c>
      <c r="C48" s="26">
        <f>IF(821909.80072="","-",995243.19177/821909.80072*100)</f>
        <v>121.08910137075364</v>
      </c>
      <c r="D48" s="26">
        <f>IF(821909.80072="","-",821909.80072/3275429.97191*100)</f>
        <v>25.093188001840268</v>
      </c>
      <c r="E48" s="26">
        <f>IF(995243.19177="","-",995243.19177/3904713.17235*100)</f>
        <v>25.48825349881016</v>
      </c>
      <c r="F48" s="26">
        <f>IF(3299511.05107="","-",(821909.80072-841118.46655)/3299511.05107*100)</f>
        <v>-0.5821670402883108</v>
      </c>
      <c r="G48" s="26">
        <f>IF(3275429.97191="","-",(995243.19177-821909.80072)/3275429.97191*100)</f>
        <v>5.291927854861881</v>
      </c>
    </row>
    <row r="49" spans="1:7" s="16" customFormat="1" ht="15.75">
      <c r="A49" s="45" t="s">
        <v>142</v>
      </c>
      <c r="B49" s="27">
        <f>IF(404590.48727="","-",404590.48727)</f>
        <v>404590.48727</v>
      </c>
      <c r="C49" s="27">
        <f>IF(OR(314434.5438="",404590.48727=""),"-",404590.48727/314434.5438*100)</f>
        <v>128.67240424046565</v>
      </c>
      <c r="D49" s="27">
        <f>IF(314434.5438="","-",314434.5438/3275429.97191*100)</f>
        <v>9.599794423833886</v>
      </c>
      <c r="E49" s="27">
        <f>IF(404590.48727="","-",404590.48727/3904713.17235*100)</f>
        <v>10.36159301366821</v>
      </c>
      <c r="F49" s="27">
        <f>IF(OR(3299511.05107="",300209.10239="",314434.5438=""),"-",(314434.5438-300209.10239)/3299511.05107*100)</f>
        <v>0.43113786224134015</v>
      </c>
      <c r="G49" s="27">
        <f>IF(OR(3275429.97191="",404590.48727="",314434.5438=""),"-",(404590.48727-314434.5438)/3275429.97191*100)</f>
        <v>2.7524918634553317</v>
      </c>
    </row>
    <row r="50" spans="1:7" s="16" customFormat="1" ht="15.75">
      <c r="A50" s="45" t="s">
        <v>139</v>
      </c>
      <c r="B50" s="27">
        <f>IF(246254.26519="","-",246254.26519)</f>
        <v>246254.26519</v>
      </c>
      <c r="C50" s="27">
        <f>IF(OR(222221.05595="",246254.26519=""),"-",246254.26519/222221.05595*100)</f>
        <v>110.81500091755818</v>
      </c>
      <c r="D50" s="27">
        <f>IF(222221.05595="","-",222221.05595/3275429.97191*100)</f>
        <v>6.784485025042876</v>
      </c>
      <c r="E50" s="27">
        <f>IF(246254.26519="","-",246254.26519/3904713.17235*100)</f>
        <v>6.306590377336094</v>
      </c>
      <c r="F50" s="27">
        <f>IF(OR(3299511.05107="",237959.33384="",222221.05595=""),"-",(222221.05595-237959.33384)/3299511.05107*100)</f>
        <v>-0.476988185412994</v>
      </c>
      <c r="G50" s="27">
        <f>IF(OR(3275429.97191="",246254.26519="",222221.05595=""),"-",(246254.26519-222221.05595)/3275429.97191*100)</f>
        <v>0.7337421177099849</v>
      </c>
    </row>
    <row r="51" spans="1:7" s="16" customFormat="1" ht="15.75">
      <c r="A51" s="45" t="s">
        <v>25</v>
      </c>
      <c r="B51" s="27">
        <f>IF(59500.28458="","-",59500.28458)</f>
        <v>59500.28458</v>
      </c>
      <c r="C51" s="27">
        <f>IF(OR(44481.80632="",59500.28458=""),"-",59500.28458/44481.80632*100)</f>
        <v>133.76319331988853</v>
      </c>
      <c r="D51" s="27">
        <f>IF(44481.80632="","-",44481.80632/3275429.97191*100)</f>
        <v>1.358044797216695</v>
      </c>
      <c r="E51" s="27">
        <f>IF(59500.28458="","-",59500.28458/3904713.17235*100)</f>
        <v>1.523806793321788</v>
      </c>
      <c r="F51" s="27">
        <f>IF(OR(3299511.05107="",40319.73997="",44481.80632=""),"-",(44481.80632-40319.73997)/3299511.05107*100)</f>
        <v>0.12614191271310585</v>
      </c>
      <c r="G51" s="27">
        <f>IF(OR(3275429.97191="",59500.28458="",44481.80632=""),"-",(59500.28458-44481.80632)/3275429.97191*100)</f>
        <v>0.4585192902549609</v>
      </c>
    </row>
    <row r="52" spans="1:7" s="16" customFormat="1" ht="15.75">
      <c r="A52" s="45" t="s">
        <v>157</v>
      </c>
      <c r="B52" s="27">
        <f>IF(29598.58152="","-",29598.58152)</f>
        <v>29598.58152</v>
      </c>
      <c r="C52" s="27" t="s">
        <v>213</v>
      </c>
      <c r="D52" s="27">
        <f>IF(16706.65045="","-",16706.65045/3275429.97191*100)</f>
        <v>0.510059765993344</v>
      </c>
      <c r="E52" s="27">
        <f>IF(29598.58152="","-",29598.58152/3904713.17235*100)</f>
        <v>0.7580219138653527</v>
      </c>
      <c r="F52" s="27">
        <f>IF(OR(3299511.05107="",9480.40202="",16706.65045=""),"-",(16706.65045-9480.40202)/3299511.05107*100)</f>
        <v>0.21900967501401755</v>
      </c>
      <c r="G52" s="27">
        <f>IF(OR(3275429.97191="",29598.58152="",16706.65045=""),"-",(29598.58152-16706.65045)/3275429.97191*100)</f>
        <v>0.3935950754728648</v>
      </c>
    </row>
    <row r="53" spans="1:7" s="16" customFormat="1" ht="15.75">
      <c r="A53" s="45" t="s">
        <v>161</v>
      </c>
      <c r="B53" s="27">
        <f>IF(29363.67678="","-",29363.67678)</f>
        <v>29363.67678</v>
      </c>
      <c r="C53" s="27">
        <f>IF(OR(22502.35706="",29363.67678=""),"-",29363.67678/22502.35706*100)</f>
        <v>130.49156006948544</v>
      </c>
      <c r="D53" s="27">
        <f>IF(22502.35706="","-",22502.35706/3275429.97191*100)</f>
        <v>0.6870046758129349</v>
      </c>
      <c r="E53" s="27">
        <f>IF(29363.67678="","-",29363.67678/3904713.17235*100)</f>
        <v>0.7520059856874931</v>
      </c>
      <c r="F53" s="27">
        <f>IF(OR(3299511.05107="",38101.13671="",22502.35706=""),"-",(22502.35706-38101.13671)/3299511.05107*100)</f>
        <v>-0.4727603395946034</v>
      </c>
      <c r="G53" s="27">
        <f>IF(OR(3275429.97191="",29363.67678="",22502.35706=""),"-",(29363.67678-22502.35706)/3275429.97191*100)</f>
        <v>0.20947844340567495</v>
      </c>
    </row>
    <row r="54" spans="1:7" s="16" customFormat="1" ht="15.75">
      <c r="A54" s="45" t="s">
        <v>206</v>
      </c>
      <c r="B54" s="27">
        <f>IF(24273.90264="","-",24273.90264)</f>
        <v>24273.90264</v>
      </c>
      <c r="C54" s="27">
        <f>IF(OR(23464.58497="",24273.90264=""),"-",24273.90264/23464.58497*100)</f>
        <v>103.44910285451343</v>
      </c>
      <c r="D54" s="27">
        <f>IF(23464.58497="","-",23464.58497/3275429.97191*100)</f>
        <v>0.7163818237981473</v>
      </c>
      <c r="E54" s="27">
        <f>IF(24273.90264="","-",24273.90264/3904713.17235*100)</f>
        <v>0.6216564845758202</v>
      </c>
      <c r="F54" s="27">
        <f>IF(OR(3299511.05107="",25780.53421="",23464.58497=""),"-",(23464.58497-25780.53421)/3299511.05107*100)</f>
        <v>-0.07019067989631256</v>
      </c>
      <c r="G54" s="27">
        <f>IF(OR(3275429.97191="",24273.90264="",23464.58497=""),"-",(24273.90264-23464.58497)/3275429.97191*100)</f>
        <v>0.0247087459338373</v>
      </c>
    </row>
    <row r="55" spans="1:7" s="16" customFormat="1" ht="15.75">
      <c r="A55" s="45" t="s">
        <v>114</v>
      </c>
      <c r="B55" s="27">
        <f>IF(22490.49784="","-",22490.49784)</f>
        <v>22490.49784</v>
      </c>
      <c r="C55" s="27">
        <f>IF(OR(18602.69157="",22490.49784=""),"-",22490.49784/18602.69157*100)</f>
        <v>120.89915997032253</v>
      </c>
      <c r="D55" s="27">
        <f>IF(18602.69157="","-",18602.69157/3275429.97191*100)</f>
        <v>0.5679465514309934</v>
      </c>
      <c r="E55" s="27">
        <f>IF(22490.49784="","-",22490.49784/3904713.17235*100)</f>
        <v>0.575983352612412</v>
      </c>
      <c r="F55" s="27">
        <f>IF(OR(3299511.05107="",20375.10882="",18602.69157=""),"-",(18602.69157-20375.10882)/3299511.05107*100)</f>
        <v>-0.05371757277264533</v>
      </c>
      <c r="G55" s="27">
        <f>IF(OR(3275429.97191="",22490.49784="",18602.69157=""),"-",(22490.49784-18602.69157)/3275429.97191*100)</f>
        <v>0.11869605832949336</v>
      </c>
    </row>
    <row r="56" spans="1:7" s="16" customFormat="1" ht="15.75">
      <c r="A56" s="45" t="s">
        <v>154</v>
      </c>
      <c r="B56" s="27">
        <f>IF(22485.03872="","-",22485.03872)</f>
        <v>22485.03872</v>
      </c>
      <c r="C56" s="27">
        <f>IF(OR(19469.3763="",22485.03872=""),"-",22485.03872/19469.3763*100)</f>
        <v>115.48926053681545</v>
      </c>
      <c r="D56" s="27">
        <f>IF(19469.3763="","-",19469.3763/3275429.97191*100)</f>
        <v>0.5944067333745142</v>
      </c>
      <c r="E56" s="27">
        <f>IF(22485.03872="","-",22485.03872/3904713.17235*100)</f>
        <v>0.5758435441358597</v>
      </c>
      <c r="F56" s="27">
        <f>IF(OR(3299511.05107="",22855.27378="",19469.3763=""),"-",(19469.3763-22855.27378)/3299511.05107*100)</f>
        <v>-0.10261815849660469</v>
      </c>
      <c r="G56" s="27">
        <f>IF(OR(3275429.97191="",22485.03872="",19469.3763=""),"-",(22485.03872-19469.3763)/3275429.97191*100)</f>
        <v>0.09206920758075249</v>
      </c>
    </row>
    <row r="57" spans="1:7" s="16" customFormat="1" ht="15.75">
      <c r="A57" s="45" t="s">
        <v>155</v>
      </c>
      <c r="B57" s="27">
        <f>IF(15665.6689="","-",15665.6689)</f>
        <v>15665.6689</v>
      </c>
      <c r="C57" s="27">
        <f>IF(OR(11920.02183="",15665.6689=""),"-",15665.6689/11920.02183*100)</f>
        <v>131.42315612688773</v>
      </c>
      <c r="D57" s="27">
        <f>IF(11920.02183="","-",11920.02183/3275429.97191*100)</f>
        <v>0.3639223531635782</v>
      </c>
      <c r="E57" s="27">
        <f>IF(15665.6689="","-",15665.6689/3904713.17235*100)</f>
        <v>0.40119896669828436</v>
      </c>
      <c r="F57" s="27">
        <f>IF(OR(3299511.05107="",9317.2166="",11920.02183=""),"-",(11920.02183-9317.2166)/3299511.05107*100)</f>
        <v>0.07888457379634885</v>
      </c>
      <c r="G57" s="27">
        <f>IF(OR(3275429.97191="",15665.6689="",11920.02183=""),"-",(15665.6689-11920.02183)/3275429.97191*100)</f>
        <v>0.11435588921523496</v>
      </c>
    </row>
    <row r="58" spans="1:7" s="16" customFormat="1" ht="15.75">
      <c r="A58" s="45" t="s">
        <v>151</v>
      </c>
      <c r="B58" s="27">
        <f>IF(14529.91193="","-",14529.91193)</f>
        <v>14529.91193</v>
      </c>
      <c r="C58" s="27">
        <f>IF(OR(14936.14712="",14529.91193=""),"-",14529.91193/14936.14712*100)</f>
        <v>97.28018754276974</v>
      </c>
      <c r="D58" s="27">
        <f>IF(14936.14712="","-",14936.14712/3275429.97191*100)</f>
        <v>0.4560056923241223</v>
      </c>
      <c r="E58" s="27">
        <f>IF(14529.91193="","-",14529.91193/3904713.17235*100)</f>
        <v>0.37211214469961607</v>
      </c>
      <c r="F58" s="27">
        <f>IF(OR(3299511.05107="",12675.33896="",14936.14712=""),"-",(14936.14712-12675.33896)/3299511.05107*100)</f>
        <v>0.06851949046410503</v>
      </c>
      <c r="G58" s="27">
        <f>IF(OR(3275429.97191="",14529.91193="",14936.14712=""),"-",(14529.91193-14936.14712)/3275429.97191*100)</f>
        <v>-0.012402499625510592</v>
      </c>
    </row>
    <row r="59" spans="1:7" s="16" customFormat="1" ht="15.75">
      <c r="A59" s="45" t="s">
        <v>166</v>
      </c>
      <c r="B59" s="27">
        <f>IF(9982.6264="","-",9982.6264)</f>
        <v>9982.6264</v>
      </c>
      <c r="C59" s="27">
        <f>IF(OR(7934.70842="",9982.6264=""),"-",9982.6264/7934.70842*100)</f>
        <v>125.80961859717587</v>
      </c>
      <c r="D59" s="27">
        <f>IF(7934.70842="","-",7934.70842/3275429.97191*100)</f>
        <v>0.24224936842026384</v>
      </c>
      <c r="E59" s="27">
        <f>IF(9982.6264="","-",9982.6264/3904713.17235*100)</f>
        <v>0.25565581796606296</v>
      </c>
      <c r="F59" s="27">
        <f>IF(OR(3299511.05107="",6239.46125="",7934.70842=""),"-",(7934.70842-6239.46125)/3299511.05107*100)</f>
        <v>0.05137873896346694</v>
      </c>
      <c r="G59" s="27">
        <f>IF(OR(3275429.97191="",9982.6264="",7934.70842=""),"-",(9982.6264-7934.70842)/3275429.97191*100)</f>
        <v>0.06252363804333749</v>
      </c>
    </row>
    <row r="60" spans="1:7" s="16" customFormat="1" ht="15.75">
      <c r="A60" s="45" t="s">
        <v>147</v>
      </c>
      <c r="B60" s="27">
        <f>IF(7700.96159="","-",7700.96159)</f>
        <v>7700.96159</v>
      </c>
      <c r="C60" s="27" t="s">
        <v>214</v>
      </c>
      <c r="D60" s="27">
        <f>IF(4438.88383="","-",4438.88383/3275429.97191*100)</f>
        <v>0.13552064516926784</v>
      </c>
      <c r="E60" s="27">
        <f>IF(7700.96159="","-",7700.96159/3904713.17235*100)</f>
        <v>0.19722220941942523</v>
      </c>
      <c r="F60" s="27">
        <f>IF(OR(3299511.05107="",4388.8537="",4438.88383=""),"-",(4438.88383-4388.8537)/3299511.05107*100)</f>
        <v>0.0015162892084806263</v>
      </c>
      <c r="G60" s="27">
        <f>IF(OR(3275429.97191="",7700.96159="",4438.88383=""),"-",(7700.96159-4438.88383)/3275429.97191*100)</f>
        <v>0.09959235239267797</v>
      </c>
    </row>
    <row r="61" spans="1:7" s="16" customFormat="1" ht="15.75">
      <c r="A61" s="45" t="s">
        <v>145</v>
      </c>
      <c r="B61" s="27">
        <f>IF(7521.44771="","-",7521.44771)</f>
        <v>7521.44771</v>
      </c>
      <c r="C61" s="27">
        <f>IF(OR(9783.93602="",7521.44771=""),"-",7521.44771/9783.93602*100)</f>
        <v>76.87547930224508</v>
      </c>
      <c r="D61" s="27">
        <f>IF(9783.93602="","-",9783.93602/3275429.97191*100)</f>
        <v>0.29870692104263485</v>
      </c>
      <c r="E61" s="27">
        <f>IF(7521.44771="","-",7521.44771/3904713.17235*100)</f>
        <v>0.1926248453602372</v>
      </c>
      <c r="F61" s="27">
        <f>IF(OR(3299511.05107="",26995.93906="",9783.93602=""),"-",(9783.93602-26995.93906)/3299511.05107*100)</f>
        <v>-0.5216531411349059</v>
      </c>
      <c r="G61" s="27">
        <f>IF(OR(3275429.97191="",7521.44771="",9783.93602=""),"-",(7521.44771-9783.93602)/3275429.97191*100)</f>
        <v>-0.06907454378213053</v>
      </c>
    </row>
    <row r="62" spans="1:7" s="16" customFormat="1" ht="15.75">
      <c r="A62" s="45" t="s">
        <v>156</v>
      </c>
      <c r="B62" s="27">
        <f>IF(7447.14657="","-",7447.14657)</f>
        <v>7447.14657</v>
      </c>
      <c r="C62" s="27">
        <f>IF(OR(4842.81695="",7447.14657=""),"-",7447.14657/4842.81695*100)</f>
        <v>153.77716413584452</v>
      </c>
      <c r="D62" s="27">
        <f>IF(4842.81695="","-",4842.81695/3275429.97191*100)</f>
        <v>0.14785286180843032</v>
      </c>
      <c r="E62" s="27">
        <f>IF(7447.14657="","-",7447.14657/3904713.17235*100)</f>
        <v>0.19072198753892167</v>
      </c>
      <c r="F62" s="27">
        <f>IF(OR(3299511.05107="",4613.76109="",4842.81695=""),"-",(4842.81695-4613.76109)/3299511.05107*100)</f>
        <v>0.0069421152544926245</v>
      </c>
      <c r="G62" s="27">
        <f>IF(OR(3275429.97191="",7447.14657="",4842.81695=""),"-",(7447.14657-4842.81695)/3275429.97191*100)</f>
        <v>0.07951107617426295</v>
      </c>
    </row>
    <row r="63" spans="1:7" s="16" customFormat="1" ht="15.75">
      <c r="A63" s="45" t="s">
        <v>144</v>
      </c>
      <c r="B63" s="27">
        <f>IF(7382.70331="","-",7382.70331)</f>
        <v>7382.70331</v>
      </c>
      <c r="C63" s="27">
        <f>IF(OR(5132.22506="",7382.70331=""),"-",7382.70331/5132.22506*100)</f>
        <v>143.84995248045493</v>
      </c>
      <c r="D63" s="27">
        <f>IF(5132.22506="","-",5132.22506/3275429.97191*100)</f>
        <v>0.15668859062821752</v>
      </c>
      <c r="E63" s="27">
        <f>IF(7382.70331="","-",7382.70331/3904713.17235*100)</f>
        <v>0.18907159077082267</v>
      </c>
      <c r="F63" s="27">
        <f>IF(OR(3299511.05107="",6208.39926="",5132.22506=""),"-",(5132.22506-6208.39926)/3299511.05107*100)</f>
        <v>-0.03261617201285043</v>
      </c>
      <c r="G63" s="27">
        <f>IF(OR(3275429.97191="",7382.70331="",5132.22506=""),"-",(7382.70331-5132.22506)/3275429.97191*100)</f>
        <v>0.06870787253276796</v>
      </c>
    </row>
    <row r="64" spans="1:7" s="16" customFormat="1" ht="15.75">
      <c r="A64" s="45" t="s">
        <v>167</v>
      </c>
      <c r="B64" s="27">
        <f>IF(6421.90492="","-",6421.90492)</f>
        <v>6421.90492</v>
      </c>
      <c r="C64" s="27">
        <f>IF(OR(4741.57517="",6421.90492=""),"-",6421.90492/4741.57517*100)</f>
        <v>135.43821809746822</v>
      </c>
      <c r="D64" s="27">
        <f>IF(4741.57517="","-",4741.57517/3275429.97191*100)</f>
        <v>0.14476191555501483</v>
      </c>
      <c r="E64" s="27">
        <f>IF(6421.90492="","-",6421.90492/3904713.17235*100)</f>
        <v>0.16446547125342528</v>
      </c>
      <c r="F64" s="27">
        <f>IF(OR(3299511.05107="",2698.34882="",4741.57517=""),"-",(4741.57517-2698.34882)/3299511.05107*100)</f>
        <v>0.0619251252193079</v>
      </c>
      <c r="G64" s="27">
        <f>IF(OR(3275429.97191="",6421.90492="",4741.57517=""),"-",(6421.90492-4741.57517)/3275429.97191*100)</f>
        <v>0.05130104335645894</v>
      </c>
    </row>
    <row r="65" spans="1:7" s="16" customFormat="1" ht="15.75">
      <c r="A65" s="45" t="s">
        <v>149</v>
      </c>
      <c r="B65" s="27">
        <f>IF(6390.51933="","-",6390.51933)</f>
        <v>6390.51933</v>
      </c>
      <c r="C65" s="27">
        <f>IF(OR(4983.23765="",6390.51933=""),"-",6390.51933/4983.23765*100)</f>
        <v>128.240308386657</v>
      </c>
      <c r="D65" s="27">
        <f>IF(4983.23765="","-",4983.23765/3275429.97191*100)</f>
        <v>0.1521399539216565</v>
      </c>
      <c r="E65" s="27">
        <f>IF(6390.51933="","-",6390.51933/3904713.17235*100)</f>
        <v>0.16366168391707886</v>
      </c>
      <c r="F65" s="27">
        <f>IF(OR(3299511.05107="",1444.96544="",4983.23765=""),"-",(4983.23765-1444.96544)/3299511.05107*100)</f>
        <v>0.10723625880424228</v>
      </c>
      <c r="G65" s="27">
        <f>IF(OR(3275429.97191="",6390.51933="",4983.23765=""),"-",(6390.51933-4983.23765)/3275429.97191*100)</f>
        <v>0.04296479216679368</v>
      </c>
    </row>
    <row r="66" spans="1:7" s="16" customFormat="1" ht="15.75">
      <c r="A66" s="45" t="s">
        <v>169</v>
      </c>
      <c r="B66" s="27">
        <f>IF(6126.01462="","-",6126.01462)</f>
        <v>6126.01462</v>
      </c>
      <c r="C66" s="27">
        <f>IF(OR(4104.90728="",6126.01462=""),"-",6126.01462/4104.90728*100)</f>
        <v>149.2363700843445</v>
      </c>
      <c r="D66" s="27">
        <f>IF(4104.90728="","-",4104.90728/3275429.97191*100)</f>
        <v>0.1253242265963118</v>
      </c>
      <c r="E66" s="27">
        <f>IF(6126.01462="","-",6126.01462/3904713.17235*100)</f>
        <v>0.15688769826627597</v>
      </c>
      <c r="F66" s="27">
        <f>IF(OR(3299511.05107="",4196.43976="",4104.90728=""),"-",(4104.90728-4196.43976)/3299511.05107*100)</f>
        <v>-0.002774122546742698</v>
      </c>
      <c r="G66" s="27">
        <f>IF(OR(3275429.97191="",6126.01462="",4104.90728=""),"-",(6126.01462-4104.90728)/3275429.97191*100)</f>
        <v>0.06170510001230258</v>
      </c>
    </row>
    <row r="67" spans="1:7" s="16" customFormat="1" ht="15.75">
      <c r="A67" s="45" t="s">
        <v>163</v>
      </c>
      <c r="B67" s="27">
        <f>IF(5923.97744="","-",5923.97744)</f>
        <v>5923.97744</v>
      </c>
      <c r="C67" s="27">
        <f>IF(OR(4891.95291="",5923.97744=""),"-",5923.97744/4891.95291*100)</f>
        <v>121.09637089699623</v>
      </c>
      <c r="D67" s="27">
        <f>IF(4891.95291="","-",4891.95291/3275429.97191*100)</f>
        <v>0.1493529995131405</v>
      </c>
      <c r="E67" s="27">
        <f>IF(5923.97744="","-",5923.97744/3904713.17235*100)</f>
        <v>0.15171351078867418</v>
      </c>
      <c r="F67" s="27">
        <f>IF(OR(3299511.05107="",4916.82779="",4891.95291=""),"-",(4891.95291-4916.82779)/3299511.05107*100)</f>
        <v>-0.0007538959444289062</v>
      </c>
      <c r="G67" s="27">
        <f>IF(OR(3275429.97191="",5923.97744="",4891.95291=""),"-",(5923.97744-4891.95291)/3275429.97191*100)</f>
        <v>0.03150806272308108</v>
      </c>
    </row>
    <row r="68" spans="1:7" s="16" customFormat="1" ht="15.75">
      <c r="A68" s="45" t="s">
        <v>153</v>
      </c>
      <c r="B68" s="27">
        <f>IF(4953.81424="","-",4953.81424)</f>
        <v>4953.81424</v>
      </c>
      <c r="C68" s="27" t="s">
        <v>215</v>
      </c>
      <c r="D68" s="27">
        <f>IF(3160.11503="","-",3160.11503/3275429.97191*100)</f>
        <v>0.09647939528858997</v>
      </c>
      <c r="E68" s="27">
        <f>IF(4953.81424="","-",4953.81424/3904713.17235*100)</f>
        <v>0.12686755777809441</v>
      </c>
      <c r="F68" s="27">
        <f>IF(OR(3299511.05107="",2792.55527="",3160.11503=""),"-",(3160.11503-2792.55527)/3299511.05107*100)</f>
        <v>0.011139825092593763</v>
      </c>
      <c r="G68" s="27">
        <f>IF(OR(3275429.97191="",4953.81424="",3160.11503=""),"-",(4953.81424-3160.11503)/3275429.97191*100)</f>
        <v>0.054762251838162204</v>
      </c>
    </row>
    <row r="69" spans="1:7" s="16" customFormat="1" ht="15.75">
      <c r="A69" s="45" t="s">
        <v>168</v>
      </c>
      <c r="B69" s="27">
        <f>IF(4748.72215="","-",4748.72215)</f>
        <v>4748.72215</v>
      </c>
      <c r="C69" s="27">
        <f>IF(OR(5125.50097="",4748.72215=""),"-",4748.72215/5125.50097*100)</f>
        <v>92.64893671457055</v>
      </c>
      <c r="D69" s="27">
        <f>IF(5125.50097="","-",5125.50097/3275429.97191*100)</f>
        <v>0.15648330185521167</v>
      </c>
      <c r="E69" s="27">
        <f>IF(4748.72215="","-",4748.72215/3904713.17235*100)</f>
        <v>0.12161513382408172</v>
      </c>
      <c r="F69" s="27">
        <f>IF(OR(3299511.05107="",4937.73541="",5125.50097=""),"-",(5125.50097-4937.73541)/3299511.05107*100)</f>
        <v>0.00569070862602837</v>
      </c>
      <c r="G69" s="27">
        <f>IF(OR(3275429.97191="",4748.72215="",5125.50097=""),"-",(4748.72215-5125.50097)/3275429.97191*100)</f>
        <v>-0.01150318655050621</v>
      </c>
    </row>
    <row r="70" spans="1:7" s="16" customFormat="1" ht="15.75">
      <c r="A70" s="45" t="s">
        <v>150</v>
      </c>
      <c r="B70" s="27">
        <f>IF(4570.84182="","-",4570.84182)</f>
        <v>4570.84182</v>
      </c>
      <c r="C70" s="27">
        <f>IF(OR(4004.54498="",4570.84182=""),"-",4570.84182/4004.54498*100)</f>
        <v>114.14135295840777</v>
      </c>
      <c r="D70" s="27">
        <f>IF(4004.54498="","-",4004.54498/3275429.97191*100)</f>
        <v>0.1222601311688197</v>
      </c>
      <c r="E70" s="27">
        <f>IF(4570.84182="","-",4570.84182/3904713.17235*100)</f>
        <v>0.11705960510408242</v>
      </c>
      <c r="F70" s="27">
        <f>IF(OR(3299511.05107="",3902.18047="",4004.54498=""),"-",(4004.54498-3902.18047)/3299511.05107*100)</f>
        <v>0.003102414521897252</v>
      </c>
      <c r="G70" s="27">
        <f>IF(OR(3275429.97191="",4570.84182="",4004.54498=""),"-",(4570.84182-4004.54498)/3275429.97191*100)</f>
        <v>0.017289236675995096</v>
      </c>
    </row>
    <row r="71" spans="1:7" s="16" customFormat="1" ht="15.75">
      <c r="A71" s="45" t="s">
        <v>170</v>
      </c>
      <c r="B71" s="27">
        <f>IF(4179.17663="","-",4179.17663)</f>
        <v>4179.17663</v>
      </c>
      <c r="C71" s="27">
        <f>IF(OR(3288.23436="",4179.17663=""),"-",4179.17663/3288.23436*100)</f>
        <v>127.09485311746454</v>
      </c>
      <c r="D71" s="27">
        <f>IF(3288.23436="","-",3288.23436/3275429.97191*100)</f>
        <v>0.10039092235828</v>
      </c>
      <c r="E71" s="27">
        <f>IF(4179.17663="","-",4179.17663/3904713.17235*100)</f>
        <v>0.10702902993217343</v>
      </c>
      <c r="F71" s="27">
        <f>IF(OR(3299511.05107="",4697.96135="",3288.23436=""),"-",(3288.23436-4697.96135)/3299511.05107*100)</f>
        <v>-0.04272533015286731</v>
      </c>
      <c r="G71" s="27">
        <f>IF(OR(3275429.97191="",4179.17663="",3288.23436=""),"-",(4179.17663-3288.23436)/3275429.97191*100)</f>
        <v>0.02720077295624383</v>
      </c>
    </row>
    <row r="72" spans="1:7" s="16" customFormat="1" ht="15.75">
      <c r="A72" s="45" t="s">
        <v>171</v>
      </c>
      <c r="B72" s="27">
        <f>IF(3350.07815="","-",3350.07815)</f>
        <v>3350.07815</v>
      </c>
      <c r="C72" s="27">
        <f>IF(OR(2781.1154="",3350.07815=""),"-",3350.07815/2781.1154*100)</f>
        <v>120.45807771946464</v>
      </c>
      <c r="D72" s="27">
        <f>IF(2781.1154="","-",2781.1154/3275429.97191*100)</f>
        <v>0.08490840664739506</v>
      </c>
      <c r="E72" s="27">
        <f>IF(3350.07815="","-",3350.07815/3904713.17235*100)</f>
        <v>0.0857957550818976</v>
      </c>
      <c r="F72" s="27">
        <f>IF(OR(3299511.05107="",2696.55472="",2781.1154=""),"-",(2781.1154-2696.55472)/3299511.05107*100)</f>
        <v>0.002562824572828081</v>
      </c>
      <c r="G72" s="27">
        <f>IF(OR(3275429.97191="",3350.07815="",2781.1154=""),"-",(3350.07815-2781.1154)/3275429.97191*100)</f>
        <v>0.01737062782228315</v>
      </c>
    </row>
    <row r="73" spans="1:7" s="16" customFormat="1" ht="15.75">
      <c r="A73" s="45" t="s">
        <v>172</v>
      </c>
      <c r="B73" s="27">
        <f>IF(3277.25564="","-",3277.25564)</f>
        <v>3277.25564</v>
      </c>
      <c r="C73" s="27">
        <f>IF(OR(2611.53294="",3277.25564=""),"-",3277.25564/2611.53294*100)</f>
        <v>125.49164476554525</v>
      </c>
      <c r="D73" s="27">
        <f>IF(2611.53294="","-",2611.53294/3275429.97191*100)</f>
        <v>0.07973099600346938</v>
      </c>
      <c r="E73" s="27">
        <f>IF(3277.25564="","-",3277.25564/3904713.17235*100)</f>
        <v>0.0839307650868406</v>
      </c>
      <c r="F73" s="27">
        <f>IF(OR(3299511.05107="",1063.6369="",2611.53294=""),"-",(2611.53294-1063.6369)/3299511.05107*100)</f>
        <v>0.04691289151760932</v>
      </c>
      <c r="G73" s="27">
        <f>IF(OR(3275429.97191="",3277.25564="",2611.53294=""),"-",(3277.25564-2611.53294)/3275429.97191*100)</f>
        <v>0.020324742269235488</v>
      </c>
    </row>
    <row r="74" spans="1:7" s="16" customFormat="1" ht="15.75">
      <c r="A74" s="45" t="s">
        <v>174</v>
      </c>
      <c r="B74" s="27">
        <f>IF(3158.79171="","-",3158.79171)</f>
        <v>3158.79171</v>
      </c>
      <c r="C74" s="27" t="s">
        <v>26</v>
      </c>
      <c r="D74" s="27">
        <f>IF(1543.03086="","-",1543.03086/3275429.97191*100)</f>
        <v>0.04710926117282285</v>
      </c>
      <c r="E74" s="27">
        <f>IF(3158.79171="","-",3158.79171/3904713.17235*100)</f>
        <v>0.08089689486971774</v>
      </c>
      <c r="F74" s="27">
        <f>IF(OR(3299511.05107="",986.0505="",1543.03086=""),"-",(1543.03086-986.0505)/3299511.05107*100)</f>
        <v>0.016880693877942207</v>
      </c>
      <c r="G74" s="27">
        <f>IF(OR(3275429.97191="",3158.79171="",1543.03086=""),"-",(3158.79171-1543.03086)/3275429.97191*100)</f>
        <v>0.04932973270247638</v>
      </c>
    </row>
    <row r="75" spans="1:7" s="16" customFormat="1" ht="15.75">
      <c r="A75" s="45" t="s">
        <v>159</v>
      </c>
      <c r="B75" s="27">
        <f>IF(2360.074="","-",2360.074)</f>
        <v>2360.074</v>
      </c>
      <c r="C75" s="27">
        <f>IF(OR(1688.32043="",2360.074=""),"-",2360.074/1688.32043*100)</f>
        <v>139.78827467011106</v>
      </c>
      <c r="D75" s="27">
        <f>IF(1688.32043="","-",1688.32043/3275429.97191*100)</f>
        <v>0.05154500155640605</v>
      </c>
      <c r="E75" s="27">
        <f>IF(2360.074="","-",2360.074/3904713.17235*100)</f>
        <v>0.060441673839505626</v>
      </c>
      <c r="F75" s="27">
        <f>IF(OR(3299511.05107="",2717.52544="",1688.32043=""),"-",(1688.32043-2717.52544)/3299511.05107*100)</f>
        <v>-0.03119265230726348</v>
      </c>
      <c r="G75" s="27">
        <f>IF(OR(3275429.97191="",2360.074="",1688.32043=""),"-",(2360.074-1688.32043)/3275429.97191*100)</f>
        <v>0.020508866797975863</v>
      </c>
    </row>
    <row r="76" spans="1:7" s="16" customFormat="1" ht="15.75">
      <c r="A76" s="45" t="s">
        <v>121</v>
      </c>
      <c r="B76" s="27">
        <f>IF(2255.22414="","-",2255.22414)</f>
        <v>2255.22414</v>
      </c>
      <c r="C76" s="27">
        <f>IF(OR(2652.5535="",2255.22414=""),"-",2255.22414/2652.5535*100)</f>
        <v>85.02087290605071</v>
      </c>
      <c r="D76" s="27">
        <f>IF(2652.5535="","-",2652.5535/3275429.97191*100)</f>
        <v>0.08098336776387309</v>
      </c>
      <c r="E76" s="27">
        <f>IF(2255.22414="","-",2255.22414/3904713.17235*100)</f>
        <v>0.05775646098590958</v>
      </c>
      <c r="F76" s="27">
        <f>IF(OR(3299511.05107="",3681.66699="",2652.5535=""),"-",(2652.5535-3681.66699)/3299511.05107*100)</f>
        <v>-0.031189878562954607</v>
      </c>
      <c r="G76" s="27">
        <f>IF(OR(3275429.97191="",2255.22414="",2652.5535=""),"-",(2255.22414-2652.5535)/3275429.97191*100)</f>
        <v>-0.012130601582310907</v>
      </c>
    </row>
    <row r="77" spans="1:7" s="16" customFormat="1" ht="15.75">
      <c r="A77" s="45" t="s">
        <v>175</v>
      </c>
      <c r="B77" s="27">
        <f>IF(1689.63705="","-",1689.63705)</f>
        <v>1689.63705</v>
      </c>
      <c r="C77" s="27">
        <f>IF(OR(1230.5254="",1689.63705=""),"-",1689.63705/1230.5254*100)</f>
        <v>137.31021318210907</v>
      </c>
      <c r="D77" s="27">
        <f>IF(1230.5254="","-",1230.5254/3275429.97191*100)</f>
        <v>0.03756836233877546</v>
      </c>
      <c r="E77" s="27">
        <f>IF(1689.63705="","-",1689.63705/3904713.17235*100)</f>
        <v>0.0432717327860247</v>
      </c>
      <c r="F77" s="27">
        <f>IF(OR(3299511.05107="",1142.20561="",1230.5254=""),"-",(1230.5254-1142.20561)/3299511.05107*100)</f>
        <v>0.002676753877558881</v>
      </c>
      <c r="G77" s="27">
        <f>IF(OR(3275429.97191="",1689.63705="",1230.5254=""),"-",(1689.63705-1230.5254)/3275429.97191*100)</f>
        <v>0.014016836077624292</v>
      </c>
    </row>
    <row r="78" spans="1:7" s="16" customFormat="1" ht="15.75">
      <c r="A78" s="45" t="s">
        <v>180</v>
      </c>
      <c r="B78" s="27">
        <f>IF(1670.48995="","-",1670.48995)</f>
        <v>1670.48995</v>
      </c>
      <c r="C78" s="27" t="s">
        <v>240</v>
      </c>
      <c r="D78" s="27">
        <f>IF(741.28721="","-",741.28721/3275429.97191*100)</f>
        <v>0.022631752666283797</v>
      </c>
      <c r="E78" s="27">
        <f>IF(1670.48995="","-",1670.48995/3904713.17235*100)</f>
        <v>0.042781374105249265</v>
      </c>
      <c r="F78" s="27">
        <f>IF(OR(3299511.05107="",1745.77411="",741.28721=""),"-",(741.28721-1745.77411)/3299511.05107*100)</f>
        <v>-0.030443507672879424</v>
      </c>
      <c r="G78" s="27">
        <f>IF(OR(3275429.97191="",1670.48995="",741.28721=""),"-",(1670.48995-741.28721)/3275429.97191*100)</f>
        <v>0.02836887822267055</v>
      </c>
    </row>
    <row r="79" spans="1:7" s="16" customFormat="1" ht="15.75">
      <c r="A79" s="45" t="s">
        <v>141</v>
      </c>
      <c r="B79" s="27">
        <f>IF(1667.30334="","-",1667.30334)</f>
        <v>1667.30334</v>
      </c>
      <c r="C79" s="27">
        <f>IF(OR(1184.26911="",1667.30334=""),"-",1667.30334/1184.26911*100)</f>
        <v>140.78753941323353</v>
      </c>
      <c r="D79" s="27">
        <f>IF(1184.26911="","-",1184.26911/3275429.97191*100)</f>
        <v>0.03615614194643941</v>
      </c>
      <c r="E79" s="27">
        <f>IF(1667.30334="","-",1667.30334/3904713.17235*100)</f>
        <v>0.04269976478186631</v>
      </c>
      <c r="F79" s="27">
        <f>IF(OR(3299511.05107="",1676.91823="",1184.26911=""),"-",(1184.26911-1676.91823)/3299511.05107*100)</f>
        <v>-0.014930973479850555</v>
      </c>
      <c r="G79" s="27">
        <f>IF(OR(3275429.97191="",1667.30334="",1184.26911=""),"-",(1667.30334-1184.26911)/3275429.97191*100)</f>
        <v>0.014747200646708637</v>
      </c>
    </row>
    <row r="80" spans="1:7" s="16" customFormat="1" ht="15.75">
      <c r="A80" s="45" t="s">
        <v>160</v>
      </c>
      <c r="B80" s="27">
        <f>IF(1391.12713="","-",1391.12713)</f>
        <v>1391.12713</v>
      </c>
      <c r="C80" s="27" t="s">
        <v>214</v>
      </c>
      <c r="D80" s="27">
        <f>IF(808.96656="","-",808.96656/3275429.97191*100)</f>
        <v>0.024698026425161754</v>
      </c>
      <c r="E80" s="27">
        <f>IF(1391.12713="","-",1391.12713/3904713.17235*100)</f>
        <v>0.03562687113232362</v>
      </c>
      <c r="F80" s="27">
        <f>IF(OR(3299511.05107="",664.2244="",808.96656=""),"-",(808.96656-664.2244)/3299511.05107*100)</f>
        <v>0.004386776033165929</v>
      </c>
      <c r="G80" s="27">
        <f>IF(OR(3275429.97191="",1391.12713="",808.96656=""),"-",(1391.12713-808.96656)/3275429.97191*100)</f>
        <v>0.01777356179166075</v>
      </c>
    </row>
    <row r="81" spans="1:7" s="16" customFormat="1" ht="15.75">
      <c r="A81" s="45" t="s">
        <v>158</v>
      </c>
      <c r="B81" s="27">
        <f>IF(1361.54188="","-",1361.54188)</f>
        <v>1361.54188</v>
      </c>
      <c r="C81" s="27">
        <f>IF(OR(1149.83468="",1361.54188=""),"-",1361.54188/1149.83468*100)</f>
        <v>118.41196857969183</v>
      </c>
      <c r="D81" s="27">
        <f>IF(1149.83468="","-",1149.83468/3275429.97191*100)</f>
        <v>0.03510484699294296</v>
      </c>
      <c r="E81" s="27">
        <f>IF(1361.54188="","-",1361.54188/3904713.17235*100)</f>
        <v>0.034869190639694896</v>
      </c>
      <c r="F81" s="27">
        <f>IF(OR(3299511.05107="",772.95709="",1149.83468=""),"-",(1149.83468-772.95709)/3299511.05107*100)</f>
        <v>0.011422225419665807</v>
      </c>
      <c r="G81" s="27">
        <f>IF(OR(3275429.97191="",1361.54188="",1149.83468=""),"-",(1361.54188-1149.83468)/3275429.97191*100)</f>
        <v>0.006463493398289549</v>
      </c>
    </row>
    <row r="82" spans="1:7" s="16" customFormat="1" ht="15.75">
      <c r="A82" s="45" t="s">
        <v>205</v>
      </c>
      <c r="B82" s="27">
        <f>IF(1291.98007="","-",1291.98007)</f>
        <v>1291.98007</v>
      </c>
      <c r="C82" s="27" t="s">
        <v>277</v>
      </c>
      <c r="D82" s="27">
        <f>IF(334.4017="","-",334.4017/3275429.97191*100)</f>
        <v>0.010209398548215657</v>
      </c>
      <c r="E82" s="27">
        <f>IF(1291.98007="","-",1291.98007/3904713.17235*100)</f>
        <v>0.033087707418530794</v>
      </c>
      <c r="F82" s="27">
        <f>IF(OR(3299511.05107="",1673.20461="",334.4017=""),"-",(334.4017-1673.20461)/3299511.05107*100)</f>
        <v>-0.04057579711896521</v>
      </c>
      <c r="G82" s="27">
        <f>IF(OR(3275429.97191="",1291.98007="",334.4017=""),"-",(1291.98007-334.4017)/3275429.97191*100)</f>
        <v>0.029235195934951035</v>
      </c>
    </row>
    <row r="83" spans="1:7" s="16" customFormat="1" ht="15.75">
      <c r="A83" s="45" t="s">
        <v>173</v>
      </c>
      <c r="B83" s="27">
        <f>IF(1263.79789="","-",1263.79789)</f>
        <v>1263.79789</v>
      </c>
      <c r="C83" s="27">
        <f>IF(OR(1577.4987="",1263.79789=""),"-",1263.79789/1577.4987*100)</f>
        <v>80.11403686101293</v>
      </c>
      <c r="D83" s="27">
        <f>IF(1577.4987="","-",1577.4987/3275429.97191*100)</f>
        <v>0.04816157614507369</v>
      </c>
      <c r="E83" s="27">
        <f>IF(1263.79789="","-",1263.79789/3904713.17235*100)</f>
        <v>0.032365959654839384</v>
      </c>
      <c r="F83" s="27">
        <f>IF(OR(3299511.05107="",1876.10952="",1577.4987=""),"-",(1577.4987-1876.10952)/3299511.05107*100)</f>
        <v>-0.009050153655438226</v>
      </c>
      <c r="G83" s="27">
        <f>IF(OR(3275429.97191="",1263.79789="",1577.4987=""),"-",(1263.79789-1577.4987)/3275429.97191*100)</f>
        <v>-0.009577393279364537</v>
      </c>
    </row>
    <row r="84" spans="1:7" s="16" customFormat="1" ht="15.75">
      <c r="A84" s="45" t="s">
        <v>207</v>
      </c>
      <c r="B84" s="27">
        <f>IF(1193.10098="","-",1193.10098)</f>
        <v>1193.10098</v>
      </c>
      <c r="C84" s="27">
        <f>IF(OR(1254.3768="",1193.10098=""),"-",1193.10098/1254.3768*100)</f>
        <v>95.11503879854921</v>
      </c>
      <c r="D84" s="27">
        <f>IF(1254.3768="","-",1254.3768/3275429.97191*100)</f>
        <v>0.038296553758056254</v>
      </c>
      <c r="E84" s="27">
        <f>IF(1193.10098="","-",1193.10098/3904713.17235*100)</f>
        <v>0.030555406436728046</v>
      </c>
      <c r="F84" s="27">
        <f>IF(OR(3299511.05107="",1242.93325="",1254.3768=""),"-",(1254.3768-1242.93325)/3299511.05107*100)</f>
        <v>0.0003468256303093431</v>
      </c>
      <c r="G84" s="27">
        <f>IF(OR(3275429.97191="",1193.10098="",1254.3768=""),"-",(1193.10098-1254.3768)/3275429.97191*100)</f>
        <v>-0.0018707717925737955</v>
      </c>
    </row>
    <row r="85" spans="1:7" s="16" customFormat="1" ht="15.75">
      <c r="A85" s="45" t="s">
        <v>152</v>
      </c>
      <c r="B85" s="27">
        <f>IF(1182.51726="","-",1182.51726)</f>
        <v>1182.51726</v>
      </c>
      <c r="C85" s="27">
        <f>IF(OR(1613.71593="",1182.51726=""),"-",1182.51726/1613.71593*100)</f>
        <v>73.27914647282438</v>
      </c>
      <c r="D85" s="27">
        <f>IF(1613.71593="","-",1613.71593/3275429.97191*100)</f>
        <v>0.049267300593790274</v>
      </c>
      <c r="E85" s="27">
        <f>IF(1182.51726="","-",1182.51726/3904713.17235*100)</f>
        <v>0.030284356566152533</v>
      </c>
      <c r="F85" s="27">
        <f>IF(OR(3299511.05107="",468.21426="",1613.71593=""),"-",(1613.71593-468.21426)/3299511.05107*100)</f>
        <v>0.03471731575587615</v>
      </c>
      <c r="G85" s="27">
        <f>IF(OR(3275429.97191="",1182.51726="",1613.71593=""),"-",(1182.51726-1613.71593)/3275429.97191*100)</f>
        <v>-0.013164643228460029</v>
      </c>
    </row>
    <row r="86" spans="1:7" s="16" customFormat="1" ht="15.75">
      <c r="A86" s="45" t="s">
        <v>176</v>
      </c>
      <c r="B86" s="27">
        <f>IF(935.66358="","-",935.66358)</f>
        <v>935.66358</v>
      </c>
      <c r="C86" s="27">
        <f>IF(OR(992.1913="",935.66358=""),"-",935.66358/992.1913*100)</f>
        <v>94.30273980430992</v>
      </c>
      <c r="D86" s="27">
        <f>IF(992.1913="","-",992.1913/3275429.97191*100)</f>
        <v>0.03029194055464492</v>
      </c>
      <c r="E86" s="27">
        <f>IF(935.66358="","-",935.66358/3904713.17235*100)</f>
        <v>0.023962415130145992</v>
      </c>
      <c r="F86" s="27">
        <f>IF(OR(3299511.05107="",1180.71577="",992.1913=""),"-",(992.1913-1180.71577)/3299511.05107*100)</f>
        <v>-0.005713709306682376</v>
      </c>
      <c r="G86" s="27">
        <f>IF(OR(3275429.97191="",935.66358="",992.1913=""),"-",(935.66358-992.1913)/3275429.97191*100)</f>
        <v>-0.0017258106717218853</v>
      </c>
    </row>
    <row r="87" spans="1:7" s="16" customFormat="1" ht="15.75">
      <c r="A87" s="45" t="s">
        <v>202</v>
      </c>
      <c r="B87" s="27">
        <f>IF(885.41578="","-",885.41578)</f>
        <v>885.41578</v>
      </c>
      <c r="C87" s="27" t="s">
        <v>215</v>
      </c>
      <c r="D87" s="27">
        <f>IF(553.07398="","-",553.07398/3275429.97191*100)</f>
        <v>0.016885538226832742</v>
      </c>
      <c r="E87" s="27">
        <f>IF(885.41578="","-",885.41578/3904713.17235*100)</f>
        <v>0.02267556516749537</v>
      </c>
      <c r="F87" s="27">
        <f>IF(OR(3299511.05107="",58.03945="",553.07398=""),"-",(553.07398-58.03945)/3299511.05107*100)</f>
        <v>0.01500326934317935</v>
      </c>
      <c r="G87" s="27">
        <f>IF(OR(3275429.97191="",885.41578="",553.07398=""),"-",(885.41578-553.07398)/3275429.97191*100)</f>
        <v>0.010146509094993771</v>
      </c>
    </row>
    <row r="88" spans="1:7" s="16" customFormat="1" ht="15.75">
      <c r="A88" s="45" t="s">
        <v>181</v>
      </c>
      <c r="B88" s="27">
        <f>IF(846.56047="","-",846.56047)</f>
        <v>846.56047</v>
      </c>
      <c r="C88" s="27">
        <f>IF(OR(668.98925="",846.56047=""),"-",846.56047/668.98925*100)</f>
        <v>126.54320977504496</v>
      </c>
      <c r="D88" s="27">
        <f>IF(668.98925="","-",668.98925/3275429.97191*100)</f>
        <v>0.020424471160648647</v>
      </c>
      <c r="E88" s="27">
        <f>IF(846.56047="","-",846.56047/3904713.17235*100)</f>
        <v>0.021680477736358516</v>
      </c>
      <c r="F88" s="27">
        <f>IF(OR(3299511.05107="",334.46596="",668.98925=""),"-",(668.98925-334.46596)/3299511.05107*100)</f>
        <v>0.010138571589009144</v>
      </c>
      <c r="G88" s="27">
        <f>IF(OR(3275429.97191="",846.56047="",668.98925=""),"-",(846.56047-668.98925)/3275429.97191*100)</f>
        <v>0.005421310225614533</v>
      </c>
    </row>
    <row r="89" spans="1:7" ht="15.75">
      <c r="A89" s="45" t="s">
        <v>120</v>
      </c>
      <c r="B89" s="27">
        <f>IF(731.16433="","-",731.16433)</f>
        <v>731.16433</v>
      </c>
      <c r="C89" s="27">
        <f>IF(OR(3032.24109="",731.16433=""),"-",731.16433/3032.24109*100)</f>
        <v>24.113001186195255</v>
      </c>
      <c r="D89" s="27">
        <f>IF(3032.24109="","-",3032.24109/3275429.97191*100)</f>
        <v>0.09257536005973013</v>
      </c>
      <c r="E89" s="27">
        <f>IF(731.16433="","-",731.16433/3904713.17235*100)</f>
        <v>0.018725173853421824</v>
      </c>
      <c r="F89" s="27">
        <f>IF(OR(3299511.05107="",2950.22787="",3032.24109=""),"-",(3032.24109-2950.22787)/3299511.05107*100)</f>
        <v>0.0024856173757443157</v>
      </c>
      <c r="G89" s="27">
        <f>IF(OR(3275429.97191="",731.16433="",3032.24109=""),"-",(731.16433-3032.24109)/3275429.97191*100)</f>
        <v>-0.07025266239040288</v>
      </c>
    </row>
    <row r="90" spans="1:7" ht="15.75">
      <c r="A90" s="45" t="s">
        <v>182</v>
      </c>
      <c r="B90" s="27">
        <f>IF(725.29719="","-",725.29719)</f>
        <v>725.29719</v>
      </c>
      <c r="C90" s="27">
        <f>IF(OR(639.42784="",725.29719=""),"-",725.29719/639.42784*100)</f>
        <v>113.42909154534155</v>
      </c>
      <c r="D90" s="27">
        <f>IF(639.42784="","-",639.42784/3275429.97191*100)</f>
        <v>0.019521951178432025</v>
      </c>
      <c r="E90" s="27">
        <f>IF(725.29719="","-",725.29719/3904713.17235*100)</f>
        <v>0.018574915953775153</v>
      </c>
      <c r="F90" s="27">
        <f>IF(OR(3299511.05107="",710.46165="",639.42784=""),"-",(639.42784-710.46165)/3299511.05107*100)</f>
        <v>-0.0021528586781657975</v>
      </c>
      <c r="G90" s="27">
        <f>IF(OR(3275429.97191="",725.29719="",639.42784=""),"-",(725.29719-639.42784)/3275429.97191*100)</f>
        <v>0.002621620695188519</v>
      </c>
    </row>
    <row r="91" spans="1:7" ht="15.75">
      <c r="A91" s="45" t="s">
        <v>177</v>
      </c>
      <c r="B91" s="27">
        <f>IF(635.7847="","-",635.7847)</f>
        <v>635.7847</v>
      </c>
      <c r="C91" s="27">
        <f>IF(OR(933.04373="",635.7847=""),"-",635.7847/933.04373*100)</f>
        <v>68.14093268704566</v>
      </c>
      <c r="D91" s="27">
        <f>IF(933.04373="","-",933.04373/3275429.97191*100)</f>
        <v>0.028486144964226322</v>
      </c>
      <c r="E91" s="27">
        <f>IF(635.7847="","-",635.7847/3904713.17235*100)</f>
        <v>0.01628249430719034</v>
      </c>
      <c r="F91" s="27">
        <f>IF(OR(3299511.05107="",1737.79876="",933.04373=""),"-",(933.04373-1737.79876)/3299511.05107*100)</f>
        <v>-0.02439012985693821</v>
      </c>
      <c r="G91" s="27">
        <f>IF(OR(3275429.97191="",635.7847="",933.04373=""),"-",(635.7847-933.04373)/3275429.97191*100)</f>
        <v>-0.009075420099018615</v>
      </c>
    </row>
    <row r="92" spans="1:7" ht="15.75">
      <c r="A92" s="45" t="s">
        <v>165</v>
      </c>
      <c r="B92" s="27">
        <f>IF(615.93789="","-",615.93789)</f>
        <v>615.93789</v>
      </c>
      <c r="C92" s="27">
        <f>IF(OR(758.90722="",615.93789=""),"-",615.93789/758.90722*100)</f>
        <v>81.16115827702892</v>
      </c>
      <c r="D92" s="27">
        <f>IF(758.90722="","-",758.90722/3275429.97191*100)</f>
        <v>0.02316969761247739</v>
      </c>
      <c r="E92" s="27">
        <f>IF(615.93789="","-",615.93789/3904713.17235*100)</f>
        <v>0.015774216000334438</v>
      </c>
      <c r="F92" s="27">
        <f>IF(OR(3299511.05107="",532.78202="",758.90722=""),"-",(758.90722-532.78202)/3299511.05107*100)</f>
        <v>0.006853294215416245</v>
      </c>
      <c r="G92" s="27">
        <f>IF(OR(3275429.97191="",615.93789="",758.90722=""),"-",(615.93789-758.90722)/3275429.97191*100)</f>
        <v>-0.004364902660905627</v>
      </c>
    </row>
    <row r="93" spans="1:7" ht="15.75">
      <c r="A93" s="45" t="s">
        <v>119</v>
      </c>
      <c r="B93" s="27">
        <f>IF(589.79759="","-",589.79759)</f>
        <v>589.79759</v>
      </c>
      <c r="C93" s="27" t="s">
        <v>213</v>
      </c>
      <c r="D93" s="27">
        <f>IF(322.97902="","-",322.97902/3275429.97191*100)</f>
        <v>0.009860660211632044</v>
      </c>
      <c r="E93" s="27">
        <f>IF(589.79759="","-",589.79759/3904713.17235*100)</f>
        <v>0.015104760938049595</v>
      </c>
      <c r="F93" s="27">
        <f>IF(OR(3299511.05107="",216.96034="",322.97902=""),"-",(322.97902-216.96034)/3299511.05107*100)</f>
        <v>0.003213163355389252</v>
      </c>
      <c r="G93" s="27">
        <f>IF(OR(3275429.97191="",589.79759="",322.97902=""),"-",(589.79759-322.97902)/3275429.97191*100)</f>
        <v>0.008146062418926034</v>
      </c>
    </row>
    <row r="94" spans="1:7" ht="15.75">
      <c r="A94" s="45" t="s">
        <v>143</v>
      </c>
      <c r="B94" s="27">
        <f>IF(570.71835="","-",570.71835)</f>
        <v>570.71835</v>
      </c>
      <c r="C94" s="27">
        <f>IF(OR(883.69847="",570.71835=""),"-",570.71835/883.69847*100)</f>
        <v>64.58292838280006</v>
      </c>
      <c r="D94" s="27">
        <f>IF(883.69847="","-",883.69847/3275429.97191*100)</f>
        <v>0.02697961725875914</v>
      </c>
      <c r="E94" s="27">
        <f>IF(570.71835="","-",570.71835/3904713.17235*100)</f>
        <v>0.014616140157012368</v>
      </c>
      <c r="F94" s="27">
        <f>IF(OR(3299511.05107="",449.31044="",883.69847=""),"-",(883.69847-449.31044)/3299511.05107*100)</f>
        <v>0.013165224279492325</v>
      </c>
      <c r="G94" s="27">
        <f>IF(OR(3275429.97191="",570.71835="",883.69847=""),"-",(570.71835-883.69847)/3275429.97191*100)</f>
        <v>-0.009555390366581158</v>
      </c>
    </row>
    <row r="95" spans="1:7" ht="15.75">
      <c r="A95" s="45" t="s">
        <v>191</v>
      </c>
      <c r="B95" s="27">
        <f>IF(538.81645="","-",538.81645)</f>
        <v>538.81645</v>
      </c>
      <c r="C95" s="27" t="s">
        <v>215</v>
      </c>
      <c r="D95" s="27">
        <f>IF(346.12979="","-",346.12979/3275429.97191*100)</f>
        <v>0.010567461156806889</v>
      </c>
      <c r="E95" s="27">
        <f>IF(538.81645="","-",538.81645/3904713.17235*100)</f>
        <v>0.013799130082472114</v>
      </c>
      <c r="F95" s="27">
        <f>IF(OR(3299511.05107="",262.69926="",346.12979=""),"-",(346.12979-262.69926)/3299511.05107*100)</f>
        <v>0.002528572528130927</v>
      </c>
      <c r="G95" s="27">
        <f>IF(OR(3275429.97191="",538.81645="",346.12979=""),"-",(538.81645-346.12979)/3275429.97191*100)</f>
        <v>0.005882789791034328</v>
      </c>
    </row>
    <row r="96" spans="1:7" ht="15.75">
      <c r="A96" s="45" t="s">
        <v>179</v>
      </c>
      <c r="B96" s="27">
        <f>IF(516.0244="","-",516.0244)</f>
        <v>516.0244</v>
      </c>
      <c r="C96" s="27">
        <f>IF(OR(680.27048="",516.0244=""),"-",516.0244/680.27048*100)</f>
        <v>75.85576842905193</v>
      </c>
      <c r="D96" s="27">
        <f>IF(680.27048="","-",680.27048/3275429.97191*100)</f>
        <v>0.020768890980237143</v>
      </c>
      <c r="E96" s="27">
        <f>IF(516.0244="","-",516.0244/3904713.17235*100)</f>
        <v>0.01321542395620925</v>
      </c>
      <c r="F96" s="27">
        <f>IF(OR(3299511.05107="",830.75515="",680.27048=""),"-",(680.27048-830.75515)/3299511.05107*100)</f>
        <v>-0.004560817274765581</v>
      </c>
      <c r="G96" s="27">
        <f>IF(OR(3275429.97191="",516.0244="",680.27048=""),"-",(516.0244-680.27048)/3275429.97191*100)</f>
        <v>-0.005014489132986204</v>
      </c>
    </row>
    <row r="97" spans="1:7" ht="15.75">
      <c r="A97" s="45" t="s">
        <v>178</v>
      </c>
      <c r="B97" s="27">
        <f>IF(494.50077="","-",494.50077)</f>
        <v>494.50077</v>
      </c>
      <c r="C97" s="27">
        <f>IF(OR(928.93666="",494.50077=""),"-",494.50077/928.93666*100)</f>
        <v>53.23299114925661</v>
      </c>
      <c r="D97" s="27">
        <f>IF(928.93666="","-",928.93666/3275429.97191*100)</f>
        <v>0.028360754709046934</v>
      </c>
      <c r="E97" s="27">
        <f>IF(494.50077="","-",494.50077/3904713.17235*100)</f>
        <v>0.012664202162188297</v>
      </c>
      <c r="F97" s="27">
        <f>IF(OR(3299511.05107="",1860.42148="",928.93666=""),"-",(928.93666-1860.42148)/3299511.05107*100)</f>
        <v>-0.02823099561063535</v>
      </c>
      <c r="G97" s="27">
        <f>IF(OR(3275429.97191="",494.50077="",928.93666=""),"-",(494.50077-928.93666)/3275429.97191*100)</f>
        <v>-0.013263476664917602</v>
      </c>
    </row>
    <row r="98" spans="1:7" ht="15.75">
      <c r="A98" s="45" t="s">
        <v>164</v>
      </c>
      <c r="B98" s="27">
        <f>IF(488.72726="","-",488.72726)</f>
        <v>488.72726</v>
      </c>
      <c r="C98" s="27">
        <f>IF(OR(1015.49727="",488.72726=""),"-",488.72726/1015.49727*100)</f>
        <v>48.126890582384334</v>
      </c>
      <c r="D98" s="27">
        <f>IF(1015.49727="","-",1015.49727/3275429.97191*100)</f>
        <v>0.031003479809028966</v>
      </c>
      <c r="E98" s="27">
        <f>IF(488.72726="","-",488.72726/3904713.17235*100)</f>
        <v>0.012516342133931081</v>
      </c>
      <c r="F98" s="27">
        <f>IF(OR(3299511.05107="",1280.40452="",1015.49727=""),"-",(1015.49727-1280.40452)/3299511.05107*100)</f>
        <v>-0.008028682004689548</v>
      </c>
      <c r="G98" s="27">
        <f>IF(OR(3275429.97191="",488.72726="",1015.49727=""),"-",(488.72726-1015.49727)/3275429.97191*100)</f>
        <v>-0.016082469004605977</v>
      </c>
    </row>
    <row r="99" spans="1:7" ht="15.75">
      <c r="A99" s="45" t="s">
        <v>183</v>
      </c>
      <c r="B99" s="27">
        <f>IF(461.55518="","-",461.55518)</f>
        <v>461.55518</v>
      </c>
      <c r="C99" s="27">
        <f>IF(OR(441.6806="",461.55518=""),"-",461.55518/441.6806*100)</f>
        <v>104.49976295087444</v>
      </c>
      <c r="D99" s="27">
        <f>IF(441.6806="","-",441.6806/3275429.97191*100)</f>
        <v>0.013484660145014274</v>
      </c>
      <c r="E99" s="27">
        <f>IF(461.55518="","-",461.55518/3904713.17235*100)</f>
        <v>0.011820463107722176</v>
      </c>
      <c r="F99" s="27">
        <f>IF(OR(3299511.05107="",1596.79958="",441.6806=""),"-",(441.6806-1596.79958)/3299511.05107*100)</f>
        <v>-0.03500879257929462</v>
      </c>
      <c r="G99" s="27">
        <f>IF(OR(3275429.97191="",461.55518="",441.6806=""),"-",(461.55518-441.6806)/3275429.97191*100)</f>
        <v>0.0006067777412566853</v>
      </c>
    </row>
    <row r="100" spans="1:7" ht="15.75">
      <c r="A100" s="45" t="s">
        <v>211</v>
      </c>
      <c r="B100" s="27">
        <f>IF(371.98434="","-",371.98434)</f>
        <v>371.98434</v>
      </c>
      <c r="C100" s="27" t="s">
        <v>214</v>
      </c>
      <c r="D100" s="27">
        <f>IF(218.47965="","-",218.47965/3275429.97191*100)</f>
        <v>0.006670258618675279</v>
      </c>
      <c r="E100" s="27">
        <f>IF(371.98434="","-",371.98434/3904713.17235*100)</f>
        <v>0.00952654711321923</v>
      </c>
      <c r="F100" s="27">
        <f>IF(OR(3299511.05107="",123.25089="",218.47965=""),"-",(218.47965-123.25089)/3299511.05107*100)</f>
        <v>0.002886147629938024</v>
      </c>
      <c r="G100" s="27">
        <f>IF(OR(3275429.97191="",371.98434="",218.47965=""),"-",(371.98434-218.47965)/3275429.97191*100)</f>
        <v>0.004686550813677964</v>
      </c>
    </row>
    <row r="101" spans="1:7" ht="15.75">
      <c r="A101" s="45" t="s">
        <v>192</v>
      </c>
      <c r="B101" s="27">
        <f>IF(231.83033="","-",231.83033)</f>
        <v>231.83033</v>
      </c>
      <c r="C101" s="27" t="s">
        <v>278</v>
      </c>
      <c r="D101" s="27">
        <f>IF(63.26912="","-",63.26912/3275429.97191*100)</f>
        <v>0.0019316279249623495</v>
      </c>
      <c r="E101" s="27">
        <f>IF(231.83033="","-",231.83033/3904713.17235*100)</f>
        <v>0.0059371923049721985</v>
      </c>
      <c r="F101" s="27">
        <f>IF(OR(3299511.05107="",95.54121="",63.26912=""),"-",(63.26912-95.54121)/3299511.05107*100)</f>
        <v>-0.000978087040791528</v>
      </c>
      <c r="G101" s="27">
        <f>IF(OR(3275429.97191="",231.83033="",63.26912=""),"-",(231.83033-63.26912)/3275429.97191*100)</f>
        <v>0.005146231531297462</v>
      </c>
    </row>
    <row r="102" spans="1:7" ht="15.75">
      <c r="A102" s="45" t="s">
        <v>190</v>
      </c>
      <c r="B102" s="27">
        <f>IF(226.39566="","-",226.39566)</f>
        <v>226.39566</v>
      </c>
      <c r="C102" s="27" t="s">
        <v>214</v>
      </c>
      <c r="D102" s="27">
        <f>IF(129.45274="","-",129.45274/3275429.97191*100)</f>
        <v>0.003952236534140044</v>
      </c>
      <c r="E102" s="27">
        <f>IF(226.39566="","-",226.39566/3904713.17235*100)</f>
        <v>0.0057980099947711845</v>
      </c>
      <c r="F102" s="27">
        <f>IF(OR(3299511.05107="",85.97951="",129.45274=""),"-",(129.45274-85.97951)/3299511.05107*100)</f>
        <v>0.001317565824969795</v>
      </c>
      <c r="G102" s="27">
        <f>IF(OR(3275429.97191="",226.39566="",129.45274=""),"-",(226.39566-129.45274)/3275429.97191*100)</f>
        <v>0.002959700583782278</v>
      </c>
    </row>
    <row r="103" spans="1:7" ht="15.75">
      <c r="A103" s="45" t="s">
        <v>229</v>
      </c>
      <c r="B103" s="27">
        <f>IF(162.12877="","-",162.12877)</f>
        <v>162.12877</v>
      </c>
      <c r="C103" s="27">
        <f>IF(OR(163.22079="",162.12877=""),"-",162.12877/163.22079*100)</f>
        <v>99.33095532744328</v>
      </c>
      <c r="D103" s="27">
        <f>IF(163.22079="","-",163.22079/3275429.97191*100)</f>
        <v>0.004983186677772907</v>
      </c>
      <c r="E103" s="27">
        <f>IF(162.12877="","-",162.12877/3904713.17235*100)</f>
        <v>0.004152130075726534</v>
      </c>
      <c r="F103" s="27">
        <f>IF(OR(3299511.05107="",98.85645="",163.22079=""),"-",(163.22079-98.85645)/3299511.05107*100)</f>
        <v>0.001950723577032035</v>
      </c>
      <c r="G103" s="27">
        <f>IF(OR(3275429.97191="",162.12877="",163.22079=""),"-",(162.12877-163.22079)/3275429.97191*100)</f>
        <v>-3.333974499119582E-05</v>
      </c>
    </row>
    <row r="104" spans="1:7" ht="15.75">
      <c r="A104" s="45" t="s">
        <v>148</v>
      </c>
      <c r="B104" s="27">
        <f>IF(156.31024="","-",156.31024)</f>
        <v>156.31024</v>
      </c>
      <c r="C104" s="27" t="s">
        <v>122</v>
      </c>
      <c r="D104" s="27">
        <f>IF(66.36699="","-",66.36699/3275429.97191*100)</f>
        <v>0.0020262069581447792</v>
      </c>
      <c r="E104" s="27">
        <f>IF(156.31024="","-",156.31024/3904713.17235*100)</f>
        <v>0.004003117081860502</v>
      </c>
      <c r="F104" s="27">
        <f>IF(OR(3299511.05107="",20.62367="",66.36699=""),"-",(66.36699-20.62367)/3299511.05107*100)</f>
        <v>0.0013863666249932963</v>
      </c>
      <c r="G104" s="27">
        <f>IF(OR(3275429.97191="",156.31024="",66.36699=""),"-",(156.31024-66.36699)/3275429.97191*100)</f>
        <v>0.002745998258895806</v>
      </c>
    </row>
    <row r="105" spans="1:7" ht="15.75">
      <c r="A105" s="45" t="s">
        <v>203</v>
      </c>
      <c r="B105" s="27">
        <f>IF(96.34637="","-",96.34637)</f>
        <v>96.34637</v>
      </c>
      <c r="C105" s="27" t="s">
        <v>246</v>
      </c>
      <c r="D105" s="27">
        <f>IF(12.15472="","-",12.15472/3275429.97191*100)</f>
        <v>0.0003710877687582563</v>
      </c>
      <c r="E105" s="27">
        <f>IF(96.34637="","-",96.34637/3904713.17235*100)</f>
        <v>0.0024674378308308675</v>
      </c>
      <c r="F105" s="27">
        <f>IF(OR(3299511.05107="",22.24451="",12.15472=""),"-",(12.15472-22.24451)/3299511.05107*100)</f>
        <v>-0.0003057965208732359</v>
      </c>
      <c r="G105" s="27">
        <f>IF(OR(3275429.97191="",96.34637="",12.15472=""),"-",(96.34637-12.15472)/3275429.97191*100)</f>
        <v>0.002570399939001149</v>
      </c>
    </row>
    <row r="106" spans="1:7" ht="15.75">
      <c r="A106" s="45" t="s">
        <v>241</v>
      </c>
      <c r="B106" s="27">
        <f>IF(91.33173="","-",91.33173)</f>
        <v>91.33173</v>
      </c>
      <c r="C106" s="27" t="s">
        <v>26</v>
      </c>
      <c r="D106" s="27">
        <f>IF(46.57751="","-",46.57751/3275429.97191*100)</f>
        <v>0.0014220273490640155</v>
      </c>
      <c r="E106" s="27">
        <f>IF(91.33173="","-",91.33173/3904713.17235*100)</f>
        <v>0.002339012520733583</v>
      </c>
      <c r="F106" s="27">
        <f>IF(OR(3299511.05107="",36.2821="",46.57751=""),"-",(46.57751-36.2821)/3299511.05107*100)</f>
        <v>0.000312028353311964</v>
      </c>
      <c r="G106" s="27">
        <f>IF(OR(3275429.97191="",91.33173="",46.57751=""),"-",(91.33173-46.57751)/3275429.97191*100)</f>
        <v>0.0013663616802621638</v>
      </c>
    </row>
    <row r="107" spans="1:7" ht="15.75">
      <c r="A107" s="45" t="s">
        <v>224</v>
      </c>
      <c r="B107" s="27">
        <f>IF(85.59839="","-",85.59839)</f>
        <v>85.59839</v>
      </c>
      <c r="C107" s="27">
        <f>IF(OR(55.68443="",85.59839=""),"-",85.59839/55.68443*100)</f>
        <v>153.72051038324358</v>
      </c>
      <c r="D107" s="27">
        <f>IF(55.68443="","-",55.68443/3275429.97191*100)</f>
        <v>0.0017000647389059814</v>
      </c>
      <c r="E107" s="27">
        <f>IF(85.59839="","-",85.59839/3904713.17235*100)</f>
        <v>0.002192181249217948</v>
      </c>
      <c r="F107" s="27">
        <f>IF(OR(3299511.05107="",17.93059="",55.68443=""),"-",(55.68443-17.93059)/3299511.05107*100)</f>
        <v>0.001144225293252368</v>
      </c>
      <c r="G107" s="27">
        <f>IF(OR(3275429.97191="",85.59839="",55.68443=""),"-",(85.59839-55.68443)/3275429.97191*100)</f>
        <v>0.0009132834545858504</v>
      </c>
    </row>
    <row r="108" spans="1:7" ht="15.75">
      <c r="A108" s="45" t="s">
        <v>276</v>
      </c>
      <c r="B108" s="27">
        <f>IF(79.07775="","-",79.07775)</f>
        <v>79.07775</v>
      </c>
      <c r="C108" s="27">
        <f>IF(OR(66.99916="",79.07775=""),"-",79.07775/66.99916*100)</f>
        <v>118.02797229099586</v>
      </c>
      <c r="D108" s="27">
        <f>IF(66.99916="","-",66.99916/3275429.97191*100)</f>
        <v>0.002045507324979713</v>
      </c>
      <c r="E108" s="27">
        <f>IF(79.07775="","-",79.07775/3904713.17235*100)</f>
        <v>0.002025187165089724</v>
      </c>
      <c r="F108" s="27">
        <f>IF(OR(3299511.05107="",21.8628="",66.99916=""),"-",(66.99916-21.8628)/3299511.05107*100)</f>
        <v>0.0013679711721336018</v>
      </c>
      <c r="G108" s="27">
        <f>IF(OR(3275429.97191="",79.07775="",66.99916=""),"-",(79.07775-66.99916)/3275429.97191*100)</f>
        <v>0.00036876349375763355</v>
      </c>
    </row>
    <row r="109" spans="1:7" ht="15.75">
      <c r="A109" s="45" t="s">
        <v>242</v>
      </c>
      <c r="B109" s="27">
        <f>IF(74.2607="","-",74.2607)</f>
        <v>74.2607</v>
      </c>
      <c r="C109" s="27">
        <f>IF(OR(82.7815="",74.2607=""),"-",74.2607/82.7815*100)</f>
        <v>89.70687895242295</v>
      </c>
      <c r="D109" s="27">
        <f>IF(82.7815="","-",82.7815/3275429.97191*100)</f>
        <v>0.0025273475760413727</v>
      </c>
      <c r="E109" s="27">
        <f>IF(74.2607="","-",74.2607/3904713.17235*100)</f>
        <v>0.001901822149853511</v>
      </c>
      <c r="F109" s="27">
        <f>IF(OR(3299511.05107="",92.77816="",82.7815=""),"-",(82.7815-92.77816)/3299511.05107*100)</f>
        <v>-0.0003029739814557731</v>
      </c>
      <c r="G109" s="27">
        <f>IF(OR(3275429.97191="",74.2607="",82.7815=""),"-",(74.2607-82.7815)/3275429.97191*100)</f>
        <v>-0.0002601429452949429</v>
      </c>
    </row>
    <row r="110" spans="1:7" ht="15.75">
      <c r="A110" s="45" t="s">
        <v>236</v>
      </c>
      <c r="B110" s="27">
        <f>IF(71.2687="","-",71.2687)</f>
        <v>71.2687</v>
      </c>
      <c r="C110" s="27" t="s">
        <v>215</v>
      </c>
      <c r="D110" s="27">
        <f>IF(43.65377="","-",43.65377/3275429.97191*100)</f>
        <v>0.0013327645644808032</v>
      </c>
      <c r="E110" s="27">
        <f>IF(71.2687="","-",71.2687/3904713.17235*100)</f>
        <v>0.001825196803305987</v>
      </c>
      <c r="F110" s="27">
        <f>IF(OR(3299511.05107="",53.30391="",43.65377=""),"-",(43.65377-53.30391)/3299511.05107*100)</f>
        <v>-0.00029247181932821686</v>
      </c>
      <c r="G110" s="27">
        <f>IF(OR(3275429.97191="",71.2687="",43.65377=""),"-",(71.2687-43.65377)/3275429.97191*100)</f>
        <v>0.0008430932804799644</v>
      </c>
    </row>
    <row r="111" spans="1:7" ht="15.75">
      <c r="A111" s="45" t="s">
        <v>225</v>
      </c>
      <c r="B111" s="27">
        <f>IF(67.99866="","-",67.99866)</f>
        <v>67.99866</v>
      </c>
      <c r="C111" s="27">
        <f>IF(OR(192.69222="",67.99866=""),"-",67.99866/192.69222*100)</f>
        <v>35.28874180805017</v>
      </c>
      <c r="D111" s="27">
        <f>IF(192.69222="","-",192.69222/3275429.97191*100)</f>
        <v>0.005882959539740533</v>
      </c>
      <c r="E111" s="27">
        <f>IF(67.99866="","-",67.99866/3904713.17235*100)</f>
        <v>0.0017414508313058985</v>
      </c>
      <c r="F111" s="27">
        <f>IF(OR(3299511.05107="",273.07728="",192.69222=""),"-",(192.69222-273.07728)/3299511.05107*100)</f>
        <v>-0.002436271882584902</v>
      </c>
      <c r="G111" s="27">
        <f>IF(OR(3275429.97191="",67.99866="",192.69222=""),"-",(67.99866-192.69222)/3275429.97191*100)</f>
        <v>-0.0038069371370894394</v>
      </c>
    </row>
    <row r="112" spans="1:7" ht="15.75">
      <c r="A112" s="45" t="s">
        <v>226</v>
      </c>
      <c r="B112" s="27">
        <f>IF(54.8964="","-",54.8964)</f>
        <v>54.8964</v>
      </c>
      <c r="C112" s="27" t="s">
        <v>279</v>
      </c>
      <c r="D112" s="27">
        <f>IF(0.03228="","-",0.03228/3275429.97191*100)</f>
        <v>9.855194669656326E-07</v>
      </c>
      <c r="E112" s="27">
        <f>IF(54.8964="","-",54.8964/3904713.17235*100)</f>
        <v>0.001405900960632182</v>
      </c>
      <c r="F112" s="27" t="str">
        <f>IF(OR(3299511.05107="",""="",0.03228=""),"-",(0.03228-"")/3299511.05107*100)</f>
        <v>-</v>
      </c>
      <c r="G112" s="27">
        <f>IF(OR(3275429.97191="",54.8964="",0.03228=""),"-",(54.8964-0.03228)/3275429.97191*100)</f>
        <v>0.001675020393368603</v>
      </c>
    </row>
    <row r="113" spans="1:7" ht="15.75">
      <c r="A113" s="45" t="s">
        <v>250</v>
      </c>
      <c r="B113" s="27">
        <f>IF(54.33779="","-",54.33779)</f>
        <v>54.33779</v>
      </c>
      <c r="C113" s="27">
        <f>IF(OR(53.7593="",54.33779=""),"-",54.33779/53.7593*100)</f>
        <v>101.07607427924097</v>
      </c>
      <c r="D113" s="27">
        <f>IF(53.7593="","-",53.7593/3275429.97191*100)</f>
        <v>0.0016412898599890192</v>
      </c>
      <c r="E113" s="27">
        <f>IF(54.33779="","-",54.33779/3904713.17235*100)</f>
        <v>0.0013915949162354867</v>
      </c>
      <c r="F113" s="27">
        <f>IF(OR(3299511.05107="",28.21909="",53.7593=""),"-",(53.7593-28.21909)/3299511.05107*100)</f>
        <v>0.0007740604472810465</v>
      </c>
      <c r="G113" s="27">
        <f>IF(OR(3275429.97191="",54.33779="",53.7593=""),"-",(54.33779-53.7593)/3275429.97191*100)</f>
        <v>1.7661498031132094E-05</v>
      </c>
    </row>
    <row r="114" spans="1:7" ht="15.75">
      <c r="A114" s="45" t="s">
        <v>275</v>
      </c>
      <c r="B114" s="27">
        <f>IF(50.48336="","-",50.48336)</f>
        <v>50.48336</v>
      </c>
      <c r="C114" s="27">
        <f>IF(OR(51.9831="",50.48336=""),"-",50.48336/51.9831*100)</f>
        <v>97.11494697315088</v>
      </c>
      <c r="D114" s="27">
        <f>IF(51.9831="","-",51.9831/3275429.97191*100)</f>
        <v>0.0015870618650316347</v>
      </c>
      <c r="E114" s="27">
        <f>IF(50.48336="","-",50.48336/3904713.17235*100)</f>
        <v>0.0012928826720866992</v>
      </c>
      <c r="F114" s="27">
        <f>IF(OR(3299511.05107="",25.72674="",51.9831=""),"-",(51.9831-25.72674)/3299511.05107*100)</f>
        <v>0.0007957651783431765</v>
      </c>
      <c r="G114" s="27">
        <f>IF(OR(3275429.97191="",50.48336="",51.9831=""),"-",(50.48336-51.9831)/3275429.97191*100)</f>
        <v>-4.578757637506321E-05</v>
      </c>
    </row>
    <row r="115" spans="1:7" ht="15.75">
      <c r="A115" s="45" t="s">
        <v>249</v>
      </c>
      <c r="B115" s="27">
        <f>IF(48.08703="","-",48.08703)</f>
        <v>48.08703</v>
      </c>
      <c r="C115" s="27">
        <f>IF(OR(52.2185="",48.08703=""),"-",48.08703/52.2185*100)</f>
        <v>92.08811053553816</v>
      </c>
      <c r="D115" s="27">
        <f>IF(52.2185="","-",52.2185/3275429.97191*100)</f>
        <v>0.0015942487077368304</v>
      </c>
      <c r="E115" s="27">
        <f>IF(48.08703="","-",48.08703/3904713.17235*100)</f>
        <v>0.0012315124793419706</v>
      </c>
      <c r="F115" s="27">
        <f>IF(OR(3299511.05107="",58.56892="",52.2185=""),"-",(52.2185-58.56892)/3299511.05107*100)</f>
        <v>-0.00019246548660416273</v>
      </c>
      <c r="G115" s="27">
        <f>IF(OR(3275429.97191="",48.08703="",52.2185=""),"-",(48.08703-52.2185)/3275429.97191*100)</f>
        <v>-0.00012613519554474913</v>
      </c>
    </row>
    <row r="116" spans="1:7" ht="15.75">
      <c r="A116" s="52" t="s">
        <v>27</v>
      </c>
      <c r="B116" s="52"/>
      <c r="C116" s="52"/>
      <c r="D116" s="52"/>
      <c r="E116" s="52"/>
      <c r="F116" s="52"/>
      <c r="G116" s="52"/>
    </row>
  </sheetData>
  <sheetProtection/>
  <mergeCells count="10">
    <mergeCell ref="A116:G116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2"/>
  <sheetViews>
    <sheetView zoomScalePageLayoutView="0" workbookViewId="0" topLeftCell="A1">
      <selection activeCell="G133" sqref="G133"/>
    </sheetView>
  </sheetViews>
  <sheetFormatPr defaultColWidth="9.00390625" defaultRowHeight="15.75"/>
  <cols>
    <col min="1" max="1" width="43.375" style="0" customWidth="1"/>
    <col min="2" max="3" width="12.625" style="0" customWidth="1"/>
    <col min="4" max="4" width="19.375" style="0" customWidth="1"/>
  </cols>
  <sheetData>
    <row r="1" spans="1:4" ht="15.75">
      <c r="A1" s="66" t="s">
        <v>34</v>
      </c>
      <c r="B1" s="66"/>
      <c r="C1" s="66"/>
      <c r="D1" s="66"/>
    </row>
    <row r="2" ht="10.5" customHeight="1">
      <c r="A2" s="4"/>
    </row>
    <row r="3" spans="1:5" ht="26.25" customHeight="1">
      <c r="A3" s="76"/>
      <c r="B3" s="80" t="s">
        <v>255</v>
      </c>
      <c r="C3" s="71"/>
      <c r="D3" s="72" t="s">
        <v>256</v>
      </c>
      <c r="E3" s="1"/>
    </row>
    <row r="4" spans="1:5" ht="26.25" customHeight="1">
      <c r="A4" s="77"/>
      <c r="B4" s="20">
        <v>2016</v>
      </c>
      <c r="C4" s="19">
        <v>2017</v>
      </c>
      <c r="D4" s="81"/>
      <c r="E4" s="1"/>
    </row>
    <row r="5" spans="1:4" ht="17.25" customHeight="1">
      <c r="A5" s="7" t="s">
        <v>199</v>
      </c>
      <c r="B5" s="34">
        <f>IF(-1641942.90715="","-",-1641942.90715)</f>
        <v>-1641942.90715</v>
      </c>
      <c r="C5" s="34">
        <f>IF(-1984689.98293="","-",-1984689.98293)</f>
        <v>-1984689.98293</v>
      </c>
      <c r="D5" s="47">
        <f>IF(-1641942.90715="","-",-1984689.98293/-1641942.90715*100)</f>
        <v>120.87448194985797</v>
      </c>
    </row>
    <row r="6" spans="1:4" ht="15.75">
      <c r="A6" s="8" t="s">
        <v>32</v>
      </c>
      <c r="B6" s="39"/>
      <c r="C6" s="38"/>
      <c r="D6" s="46"/>
    </row>
    <row r="7" spans="1:4" ht="15.75">
      <c r="A7" s="41" t="s">
        <v>4</v>
      </c>
      <c r="B7" s="26">
        <f>IF(-578957.48175="","-",-578957.48175)</f>
        <v>-578957.48175</v>
      </c>
      <c r="C7" s="26">
        <f>IF(-690509.91671="","-",-690509.91671)</f>
        <v>-690509.91671</v>
      </c>
      <c r="D7" s="48">
        <f>IF(-578957.48175="","-",-690509.91671/-578957.48175*100)</f>
        <v>119.26781127740387</v>
      </c>
    </row>
    <row r="8" spans="1:4" ht="15.75">
      <c r="A8" s="45" t="s">
        <v>7</v>
      </c>
      <c r="B8" s="27">
        <f>IF(-159094.49654="","-",-159094.49654)</f>
        <v>-159094.49654</v>
      </c>
      <c r="C8" s="27">
        <f>IF(-191262.11681="","-",-191262.11681)</f>
        <v>-191262.11681</v>
      </c>
      <c r="D8" s="49">
        <f>IF(OR(-159094.49654="",-191262.11681="",-159094.49654=0),"-",-191262.11681/-159094.49654*100)</f>
        <v>120.2191910905682</v>
      </c>
    </row>
    <row r="9" spans="1:4" ht="15.75">
      <c r="A9" s="45" t="s">
        <v>6</v>
      </c>
      <c r="B9" s="27">
        <f>IF(-73226.44285="","-",-73226.44285)</f>
        <v>-73226.44285</v>
      </c>
      <c r="C9" s="27">
        <f>IF(-89385.92817="","-",-89385.92817)</f>
        <v>-89385.92817</v>
      </c>
      <c r="D9" s="49">
        <f>IF(OR(-73226.44285="",-89385.92817="",-73226.44285=0),"-",-89385.92817/-73226.44285*100)</f>
        <v>122.06782781064722</v>
      </c>
    </row>
    <row r="10" spans="1:4" ht="15.75">
      <c r="A10" s="45" t="s">
        <v>258</v>
      </c>
      <c r="B10" s="27">
        <f>IF(-41106.00222="","-",-41106.00222)</f>
        <v>-41106.00222</v>
      </c>
      <c r="C10" s="27">
        <f>IF(-82513.80939="","-",-82513.80939)</f>
        <v>-82513.80939</v>
      </c>
      <c r="D10" s="49" t="s">
        <v>26</v>
      </c>
    </row>
    <row r="11" spans="1:4" ht="15.75">
      <c r="A11" s="45" t="s">
        <v>125</v>
      </c>
      <c r="B11" s="27">
        <f>IF(-60737.41642="","-",-60737.41642)</f>
        <v>-60737.41642</v>
      </c>
      <c r="C11" s="27">
        <f>IF(-73317.60933="","-",-73317.60933)</f>
        <v>-73317.60933</v>
      </c>
      <c r="D11" s="49">
        <f>IF(OR(-60737.41642="",-73317.60933="",-60737.41642=0),"-",-73317.60933/-60737.41642*100)</f>
        <v>120.71242678978606</v>
      </c>
    </row>
    <row r="12" spans="1:4" ht="15.75">
      <c r="A12" s="45" t="s">
        <v>260</v>
      </c>
      <c r="B12" s="27">
        <f>IF(-43388.22118="","-",-43388.22118)</f>
        <v>-43388.22118</v>
      </c>
      <c r="C12" s="27">
        <f>IF(-60032.56842="","-",-60032.56842)</f>
        <v>-60032.56842</v>
      </c>
      <c r="D12" s="49">
        <f>IF(OR(-43388.22118="",-60032.56842="",-43388.22118=0),"-",-60032.56842/-43388.22118*100)</f>
        <v>138.3614418552662</v>
      </c>
    </row>
    <row r="13" spans="1:4" ht="15.75">
      <c r="A13" s="45" t="s">
        <v>8</v>
      </c>
      <c r="B13" s="27">
        <f>IF(-48168.89961="","-",-48168.89961)</f>
        <v>-48168.89961</v>
      </c>
      <c r="C13" s="27">
        <f>IF(-57019.58147="","-",-57019.58147)</f>
        <v>-57019.58147</v>
      </c>
      <c r="D13" s="49">
        <f>IF(OR(-48168.89961="",-57019.58147="",-48168.89961=0),"-",-57019.58147/-48168.89961*100)</f>
        <v>118.37426624161986</v>
      </c>
    </row>
    <row r="14" spans="1:4" ht="15.75">
      <c r="A14" s="45" t="s">
        <v>11</v>
      </c>
      <c r="B14" s="27">
        <f>IF(-43569.0638="","-",-43569.0638)</f>
        <v>-43569.0638</v>
      </c>
      <c r="C14" s="27">
        <f>IF(-34294.35346="","-",-34294.35346)</f>
        <v>-34294.35346</v>
      </c>
      <c r="D14" s="49">
        <f>IF(OR(-43569.0638="",-34294.35346="",-43569.0638=0),"-",-34294.35346/-43569.0638*100)</f>
        <v>78.71262420837235</v>
      </c>
    </row>
    <row r="15" spans="1:4" ht="15.75">
      <c r="A15" s="45" t="s">
        <v>261</v>
      </c>
      <c r="B15" s="27">
        <f>IF(-20167.17807="","-",-20167.17807)</f>
        <v>-20167.17807</v>
      </c>
      <c r="C15" s="27">
        <f>IF(-29057.06411="","-",-29057.06411)</f>
        <v>-29057.06411</v>
      </c>
      <c r="D15" s="49">
        <f>IF(OR(-20167.17807="",-29057.06411="",-20167.17807=0),"-",-29057.06411/-20167.17807*100)</f>
        <v>144.08096169500425</v>
      </c>
    </row>
    <row r="16" spans="1:4" ht="15.75">
      <c r="A16" s="45" t="s">
        <v>123</v>
      </c>
      <c r="B16" s="27">
        <f>IF(-32319.92561="","-",-32319.92561)</f>
        <v>-32319.92561</v>
      </c>
      <c r="C16" s="27">
        <f>IF(-27304.11259="","-",-27304.11259)</f>
        <v>-27304.11259</v>
      </c>
      <c r="D16" s="49">
        <f>IF(OR(-32319.92561="",-27304.11259="",-32319.92561=0),"-",-27304.11259/-32319.92561*100)</f>
        <v>84.48074082680415</v>
      </c>
    </row>
    <row r="17" spans="1:4" ht="15.75">
      <c r="A17" s="45" t="s">
        <v>124</v>
      </c>
      <c r="B17" s="27">
        <f>IF(-17574.39698="","-",-17574.39698)</f>
        <v>-17574.39698</v>
      </c>
      <c r="C17" s="27">
        <f>IF(-21336.89159="","-",-21336.89159)</f>
        <v>-21336.89159</v>
      </c>
      <c r="D17" s="49">
        <f>IF(OR(-17574.39698="",-21336.89159="",-17574.39698=0),"-",-21336.89159/-17574.39698*100)</f>
        <v>121.40895425477068</v>
      </c>
    </row>
    <row r="18" spans="1:4" ht="15.75">
      <c r="A18" s="45" t="s">
        <v>13</v>
      </c>
      <c r="B18" s="27">
        <f>IF(-13573.03869="","-",-13573.03869)</f>
        <v>-13573.03869</v>
      </c>
      <c r="C18" s="27">
        <f>IF(-19204.41941="","-",-19204.41941)</f>
        <v>-19204.41941</v>
      </c>
      <c r="D18" s="49">
        <f>IF(OR(-13573.03869="",-19204.41941="",-13573.03869=0),"-",-19204.41941/-13573.03869*100)</f>
        <v>141.4894619297663</v>
      </c>
    </row>
    <row r="19" spans="1:4" ht="15.75">
      <c r="A19" s="45" t="s">
        <v>133</v>
      </c>
      <c r="B19" s="27">
        <f>IF(-14152.40206="","-",-14152.40206)</f>
        <v>-14152.40206</v>
      </c>
      <c r="C19" s="27">
        <f>IF(-15135.25991="","-",-15135.25991)</f>
        <v>-15135.25991</v>
      </c>
      <c r="D19" s="49">
        <f>IF(OR(-14152.40206="",-15135.25991="",-14152.40206=0),"-",-15135.25991/-14152.40206*100)</f>
        <v>106.94481294294151</v>
      </c>
    </row>
    <row r="20" spans="1:4" ht="15.75">
      <c r="A20" s="45" t="s">
        <v>135</v>
      </c>
      <c r="B20" s="27">
        <f>IF(-12777.77174="","-",-12777.77174)</f>
        <v>-12777.77174</v>
      </c>
      <c r="C20" s="27">
        <f>IF(-12988.31918="","-",-12988.31918)</f>
        <v>-12988.31918</v>
      </c>
      <c r="D20" s="49">
        <f>IF(OR(-12777.77174="",-12988.31918="",-12777.77174=0),"-",-12988.31918/-12777.77174*100)</f>
        <v>101.64776335251705</v>
      </c>
    </row>
    <row r="21" spans="1:4" ht="15.75">
      <c r="A21" s="45" t="s">
        <v>132</v>
      </c>
      <c r="B21" s="27">
        <f>IF(-9640.98156="","-",-9640.98156)</f>
        <v>-9640.98156</v>
      </c>
      <c r="C21" s="27">
        <f>IF(-10995.49988="","-",-10995.49988)</f>
        <v>-10995.49988</v>
      </c>
      <c r="D21" s="49">
        <f>IF(OR(-9640.98156="",-10995.49988="",-9640.98156=0),"-",-10995.49988/-9640.98156*100)</f>
        <v>114.04958936567036</v>
      </c>
    </row>
    <row r="22" spans="1:6" ht="15.75">
      <c r="A22" s="45" t="s">
        <v>127</v>
      </c>
      <c r="B22" s="27">
        <f>IF(-9113.90175="","-",-9113.90175)</f>
        <v>-9113.90175</v>
      </c>
      <c r="C22" s="27">
        <f>IF(-10962.75168="","-",-10962.75168)</f>
        <v>-10962.75168</v>
      </c>
      <c r="D22" s="49">
        <f>IF(OR(-9113.90175="",-10962.75168="",-9113.90175=0),"-",-10962.75168/-9113.90175*100)</f>
        <v>120.28604192490882</v>
      </c>
      <c r="F22" t="s">
        <v>227</v>
      </c>
    </row>
    <row r="23" spans="1:4" ht="15.75">
      <c r="A23" s="45" t="s">
        <v>131</v>
      </c>
      <c r="B23" s="27">
        <f>IF(-8633.66925="","-",-8633.66925)</f>
        <v>-8633.66925</v>
      </c>
      <c r="C23" s="27">
        <f>IF(-10814.29="","-",-10814.29)</f>
        <v>-10814.29</v>
      </c>
      <c r="D23" s="49">
        <f>IF(OR(-8633.66925="",-10814.29="",-8633.66925=0),"-",-10814.29/-8633.66925*100)</f>
        <v>125.25717266734534</v>
      </c>
    </row>
    <row r="24" spans="1:4" ht="15.75">
      <c r="A24" s="45" t="s">
        <v>134</v>
      </c>
      <c r="B24" s="27">
        <f>IF(-10419.33937="","-",-10419.33937)</f>
        <v>-10419.33937</v>
      </c>
      <c r="C24" s="27">
        <f>IF(-10257.58497="","-",-10257.58497)</f>
        <v>-10257.58497</v>
      </c>
      <c r="D24" s="49">
        <f>IF(OR(-10419.33937="",-10257.58497="",-10419.33937=0),"-",-10257.58497/-10419.33937*100)</f>
        <v>98.44755608531446</v>
      </c>
    </row>
    <row r="25" spans="1:4" ht="15.75">
      <c r="A25" s="45" t="s">
        <v>136</v>
      </c>
      <c r="B25" s="27">
        <f>IF(-4489.79966="","-",-4489.79966)</f>
        <v>-4489.79966</v>
      </c>
      <c r="C25" s="27">
        <f>IF(-5003.0511="","-",-5003.0511)</f>
        <v>-5003.0511</v>
      </c>
      <c r="D25" s="49">
        <f>IF(OR(-4489.79966="",-5003.0511="",-4489.79966=0),"-",-5003.0511/-4489.79966*100)</f>
        <v>111.4314998188583</v>
      </c>
    </row>
    <row r="26" spans="1:4" ht="15.75">
      <c r="A26" s="45" t="s">
        <v>126</v>
      </c>
      <c r="B26" s="27">
        <f>IF(-5858.86161="","-",-5858.86161)</f>
        <v>-5858.86161</v>
      </c>
      <c r="C26" s="27">
        <f>IF(-2604.64424="","-",-2604.64424)</f>
        <v>-2604.64424</v>
      </c>
      <c r="D26" s="49">
        <f>IF(OR(-5858.86161="",-2604.64424="",-5858.86161=0),"-",-2604.64424/-5858.86161*100)</f>
        <v>44.45649024299108</v>
      </c>
    </row>
    <row r="27" spans="1:4" ht="15.75">
      <c r="A27" s="45" t="s">
        <v>128</v>
      </c>
      <c r="B27" s="27">
        <f>IF(-2853.5901="","-",-2853.5901)</f>
        <v>-2853.5901</v>
      </c>
      <c r="C27" s="27">
        <f>IF(-2087.06017="","-",-2087.06017)</f>
        <v>-2087.06017</v>
      </c>
      <c r="D27" s="49">
        <f>IF(OR(-2853.5901="",-2087.06017="",-2853.5901=0),"-",-2087.06017/-2853.5901*100)</f>
        <v>73.13805055603467</v>
      </c>
    </row>
    <row r="28" spans="1:4" ht="15.75">
      <c r="A28" s="45" t="s">
        <v>137</v>
      </c>
      <c r="B28" s="27">
        <f>IF(-1895.69105="","-",-1895.69105)</f>
        <v>-1895.69105</v>
      </c>
      <c r="C28" s="27">
        <f>IF(-1979.3251="","-",-1979.3251)</f>
        <v>-1979.3251</v>
      </c>
      <c r="D28" s="49">
        <f>IF(OR(-1895.69105="",-1979.3251="",-1895.69105=0),"-",-1979.3251/-1895.69105*100)</f>
        <v>104.41179748145142</v>
      </c>
    </row>
    <row r="29" spans="1:4" ht="15.75">
      <c r="A29" s="45" t="s">
        <v>129</v>
      </c>
      <c r="B29" s="27">
        <f>IF(-637.87588="","-",-637.87588)</f>
        <v>-637.87588</v>
      </c>
      <c r="C29" s="27">
        <f>IF(-1474.43056="","-",-1474.43056)</f>
        <v>-1474.43056</v>
      </c>
      <c r="D29" s="49" t="s">
        <v>240</v>
      </c>
    </row>
    <row r="30" spans="1:4" ht="15.75">
      <c r="A30" s="45" t="s">
        <v>262</v>
      </c>
      <c r="B30" s="27">
        <f>IF(-1306.02394="","-",-1306.02394)</f>
        <v>-1306.02394</v>
      </c>
      <c r="C30" s="27">
        <f>IF(-1067.10227="","-",-1067.10227)</f>
        <v>-1067.10227</v>
      </c>
      <c r="D30" s="49">
        <f>IF(OR(-1306.02394="",-1067.10227="",-1306.02394=0),"-",-1067.10227/-1306.02394*100)</f>
        <v>81.70617990356287</v>
      </c>
    </row>
    <row r="31" spans="1:4" ht="15.75">
      <c r="A31" s="45" t="s">
        <v>138</v>
      </c>
      <c r="B31" s="27">
        <f>IF(-207.32499="","-",-207.32499)</f>
        <v>-207.32499</v>
      </c>
      <c r="C31" s="27">
        <f>IF(-219.10595="","-",-219.10595)</f>
        <v>-219.10595</v>
      </c>
      <c r="D31" s="49">
        <f>IF(OR(-207.32499="",-219.10595="",-207.32499=0),"-",-219.10595/-207.32499*100)</f>
        <v>105.68236371312499</v>
      </c>
    </row>
    <row r="32" spans="1:4" ht="15.75">
      <c r="A32" s="45" t="s">
        <v>9</v>
      </c>
      <c r="B32" s="27">
        <f>IF(5321.334="","-",5321.334)</f>
        <v>5321.334</v>
      </c>
      <c r="C32" s="27">
        <f>IF(4288.93769="","-",4288.93769)</f>
        <v>4288.93769</v>
      </c>
      <c r="D32" s="49">
        <f>IF(OR(5321.334="",4288.93769="",5321.334=0),"-",4288.93769/5321.334*100)</f>
        <v>80.59891918079188</v>
      </c>
    </row>
    <row r="33" spans="1:4" ht="15.75">
      <c r="A33" s="45" t="s">
        <v>12</v>
      </c>
      <c r="B33" s="27">
        <f>IF(3445.50338="","-",3445.50338)</f>
        <v>3445.50338</v>
      </c>
      <c r="C33" s="27">
        <f>IF(4556.45379="","-",4556.45379)</f>
        <v>4556.45379</v>
      </c>
      <c r="D33" s="49">
        <f>IF(OR(3445.50338="",4556.45379="",3445.50338=0),"-",4556.45379/3445.50338*100)</f>
        <v>132.2434862913993</v>
      </c>
    </row>
    <row r="34" spans="1:4" ht="15.75">
      <c r="A34" s="45" t="s">
        <v>130</v>
      </c>
      <c r="B34" s="27">
        <f>IF(2078.24443="","-",2078.24443)</f>
        <v>2078.24443</v>
      </c>
      <c r="C34" s="27">
        <f>IF(5860.32855="","-",5860.32855)</f>
        <v>5860.32855</v>
      </c>
      <c r="D34" s="49" t="s">
        <v>185</v>
      </c>
    </row>
    <row r="35" spans="1:4" ht="15.75">
      <c r="A35" s="45" t="s">
        <v>259</v>
      </c>
      <c r="B35" s="27">
        <f>IF(45109.75137="","-",45109.75137)</f>
        <v>45109.75137</v>
      </c>
      <c r="C35" s="27">
        <f>IF(65101.24302="","-",65101.24302)</f>
        <v>65101.24302</v>
      </c>
      <c r="D35" s="49">
        <f>IF(OR(45109.75137="",65101.24302="",45109.75137=0),"-",65101.24302/45109.75137*100)</f>
        <v>144.31745031362607</v>
      </c>
    </row>
    <row r="36" spans="1:4" ht="15.75">
      <c r="A36" s="41" t="s">
        <v>14</v>
      </c>
      <c r="B36" s="26">
        <f>IF(-484614.95478="","-",-484614.95478)</f>
        <v>-484614.95478</v>
      </c>
      <c r="C36" s="26">
        <f>IF(-584412.44722="","-",-584412.44722)</f>
        <v>-584412.44722</v>
      </c>
      <c r="D36" s="48">
        <f>IF(-484614.95478="","-",-584412.44722/-484614.95478*100)</f>
        <v>120.5931516259759</v>
      </c>
    </row>
    <row r="37" spans="1:4" ht="15.75">
      <c r="A37" s="45" t="s">
        <v>16</v>
      </c>
      <c r="B37" s="27">
        <f>IF(-274808.77659="","-",-274808.77659)</f>
        <v>-274808.77659</v>
      </c>
      <c r="C37" s="27">
        <f>IF(-364710.28403="","-",-364710.28403)</f>
        <v>-364710.28403</v>
      </c>
      <c r="D37" s="49">
        <f>IF(OR(-274808.77659="",-364710.28403="",-274808.77659=0),"-",-364710.28403/-274808.77659*100)</f>
        <v>132.7142053305409</v>
      </c>
    </row>
    <row r="38" spans="1:4" ht="15.75">
      <c r="A38" s="45" t="s">
        <v>263</v>
      </c>
      <c r="B38" s="27">
        <f>IF(-226932.49086="","-",-226932.49086)</f>
        <v>-226932.49086</v>
      </c>
      <c r="C38" s="27">
        <f>IF(-234140.82489="","-",-234140.82489)</f>
        <v>-234140.82489</v>
      </c>
      <c r="D38" s="49">
        <f>IF(OR(-226932.49086="",-234140.82489="",-226932.49086=0),"-",-234140.82489/-226932.49086*100)</f>
        <v>103.17642220498387</v>
      </c>
    </row>
    <row r="39" spans="1:4" ht="15.75">
      <c r="A39" s="45" t="s">
        <v>15</v>
      </c>
      <c r="B39" s="27">
        <f>IF(1372.13911="","-",1372.13911)</f>
        <v>1372.13911</v>
      </c>
      <c r="C39" s="27">
        <f>IF(-3734.06408="","-",-3734.06408)</f>
        <v>-3734.06408</v>
      </c>
      <c r="D39" s="49" t="s">
        <v>33</v>
      </c>
    </row>
    <row r="40" spans="1:4" ht="15.75">
      <c r="A40" s="45" t="s">
        <v>19</v>
      </c>
      <c r="B40" s="27">
        <f>IF(1881.67825="","-",1881.67825)</f>
        <v>1881.67825</v>
      </c>
      <c r="C40" s="27">
        <f>IF(-316.13708="","-",-316.13708)</f>
        <v>-316.13708</v>
      </c>
      <c r="D40" s="49" t="s">
        <v>33</v>
      </c>
    </row>
    <row r="41" spans="1:4" ht="15.75">
      <c r="A41" s="45" t="s">
        <v>23</v>
      </c>
      <c r="B41" s="27">
        <f>IF(417.42566="","-",417.42566)</f>
        <v>417.42566</v>
      </c>
      <c r="C41" s="27">
        <f>IF(369.92825="","-",369.92825)</f>
        <v>369.92825</v>
      </c>
      <c r="D41" s="49">
        <f>IF(OR(417.42566="",369.92825="",417.42566=0),"-",369.92825/417.42566*100)</f>
        <v>88.62134876902392</v>
      </c>
    </row>
    <row r="42" spans="1:4" ht="15.75">
      <c r="A42" s="45" t="s">
        <v>22</v>
      </c>
      <c r="B42" s="27">
        <f>IF(385.13686="","-",385.13686)</f>
        <v>385.13686</v>
      </c>
      <c r="C42" s="27">
        <f>IF(376.5026="","-",376.5026)</f>
        <v>376.5026</v>
      </c>
      <c r="D42" s="49">
        <f>IF(OR(385.13686="",376.5026="",385.13686=0),"-",376.5026/385.13686*100)</f>
        <v>97.7581320053344</v>
      </c>
    </row>
    <row r="43" spans="1:4" ht="15.75">
      <c r="A43" s="45" t="s">
        <v>21</v>
      </c>
      <c r="B43" s="27">
        <f>IF(896.5618="","-",896.5618)</f>
        <v>896.5618</v>
      </c>
      <c r="C43" s="27">
        <f>IF(503.44108="","-",503.44108)</f>
        <v>503.44108</v>
      </c>
      <c r="D43" s="49">
        <f>IF(OR(896.5618="",503.44108="",896.5618=0),"-",503.44108/896.5618*100)</f>
        <v>56.15241247173368</v>
      </c>
    </row>
    <row r="44" spans="1:4" ht="15.75">
      <c r="A44" s="45" t="s">
        <v>264</v>
      </c>
      <c r="B44" s="27">
        <f>IF(1464.78518="","-",1464.78518)</f>
        <v>1464.78518</v>
      </c>
      <c r="C44" s="27">
        <f>IF(771.45314="","-",771.45314)</f>
        <v>771.45314</v>
      </c>
      <c r="D44" s="49">
        <f>IF(OR(1464.78518="",771.45314="",1464.78518=0),"-",771.45314/1464.78518*100)</f>
        <v>52.666640169038295</v>
      </c>
    </row>
    <row r="45" spans="1:4" ht="15.75">
      <c r="A45" s="45" t="s">
        <v>18</v>
      </c>
      <c r="B45" s="27">
        <f>IF(2398.30814="","-",2398.30814)</f>
        <v>2398.30814</v>
      </c>
      <c r="C45" s="27">
        <f>IF(4158.58594="","-",4158.58594)</f>
        <v>4158.58594</v>
      </c>
      <c r="D45" s="49" t="s">
        <v>214</v>
      </c>
    </row>
    <row r="46" spans="1:4" ht="15.75">
      <c r="A46" s="45" t="s">
        <v>17</v>
      </c>
      <c r="B46" s="27">
        <f>IF(8310.27767="","-",8310.27767)</f>
        <v>8310.27767</v>
      </c>
      <c r="C46" s="27">
        <f>IF(12308.95185="","-",12308.95185)</f>
        <v>12308.95185</v>
      </c>
      <c r="D46" s="49">
        <f>IF(OR(8310.27767="",12308.95185="",8310.27767=0),"-",12308.95185/8310.27767*100)</f>
        <v>148.11721507736334</v>
      </c>
    </row>
    <row r="47" spans="1:4" ht="15.75">
      <c r="A47" s="9" t="s">
        <v>24</v>
      </c>
      <c r="B47" s="26">
        <f>IF(-578370.47062="","-",-578370.47062)</f>
        <v>-578370.47062</v>
      </c>
      <c r="C47" s="26">
        <f>IF(-709767.619="","-",-709767.619)</f>
        <v>-709767.619</v>
      </c>
      <c r="D47" s="48">
        <f>IF(-578370.47062="","-",-709767.619/-578370.47062*100)</f>
        <v>122.71850916578524</v>
      </c>
    </row>
    <row r="48" spans="1:4" ht="15.75">
      <c r="A48" s="45" t="s">
        <v>142</v>
      </c>
      <c r="B48" s="27">
        <f>IF(-302498.35661="","-",-302498.35661)</f>
        <v>-302498.35661</v>
      </c>
      <c r="C48" s="27">
        <f>IF(-389800.54187="","-",-389800.54187)</f>
        <v>-389800.54187</v>
      </c>
      <c r="D48" s="49">
        <f>IF(OR(-302498.35661="",-389800.54187="",-302498.35661=0),"-",-389800.54187/-302498.35661*100)</f>
        <v>128.8603833218689</v>
      </c>
    </row>
    <row r="49" spans="1:4" ht="15.75">
      <c r="A49" s="45" t="s">
        <v>139</v>
      </c>
      <c r="B49" s="27">
        <f>IF(-173466.87553="","-",-173466.87553)</f>
        <v>-173466.87553</v>
      </c>
      <c r="C49" s="27">
        <f>IF(-169511.92958="","-",-169511.92958)</f>
        <v>-169511.92958</v>
      </c>
      <c r="D49" s="49">
        <f>IF(OR(-173466.87553="",-169511.92958="",-173466.87553=0),"-",-169511.92958/-173466.87553*100)</f>
        <v>97.72005696308514</v>
      </c>
    </row>
    <row r="50" spans="1:4" ht="15.75">
      <c r="A50" s="45" t="s">
        <v>25</v>
      </c>
      <c r="B50" s="27">
        <f>IF(-30901.68965="","-",-30901.68965)</f>
        <v>-30901.68965</v>
      </c>
      <c r="C50" s="27">
        <f>IF(-44455.47165="","-",-44455.47165)</f>
        <v>-44455.47165</v>
      </c>
      <c r="D50" s="49">
        <f>IF(OR(-30901.68965="",-44455.47165="",-30901.68965=0),"-",-44455.47165/-30901.68965*100)</f>
        <v>143.86097379629854</v>
      </c>
    </row>
    <row r="51" spans="1:4" ht="15.75">
      <c r="A51" s="45" t="s">
        <v>161</v>
      </c>
      <c r="B51" s="27">
        <f>IF(-21830.83298="","-",-21830.83298)</f>
        <v>-21830.83298</v>
      </c>
      <c r="C51" s="27">
        <f>IF(-28389.31257="","-",-28389.31257)</f>
        <v>-28389.31257</v>
      </c>
      <c r="D51" s="49">
        <f>IF(OR(-21830.83298="",-28389.31257="",-21830.83298=0),"-",-28389.31257/-21830.83298*100)</f>
        <v>130.04227825850006</v>
      </c>
    </row>
    <row r="52" spans="1:4" ht="15.75">
      <c r="A52" s="45" t="s">
        <v>157</v>
      </c>
      <c r="B52" s="27">
        <f>IF(-15603.55604="","-",-15603.55604)</f>
        <v>-15603.55604</v>
      </c>
      <c r="C52" s="27">
        <f>IF(-26860.94316="","-",-26860.94316)</f>
        <v>-26860.94316</v>
      </c>
      <c r="D52" s="49" t="s">
        <v>214</v>
      </c>
    </row>
    <row r="53" spans="1:4" ht="15.75">
      <c r="A53" s="45" t="s">
        <v>114</v>
      </c>
      <c r="B53" s="27">
        <f>IF(-18299.39945="","-",-18299.39945)</f>
        <v>-18299.39945</v>
      </c>
      <c r="C53" s="27">
        <f>IF(-22220.49515="","-",-22220.49515)</f>
        <v>-22220.49515</v>
      </c>
      <c r="D53" s="49">
        <f>IF(OR(-18299.39945="",-22220.49515="",-18299.39945=0),"-",-22220.49515/-18299.39945*100)</f>
        <v>121.42745564254021</v>
      </c>
    </row>
    <row r="54" spans="1:4" ht="15.75">
      <c r="A54" s="45" t="s">
        <v>154</v>
      </c>
      <c r="B54" s="27">
        <f>IF(-17723.68877="","-",-17723.68877)</f>
        <v>-17723.68877</v>
      </c>
      <c r="C54" s="27">
        <f>IF(-21849.13027="","-",-21849.13027)</f>
        <v>-21849.13027</v>
      </c>
      <c r="D54" s="49">
        <f>IF(OR(-17723.68877="",-21849.13027="",-17723.68877=0),"-",-21849.13027/-17723.68877*100)</f>
        <v>123.27642712268188</v>
      </c>
    </row>
    <row r="55" spans="1:4" ht="15.75">
      <c r="A55" s="45" t="s">
        <v>155</v>
      </c>
      <c r="B55" s="27">
        <f>IF(-10566.70505="","-",-10566.70505)</f>
        <v>-10566.70505</v>
      </c>
      <c r="C55" s="27">
        <f>IF(-14584.27056="","-",-14584.27056)</f>
        <v>-14584.27056</v>
      </c>
      <c r="D55" s="49">
        <f>IF(OR(-10566.70505="",-14584.27056="",-10566.70505=0),"-",-14584.27056/-10566.70505*100)</f>
        <v>138.02098658938152</v>
      </c>
    </row>
    <row r="56" spans="1:4" ht="15.75">
      <c r="A56" s="45" t="s">
        <v>166</v>
      </c>
      <c r="B56" s="27">
        <f>IF(-7931.00102="","-",-7931.00102)</f>
        <v>-7931.00102</v>
      </c>
      <c r="C56" s="27">
        <f>IF(-9982.6264="","-",-9982.6264)</f>
        <v>-9982.6264</v>
      </c>
      <c r="D56" s="49">
        <f>IF(OR(-7931.00102="",-9982.6264="",-7931.00102=0),"-",-9982.6264/-7931.00102*100)</f>
        <v>125.86842915322181</v>
      </c>
    </row>
    <row r="57" spans="1:4" ht="15.75">
      <c r="A57" s="45" t="s">
        <v>156</v>
      </c>
      <c r="B57" s="27">
        <f>IF(-3412.92972="","-",-3412.92972)</f>
        <v>-3412.92972</v>
      </c>
      <c r="C57" s="27">
        <f>IF(-7163.48392="","-",-7163.48392)</f>
        <v>-7163.48392</v>
      </c>
      <c r="D57" s="49" t="s">
        <v>184</v>
      </c>
    </row>
    <row r="58" spans="1:4" ht="15.75">
      <c r="A58" s="45" t="s">
        <v>151</v>
      </c>
      <c r="B58" s="27">
        <f>IF(-12523.70683="","-",-12523.70683)</f>
        <v>-12523.70683</v>
      </c>
      <c r="C58" s="27">
        <f>IF(-7135.2142="","-",-7135.2142)</f>
        <v>-7135.2142</v>
      </c>
      <c r="D58" s="49">
        <f>IF(OR(-12523.70683="",-7135.2142="",-12523.70683=0),"-",-7135.2142/-12523.70683*100)</f>
        <v>56.973660409455626</v>
      </c>
    </row>
    <row r="59" spans="1:4" ht="15.75">
      <c r="A59" s="45" t="s">
        <v>167</v>
      </c>
      <c r="B59" s="27">
        <f>IF(-4701.07741="","-",-4701.07741)</f>
        <v>-4701.07741</v>
      </c>
      <c r="C59" s="27">
        <f>IF(-6302.20664="","-",-6302.20664)</f>
        <v>-6302.20664</v>
      </c>
      <c r="D59" s="49">
        <f>IF(OR(-4701.07741="",-6302.20664="",-4701.07741=0),"-",-6302.20664/-4701.07741*100)</f>
        <v>134.05877185927898</v>
      </c>
    </row>
    <row r="60" spans="1:4" ht="15.75">
      <c r="A60" s="45" t="s">
        <v>163</v>
      </c>
      <c r="B60" s="27">
        <f>IF(-4391.07622="","-",-4391.07622)</f>
        <v>-4391.07622</v>
      </c>
      <c r="C60" s="27">
        <f>IF(-5819.01417="","-",-5819.01417)</f>
        <v>-5819.01417</v>
      </c>
      <c r="D60" s="49">
        <f>IF(OR(-4391.07622="",-5819.01417="",-4391.07622=0),"-",-5819.01417/-4391.07622*100)</f>
        <v>132.51908822479973</v>
      </c>
    </row>
    <row r="61" spans="1:7" ht="15.75">
      <c r="A61" s="45" t="s">
        <v>169</v>
      </c>
      <c r="B61" s="27">
        <f>IF(-3733.4679="","-",-3733.4679)</f>
        <v>-3733.4679</v>
      </c>
      <c r="C61" s="27">
        <f>IF(-5620.63765="","-",-5620.63765)</f>
        <v>-5620.63765</v>
      </c>
      <c r="D61" s="49">
        <f>IF(OR(-3733.4679="",-5620.63765="",-3733.4679=0),"-",-5620.63765/-3733.4679*100)</f>
        <v>150.5473677703242</v>
      </c>
      <c r="E61" s="1"/>
      <c r="F61" s="1"/>
      <c r="G61" s="1"/>
    </row>
    <row r="62" spans="1:4" ht="15.75">
      <c r="A62" s="45" t="s">
        <v>168</v>
      </c>
      <c r="B62" s="27">
        <f>IF(-5118.27597="","-",-5118.27597)</f>
        <v>-5118.27597</v>
      </c>
      <c r="C62" s="27">
        <f>IF(-4697.73648="","-",-4697.73648)</f>
        <v>-4697.73648</v>
      </c>
      <c r="D62" s="49">
        <f>IF(OR(-5118.27597="",-4697.73648="",-5118.27597=0),"-",-4697.73648/-5118.27597*100)</f>
        <v>91.78357141223083</v>
      </c>
    </row>
    <row r="63" spans="1:4" ht="15.75">
      <c r="A63" s="45" t="s">
        <v>145</v>
      </c>
      <c r="B63" s="27">
        <f>IF(-2713.25331="","-",-2713.25331)</f>
        <v>-2713.25331</v>
      </c>
      <c r="C63" s="27">
        <f>IF(-4292.86299="","-",-4292.86299)</f>
        <v>-4292.86299</v>
      </c>
      <c r="D63" s="49" t="s">
        <v>215</v>
      </c>
    </row>
    <row r="64" spans="1:4" ht="15.75">
      <c r="A64" s="45" t="s">
        <v>170</v>
      </c>
      <c r="B64" s="27">
        <f>IF(-3271.37338="","-",-3271.37338)</f>
        <v>-3271.37338</v>
      </c>
      <c r="C64" s="27">
        <f>IF(-4178.45052="","-",-4178.45052)</f>
        <v>-4178.45052</v>
      </c>
      <c r="D64" s="49">
        <f>IF(OR(-3271.37338="",-4178.45052="",-3271.37338=0),"-",-4178.45052/-3271.37338*100)</f>
        <v>127.72771660812379</v>
      </c>
    </row>
    <row r="65" spans="1:4" ht="15.75">
      <c r="A65" s="45" t="s">
        <v>171</v>
      </c>
      <c r="B65" s="27">
        <f>IF(-2757.1878="","-",-2757.1878)</f>
        <v>-2757.1878</v>
      </c>
      <c r="C65" s="27">
        <f>IF(-3340.64853="","-",-3340.64853)</f>
        <v>-3340.64853</v>
      </c>
      <c r="D65" s="49">
        <f>IF(OR(-2757.1878="",-3340.64853="",-2757.1878=0),"-",-3340.64853/-2757.1878*100)</f>
        <v>121.1614431922265</v>
      </c>
    </row>
    <row r="66" spans="1:4" ht="15.75">
      <c r="A66" s="45" t="s">
        <v>174</v>
      </c>
      <c r="B66" s="27">
        <f>IF(-1289.47706="","-",-1289.47706)</f>
        <v>-1289.47706</v>
      </c>
      <c r="C66" s="27">
        <f>IF(-3121.20506="","-",-3121.20506)</f>
        <v>-3121.20506</v>
      </c>
      <c r="D66" s="49" t="s">
        <v>122</v>
      </c>
    </row>
    <row r="67" spans="1:4" ht="15.75">
      <c r="A67" s="45" t="s">
        <v>149</v>
      </c>
      <c r="B67" s="27">
        <f>IF(-1571.53106="","-",-1571.53106)</f>
        <v>-1571.53106</v>
      </c>
      <c r="C67" s="27">
        <f>IF(-2951.65338="","-",-2951.65338)</f>
        <v>-2951.65338</v>
      </c>
      <c r="D67" s="49" t="s">
        <v>216</v>
      </c>
    </row>
    <row r="68" spans="1:7" ht="15.75">
      <c r="A68" s="45" t="s">
        <v>172</v>
      </c>
      <c r="B68" s="27">
        <f>IF(-2541.66136="","-",-2541.66136)</f>
        <v>-2541.66136</v>
      </c>
      <c r="C68" s="27">
        <f>IF(-2560.98253="","-",-2560.98253)</f>
        <v>-2560.98253</v>
      </c>
      <c r="D68" s="49">
        <f>IF(OR(-2541.66136="",-2560.98253="",-2541.66136=0),"-",-2560.98253/-2541.66136*100)</f>
        <v>100.76017876748145</v>
      </c>
      <c r="E68" s="1"/>
      <c r="F68" s="1"/>
      <c r="G68" s="1"/>
    </row>
    <row r="69" spans="1:4" ht="15.75">
      <c r="A69" s="45" t="s">
        <v>121</v>
      </c>
      <c r="B69" s="27">
        <f>IF(-2597.50212="","-",-2597.50212)</f>
        <v>-2597.50212</v>
      </c>
      <c r="C69" s="27">
        <f>IF(-2123.79242="","-",-2123.79242)</f>
        <v>-2123.79242</v>
      </c>
      <c r="D69" s="49">
        <f>IF(OR(-2597.50212="",-2123.79242="",-2597.50212=0),"-",-2123.79242/-2597.50212*100)</f>
        <v>81.76287532731638</v>
      </c>
    </row>
    <row r="70" spans="1:4" ht="15.75">
      <c r="A70" s="45" t="s">
        <v>159</v>
      </c>
      <c r="B70" s="27">
        <f>IF(-803.44513="","-",-803.44513)</f>
        <v>-803.44513</v>
      </c>
      <c r="C70" s="27">
        <f>IF(-1734.82627="","-",-1734.82627)</f>
        <v>-1734.82627</v>
      </c>
      <c r="D70" s="49" t="s">
        <v>193</v>
      </c>
    </row>
    <row r="71" spans="1:4" ht="15.75">
      <c r="A71" s="45" t="s">
        <v>175</v>
      </c>
      <c r="B71" s="27">
        <f>IF(-1202.39424="","-",-1202.39424)</f>
        <v>-1202.39424</v>
      </c>
      <c r="C71" s="27">
        <f>IF(-1679.8977="","-",-1679.8977)</f>
        <v>-1679.8977</v>
      </c>
      <c r="D71" s="49">
        <f>IF(OR(-1202.39424="",-1679.8977="",-1202.39424=0),"-",-1679.8977/-1202.39424*100)</f>
        <v>139.71272018069547</v>
      </c>
    </row>
    <row r="72" spans="1:4" ht="15.75">
      <c r="A72" s="45" t="s">
        <v>180</v>
      </c>
      <c r="B72" s="27">
        <f>IF(-738.60404="","-",-738.60404)</f>
        <v>-738.60404</v>
      </c>
      <c r="C72" s="27">
        <f>IF(-1652.7182="","-",-1652.7182)</f>
        <v>-1652.7182</v>
      </c>
      <c r="D72" s="49" t="s">
        <v>193</v>
      </c>
    </row>
    <row r="73" spans="1:4" ht="15.75">
      <c r="A73" s="45" t="s">
        <v>144</v>
      </c>
      <c r="B73" s="27">
        <f>IF(3544.9903="","-",3544.9903)</f>
        <v>3544.9903</v>
      </c>
      <c r="C73" s="27">
        <f>IF(-1476.76697="","-",-1476.76697)</f>
        <v>-1476.76697</v>
      </c>
      <c r="D73" s="49" t="s">
        <v>33</v>
      </c>
    </row>
    <row r="74" spans="1:4" ht="15.75">
      <c r="A74" s="45" t="s">
        <v>158</v>
      </c>
      <c r="B74" s="27">
        <f>IF(-231.76385="","-",-231.76385)</f>
        <v>-231.76385</v>
      </c>
      <c r="C74" s="27">
        <f>IF(-1332.09967="","-",-1332.09967)</f>
        <v>-1332.09967</v>
      </c>
      <c r="D74" s="49" t="s">
        <v>280</v>
      </c>
    </row>
    <row r="75" spans="1:4" ht="15.75">
      <c r="A75" s="45" t="s">
        <v>173</v>
      </c>
      <c r="B75" s="27">
        <f>IF(-1344.83196="","-",-1344.83196)</f>
        <v>-1344.83196</v>
      </c>
      <c r="C75" s="27">
        <f>IF(-976.59371="","-",-976.59371)</f>
        <v>-976.59371</v>
      </c>
      <c r="D75" s="49">
        <f>IF(OR(-1344.83196="",-976.59371="",-1344.83196=0),"-",-976.59371/-1344.83196*100)</f>
        <v>72.618270464066</v>
      </c>
    </row>
    <row r="76" spans="1:7" ht="15.75">
      <c r="A76" s="45" t="s">
        <v>176</v>
      </c>
      <c r="B76" s="27">
        <f>IF(-992.1913="","-",-992.1913)</f>
        <v>-992.1913</v>
      </c>
      <c r="C76" s="27">
        <f>IF(-933.11358="","-",-933.11358)</f>
        <v>-933.11358</v>
      </c>
      <c r="D76" s="49">
        <f>IF(OR(-992.1913="",-933.11358="",-992.1913=0),"-",-933.11358/-992.1913*100)</f>
        <v>94.04573291461031</v>
      </c>
      <c r="E76" s="24"/>
      <c r="F76" s="24"/>
      <c r="G76" s="24"/>
    </row>
    <row r="77" spans="1:4" ht="15.75">
      <c r="A77" s="45" t="s">
        <v>153</v>
      </c>
      <c r="B77" s="27">
        <f>IF(-1197.37839="","-",-1197.37839)</f>
        <v>-1197.37839</v>
      </c>
      <c r="C77" s="27">
        <f>IF(-865.41532="","-",-865.41532)</f>
        <v>-865.41532</v>
      </c>
      <c r="D77" s="49">
        <f>IF(OR(-1197.37839="",-865.41532="",-1197.37839=0),"-",-865.41532/-1197.37839*100)</f>
        <v>72.27584255967739</v>
      </c>
    </row>
    <row r="78" spans="1:4" ht="15.75">
      <c r="A78" s="45" t="s">
        <v>181</v>
      </c>
      <c r="B78" s="27">
        <f>IF(-667.74305="","-",-667.74305)</f>
        <v>-667.74305</v>
      </c>
      <c r="C78" s="27">
        <f>IF(-846.21326="","-",-846.21326)</f>
        <v>-846.21326</v>
      </c>
      <c r="D78" s="49">
        <f>IF(OR(-667.74305="",-846.21326="",-667.74305=0),"-",-846.21326/-667.74305*100)</f>
        <v>126.72737814343407</v>
      </c>
    </row>
    <row r="79" spans="1:4" ht="15.75">
      <c r="A79" s="45" t="s">
        <v>205</v>
      </c>
      <c r="B79" s="27">
        <f>IF(105.82321="","-",105.82321)</f>
        <v>105.82321</v>
      </c>
      <c r="C79" s="27">
        <f>IF(-843.45849="","-",-843.45849)</f>
        <v>-843.45849</v>
      </c>
      <c r="D79" s="49" t="s">
        <v>33</v>
      </c>
    </row>
    <row r="80" spans="1:4" ht="15.75">
      <c r="A80" s="45" t="s">
        <v>177</v>
      </c>
      <c r="B80" s="27">
        <f>IF(-933.04373="","-",-933.04373)</f>
        <v>-933.04373</v>
      </c>
      <c r="C80" s="27">
        <f>IF(-635.7847="","-",-635.7847)</f>
        <v>-635.7847</v>
      </c>
      <c r="D80" s="49">
        <f>IF(OR(-933.04373="",-635.7847="",-933.04373=0),"-",-635.7847/-933.04373*100)</f>
        <v>68.14093268704566</v>
      </c>
    </row>
    <row r="81" spans="1:4" ht="15.75">
      <c r="A81" s="45" t="s">
        <v>165</v>
      </c>
      <c r="B81" s="27">
        <f>IF(-307.80686="","-",-307.80686)</f>
        <v>-307.80686</v>
      </c>
      <c r="C81" s="27">
        <f>IF(-613.38789="","-",-613.38789)</f>
        <v>-613.38789</v>
      </c>
      <c r="D81" s="49" t="s">
        <v>26</v>
      </c>
    </row>
    <row r="82" spans="1:4" ht="15.75">
      <c r="A82" s="45" t="s">
        <v>191</v>
      </c>
      <c r="B82" s="27">
        <f>IF(-344.48933="","-",-344.48933)</f>
        <v>-344.48933</v>
      </c>
      <c r="C82" s="27">
        <f>IF(-536.97645="","-",-536.97645)</f>
        <v>-536.97645</v>
      </c>
      <c r="D82" s="49" t="s">
        <v>215</v>
      </c>
    </row>
    <row r="83" spans="1:4" ht="15.75">
      <c r="A83" s="45" t="s">
        <v>178</v>
      </c>
      <c r="B83" s="27">
        <f>IF(-928.93666="","-",-928.93666)</f>
        <v>-928.93666</v>
      </c>
      <c r="C83" s="27">
        <f>IF(-494.50077="","-",-494.50077)</f>
        <v>-494.50077</v>
      </c>
      <c r="D83" s="49">
        <f>IF(OR(-928.93666="",-494.50077="",-928.93666=0),"-",-494.50077/-928.93666*100)</f>
        <v>53.23299114925661</v>
      </c>
    </row>
    <row r="84" spans="1:4" ht="15.75">
      <c r="A84" s="45" t="s">
        <v>274</v>
      </c>
      <c r="B84" s="27">
        <f>IF(-396.0971="","-",-396.0971)</f>
        <v>-396.0971</v>
      </c>
      <c r="C84" s="27">
        <f>IF(-461.39318="","-",-461.39318)</f>
        <v>-461.39318</v>
      </c>
      <c r="D84" s="49">
        <f>IF(OR(-396.0971="",-461.39318="",-396.0971=0),"-",-461.39318/-396.0971*100)</f>
        <v>116.4848669682257</v>
      </c>
    </row>
    <row r="85" spans="1:4" ht="15.75">
      <c r="A85" s="45" t="s">
        <v>179</v>
      </c>
      <c r="B85" s="27">
        <f>IF(-680.27048="","-",-680.27048)</f>
        <v>-680.27048</v>
      </c>
      <c r="C85" s="27">
        <f>IF(-435.06662="","-",-435.06662)</f>
        <v>-435.06662</v>
      </c>
      <c r="D85" s="49">
        <f>IF(OR(-680.27048="",-435.06662="",-680.27048=0),"-",-435.06662/-680.27048*100)</f>
        <v>63.95494627372336</v>
      </c>
    </row>
    <row r="86" spans="1:4" ht="15.75">
      <c r="A86" s="45" t="s">
        <v>182</v>
      </c>
      <c r="B86" s="27">
        <f>IF(-462.01448="","-",-462.01448)</f>
        <v>-462.01448</v>
      </c>
      <c r="C86" s="27">
        <f>IF(-379.27935="","-",-379.27935)</f>
        <v>-379.27935</v>
      </c>
      <c r="D86" s="49">
        <f>IF(OR(-462.01448="",-379.27935="",-462.01448=0),"-",-379.27935/-462.01448*100)</f>
        <v>82.09252445940656</v>
      </c>
    </row>
    <row r="87" spans="1:4" ht="15.75">
      <c r="A87" s="45" t="s">
        <v>211</v>
      </c>
      <c r="B87" s="27">
        <f>IF(99.29885="","-",99.29885)</f>
        <v>99.29885</v>
      </c>
      <c r="C87" s="27">
        <f>IF(-282.22634="","-",-282.22634)</f>
        <v>-282.22634</v>
      </c>
      <c r="D87" s="49" t="s">
        <v>33</v>
      </c>
    </row>
    <row r="88" spans="1:4" ht="15.75">
      <c r="A88" s="45" t="s">
        <v>150</v>
      </c>
      <c r="B88" s="27">
        <f>IF(-450.76084="","-",-450.76084)</f>
        <v>-450.76084</v>
      </c>
      <c r="C88" s="27">
        <f>IF(-274.02105="","-",-274.02105)</f>
        <v>-274.02105</v>
      </c>
      <c r="D88" s="49">
        <f>IF(OR(-450.76084="",-274.02105="",-450.76084=0),"-",-274.02105/-450.76084*100)</f>
        <v>60.79078431036734</v>
      </c>
    </row>
    <row r="89" spans="1:4" ht="15.75">
      <c r="A89" s="45" t="s">
        <v>190</v>
      </c>
      <c r="B89" s="27">
        <f>IF(-129.45274="","-",-129.45274)</f>
        <v>-129.45274</v>
      </c>
      <c r="C89" s="27">
        <f>IF(-226.39566="","-",-226.39566)</f>
        <v>-226.39566</v>
      </c>
      <c r="D89" s="49" t="s">
        <v>214</v>
      </c>
    </row>
    <row r="90" spans="1:4" ht="15.75">
      <c r="A90" s="45" t="s">
        <v>192</v>
      </c>
      <c r="B90" s="27">
        <f>IF(-22.10363="","-",-22.10363)</f>
        <v>-22.10363</v>
      </c>
      <c r="C90" s="27">
        <f>IF(-211.08594="","-",-211.08594)</f>
        <v>-211.08594</v>
      </c>
      <c r="D90" s="49" t="s">
        <v>281</v>
      </c>
    </row>
    <row r="91" spans="1:4" ht="15.75">
      <c r="A91" s="45" t="s">
        <v>229</v>
      </c>
      <c r="B91" s="27">
        <f>IF(-163.22079="","-",-163.22079)</f>
        <v>-163.22079</v>
      </c>
      <c r="C91" s="27">
        <f>IF(-162.12877="","-",-162.12877)</f>
        <v>-162.12877</v>
      </c>
      <c r="D91" s="49">
        <f>IF(OR(-163.22079="",-162.12877="",-163.22079=0),"-",-162.12877/-163.22079*100)</f>
        <v>99.33095532744328</v>
      </c>
    </row>
    <row r="92" spans="1:4" ht="15.75">
      <c r="A92" s="45" t="s">
        <v>241</v>
      </c>
      <c r="B92" s="27">
        <f>IF(-46.57751="","-",-46.57751)</f>
        <v>-46.57751</v>
      </c>
      <c r="C92" s="27">
        <f>IF(-91.33173="","-",-91.33173)</f>
        <v>-91.33173</v>
      </c>
      <c r="D92" s="49" t="s">
        <v>26</v>
      </c>
    </row>
    <row r="93" spans="1:4" ht="15.75">
      <c r="A93" s="45" t="s">
        <v>224</v>
      </c>
      <c r="B93" s="27">
        <f>IF(-55.68443="","-",-55.68443)</f>
        <v>-55.68443</v>
      </c>
      <c r="C93" s="27">
        <f>IF(-85.59839="","-",-85.59839)</f>
        <v>-85.59839</v>
      </c>
      <c r="D93" s="49">
        <f>IF(OR(-55.68443="",-85.59839="",-55.68443=0),"-",-85.59839/-55.68443*100)</f>
        <v>153.72051038324358</v>
      </c>
    </row>
    <row r="94" spans="1:4" ht="15.75">
      <c r="A94" s="45" t="s">
        <v>248</v>
      </c>
      <c r="B94" s="27">
        <f>IF(-66.99916="","-",-66.99916)</f>
        <v>-66.99916</v>
      </c>
      <c r="C94" s="27">
        <f>IF(-79.07775="","-",-79.07775)</f>
        <v>-79.07775</v>
      </c>
      <c r="D94" s="49">
        <f>IF(OR(-66.99916="",-79.07775="",-66.99916=0),"-",-79.07775/-66.99916*100)</f>
        <v>118.02797229099586</v>
      </c>
    </row>
    <row r="95" spans="1:4" ht="15.75">
      <c r="A95" s="45" t="s">
        <v>242</v>
      </c>
      <c r="B95" s="27">
        <f>IF(-82.776="","-",-82.776)</f>
        <v>-82.776</v>
      </c>
      <c r="C95" s="27">
        <f>IF(-74.2607="","-",-74.2607)</f>
        <v>-74.2607</v>
      </c>
      <c r="D95" s="49">
        <f>IF(OR(-82.776="",-74.2607="",-82.776=0),"-",-74.2607/-82.776*100)</f>
        <v>89.71283947037789</v>
      </c>
    </row>
    <row r="96" spans="1:7" ht="15.75">
      <c r="A96" s="45" t="s">
        <v>236</v>
      </c>
      <c r="B96" s="27">
        <f>IF(-43.65377="","-",-43.65377)</f>
        <v>-43.65377</v>
      </c>
      <c r="C96" s="27">
        <f>IF(-71.2687="","-",-71.2687)</f>
        <v>-71.2687</v>
      </c>
      <c r="D96" s="49" t="s">
        <v>215</v>
      </c>
      <c r="E96" s="24"/>
      <c r="F96" s="24"/>
      <c r="G96" s="24"/>
    </row>
    <row r="97" spans="1:7" ht="15.75">
      <c r="A97" s="45" t="s">
        <v>250</v>
      </c>
      <c r="B97" s="27">
        <f>IF(-53.7593="","-",-53.7593)</f>
        <v>-53.7593</v>
      </c>
      <c r="C97" s="27">
        <f>IF(-54.33779="","-",-54.33779)</f>
        <v>-54.33779</v>
      </c>
      <c r="D97" s="49">
        <f>IF(OR(-53.7593="",-54.33779="",-53.7593=0),"-",-54.33779/-53.7593*100)</f>
        <v>101.07607427924097</v>
      </c>
      <c r="E97" s="24"/>
      <c r="F97" s="24"/>
      <c r="G97" s="24"/>
    </row>
    <row r="98" spans="1:4" ht="15.75">
      <c r="A98" s="45" t="s">
        <v>275</v>
      </c>
      <c r="B98" s="27">
        <f>IF(-51.9831="","-",-51.9831)</f>
        <v>-51.9831</v>
      </c>
      <c r="C98" s="27">
        <f>IF(-50.48336="","-",-50.48336)</f>
        <v>-50.48336</v>
      </c>
      <c r="D98" s="49">
        <f>IF(OR(-51.9831="",-50.48336="",-51.9831=0),"-",-50.48336/-51.9831*100)</f>
        <v>97.11494697315088</v>
      </c>
    </row>
    <row r="99" spans="1:4" ht="15.75">
      <c r="A99" s="45" t="s">
        <v>249</v>
      </c>
      <c r="B99" s="27">
        <f>IF(-52.2185="","-",-52.2185)</f>
        <v>-52.2185</v>
      </c>
      <c r="C99" s="27">
        <f>IF(-48.08703="","-",-48.08703)</f>
        <v>-48.08703</v>
      </c>
      <c r="D99" s="49">
        <f>IF(OR(-52.2185="",-48.08703="",-52.2185=0),"-",-48.08703/-52.2185*100)</f>
        <v>92.08811053553816</v>
      </c>
    </row>
    <row r="100" spans="1:7" ht="15.75">
      <c r="A100" s="45" t="s">
        <v>120</v>
      </c>
      <c r="B100" s="27">
        <f>IF(-2793.39712="","-",-2793.39712)</f>
        <v>-2793.39712</v>
      </c>
      <c r="C100" s="27">
        <f>IF(20.0969="","-",20.0969)</f>
        <v>20.0969</v>
      </c>
      <c r="D100" s="49" t="s">
        <v>33</v>
      </c>
      <c r="E100" s="23"/>
      <c r="F100" s="23"/>
      <c r="G100" s="23"/>
    </row>
    <row r="101" spans="1:4" ht="15.75">
      <c r="A101" s="45" t="s">
        <v>164</v>
      </c>
      <c r="B101" s="27">
        <f>IF(-619.28978="","-",-619.28978)</f>
        <v>-619.28978</v>
      </c>
      <c r="C101" s="27">
        <f>IF(35.25113="","-",35.25113)</f>
        <v>35.25113</v>
      </c>
      <c r="D101" s="49" t="s">
        <v>33</v>
      </c>
    </row>
    <row r="102" spans="1:7" ht="15.75">
      <c r="A102" s="45" t="s">
        <v>266</v>
      </c>
      <c r="B102" s="27">
        <f>IF(1.83125="","-",1.83125)</f>
        <v>1.83125</v>
      </c>
      <c r="C102" s="27">
        <f>IF(36.00167="","-",36.00167)</f>
        <v>36.00167</v>
      </c>
      <c r="D102" s="49" t="s">
        <v>282</v>
      </c>
      <c r="E102" s="23"/>
      <c r="F102" s="23"/>
      <c r="G102" s="23"/>
    </row>
    <row r="103" spans="1:7" ht="15.75">
      <c r="A103" s="45" t="s">
        <v>239</v>
      </c>
      <c r="B103" s="27">
        <f>IF(50.13236="","-",50.13236)</f>
        <v>50.13236</v>
      </c>
      <c r="C103" s="27">
        <f>IF(45.28454="","-",45.28454)</f>
        <v>45.28454</v>
      </c>
      <c r="D103" s="49">
        <f>IF(OR(50.13236="",45.28454="",50.13236=0),"-",45.28454/50.13236*100)</f>
        <v>90.3299585337694</v>
      </c>
      <c r="E103" s="1"/>
      <c r="F103" s="1"/>
      <c r="G103" s="1"/>
    </row>
    <row r="104" spans="1:4" ht="15.75">
      <c r="A104" s="45" t="s">
        <v>238</v>
      </c>
      <c r="B104" s="27">
        <f>IF(0="","-",0)</f>
        <v>0</v>
      </c>
      <c r="C104" s="27">
        <f>IF(55.12314="","-",55.12314)</f>
        <v>55.12314</v>
      </c>
      <c r="D104" s="49" t="s">
        <v>33</v>
      </c>
    </row>
    <row r="105" spans="1:4" ht="15.75">
      <c r="A105" s="45" t="s">
        <v>223</v>
      </c>
      <c r="B105" s="27">
        <f>IF(14.606="","-",14.606)</f>
        <v>14.606</v>
      </c>
      <c r="C105" s="27">
        <f>IF(64.15896="","-",64.15896)</f>
        <v>64.15896</v>
      </c>
      <c r="D105" s="49" t="s">
        <v>247</v>
      </c>
    </row>
    <row r="106" spans="1:4" ht="15.75">
      <c r="A106" s="45" t="s">
        <v>237</v>
      </c>
      <c r="B106" s="27">
        <f>IF(-305.92999="","-",-305.92999)</f>
        <v>-305.92999</v>
      </c>
      <c r="C106" s="27">
        <f>IF(83.52727="","-",83.52727)</f>
        <v>83.52727</v>
      </c>
      <c r="D106" s="49" t="s">
        <v>33</v>
      </c>
    </row>
    <row r="107" spans="1:7" ht="15.75">
      <c r="A107" s="45" t="s">
        <v>233</v>
      </c>
      <c r="B107" s="27">
        <f>IF(100.39497="","-",100.39497)</f>
        <v>100.39497</v>
      </c>
      <c r="C107" s="27">
        <f>IF(136.94315="","-",136.94315)</f>
        <v>136.94315</v>
      </c>
      <c r="D107" s="49">
        <f>IF(OR(100.39497="",136.94315="",100.39497=0),"-",136.94315/100.39497*100)</f>
        <v>136.40439356672948</v>
      </c>
      <c r="E107" s="24"/>
      <c r="F107" s="24"/>
      <c r="G107" s="24"/>
    </row>
    <row r="108" spans="1:7" ht="15.75">
      <c r="A108" s="45" t="s">
        <v>204</v>
      </c>
      <c r="B108" s="27">
        <f>IF(0.2121="","-",0.2121)</f>
        <v>0.2121</v>
      </c>
      <c r="C108" s="27">
        <f>IF(174.27736="","-",174.27736)</f>
        <v>174.27736</v>
      </c>
      <c r="D108" s="49" t="s">
        <v>272</v>
      </c>
      <c r="E108" s="17"/>
      <c r="F108" s="17"/>
      <c r="G108" s="17"/>
    </row>
    <row r="109" spans="1:4" ht="15.75">
      <c r="A109" s="45" t="s">
        <v>232</v>
      </c>
      <c r="B109" s="27">
        <f>IF(-0.0213="","-",-0.0213)</f>
        <v>-0.0213</v>
      </c>
      <c r="C109" s="27">
        <f>IF(177.82416="","-",177.82416)</f>
        <v>177.82416</v>
      </c>
      <c r="D109" s="49" t="s">
        <v>33</v>
      </c>
    </row>
    <row r="110" spans="1:7" ht="15.75">
      <c r="A110" s="45" t="s">
        <v>187</v>
      </c>
      <c r="B110" s="27">
        <f>IF(-0.6022="","-",-0.6022)</f>
        <v>-0.6022</v>
      </c>
      <c r="C110" s="27">
        <f>IF(186.33116="","-",186.33116)</f>
        <v>186.33116</v>
      </c>
      <c r="D110" s="49" t="s">
        <v>33</v>
      </c>
      <c r="E110" s="24"/>
      <c r="F110" s="24"/>
      <c r="G110" s="24"/>
    </row>
    <row r="111" spans="1:4" ht="15.75">
      <c r="A111" s="45" t="s">
        <v>234</v>
      </c>
      <c r="B111" s="27">
        <f>IF(178.19857="","-",178.19857)</f>
        <v>178.19857</v>
      </c>
      <c r="C111" s="27">
        <f>IF(232.84947="","-",232.84947)</f>
        <v>232.84947</v>
      </c>
      <c r="D111" s="49">
        <f>IF(OR(178.19857="",232.84947="",178.19857=0),"-",232.84947/178.19857*100)</f>
        <v>130.66854015719656</v>
      </c>
    </row>
    <row r="112" spans="1:4" ht="15.75">
      <c r="A112" s="45" t="s">
        <v>152</v>
      </c>
      <c r="B112" s="27">
        <f>IF(951.98617="","-",951.98617)</f>
        <v>951.98617</v>
      </c>
      <c r="C112" s="27">
        <f>IF(236.7754="","-",236.7754)</f>
        <v>236.7754</v>
      </c>
      <c r="D112" s="49">
        <f>IF(OR(951.98617="",236.7754="",951.98617=0),"-",236.7754/951.98617*100)</f>
        <v>24.871726865527886</v>
      </c>
    </row>
    <row r="113" spans="1:4" ht="15.75">
      <c r="A113" s="45" t="s">
        <v>188</v>
      </c>
      <c r="B113" s="27">
        <f>IF(221.48921="","-",221.48921)</f>
        <v>221.48921</v>
      </c>
      <c r="C113" s="27">
        <f>IF(291.30845="","-",291.30845)</f>
        <v>291.30845</v>
      </c>
      <c r="D113" s="49">
        <f>IF(OR(221.48921="",291.30845="",221.48921=0),"-",291.30845/221.48921*100)</f>
        <v>131.5226371523922</v>
      </c>
    </row>
    <row r="114" spans="1:4" ht="15.75">
      <c r="A114" s="45" t="s">
        <v>231</v>
      </c>
      <c r="B114" s="27">
        <f>IF(801.64653="","-",801.64653)</f>
        <v>801.64653</v>
      </c>
      <c r="C114" s="27">
        <f>IF(390.32609="","-",390.32609)</f>
        <v>390.32609</v>
      </c>
      <c r="D114" s="49">
        <f>IF(OR(801.64653="",390.32609="",801.64653=0),"-",390.32609/801.64653*100)</f>
        <v>48.690548189611704</v>
      </c>
    </row>
    <row r="115" spans="1:4" ht="15.75">
      <c r="A115" s="45" t="s">
        <v>222</v>
      </c>
      <c r="B115" s="27">
        <f>IF(269.46157="","-",269.46157)</f>
        <v>269.46157</v>
      </c>
      <c r="C115" s="27">
        <f>IF(664.13443="","-",664.13443)</f>
        <v>664.13443</v>
      </c>
      <c r="D115" s="49" t="s">
        <v>189</v>
      </c>
    </row>
    <row r="116" spans="1:4" ht="15.75">
      <c r="A116" s="45" t="s">
        <v>225</v>
      </c>
      <c r="B116" s="27">
        <f>IF(-133.49308="","-",-133.49308)</f>
        <v>-133.49308</v>
      </c>
      <c r="C116" s="27">
        <f>IF(675.49302="","-",675.49302)</f>
        <v>675.49302</v>
      </c>
      <c r="D116" s="49" t="s">
        <v>33</v>
      </c>
    </row>
    <row r="117" spans="1:4" ht="15.75">
      <c r="A117" s="45" t="s">
        <v>203</v>
      </c>
      <c r="B117" s="27">
        <f>IF(280.52994="","-",280.52994)</f>
        <v>280.52994</v>
      </c>
      <c r="C117" s="27">
        <f>IF(685.93243="","-",685.93243)</f>
        <v>685.93243</v>
      </c>
      <c r="D117" s="49" t="s">
        <v>122</v>
      </c>
    </row>
    <row r="118" spans="1:4" ht="15.75">
      <c r="A118" s="45" t="s">
        <v>160</v>
      </c>
      <c r="B118" s="27">
        <f>IF(-45.76919="","-",-45.76919)</f>
        <v>-45.76919</v>
      </c>
      <c r="C118" s="27">
        <f>IF(751.27336="","-",751.27336)</f>
        <v>751.27336</v>
      </c>
      <c r="D118" s="49" t="s">
        <v>33</v>
      </c>
    </row>
    <row r="119" spans="1:7" s="1" customFormat="1" ht="15.75">
      <c r="A119" s="45" t="s">
        <v>162</v>
      </c>
      <c r="B119" s="27">
        <f>IF(641.80735="","-",641.80735)</f>
        <v>641.80735</v>
      </c>
      <c r="C119" s="27">
        <f>IF(773.56499="","-",773.56499)</f>
        <v>773.56499</v>
      </c>
      <c r="D119" s="49">
        <f>IF(OR(641.80735="",773.56499="",641.80735=0),"-",773.56499/641.80735*100)</f>
        <v>120.52915723074844</v>
      </c>
      <c r="E119" s="24"/>
      <c r="F119" s="24"/>
      <c r="G119" s="24"/>
    </row>
    <row r="120" spans="1:7" ht="15.75">
      <c r="A120" s="45" t="s">
        <v>228</v>
      </c>
      <c r="B120" s="27">
        <f>IF(402.10245="","-",402.10245)</f>
        <v>402.10245</v>
      </c>
      <c r="C120" s="27">
        <f>IF(1034.79823="","-",1034.79823)</f>
        <v>1034.79823</v>
      </c>
      <c r="D120" s="49" t="s">
        <v>198</v>
      </c>
      <c r="E120" s="1"/>
      <c r="F120" s="1"/>
      <c r="G120" s="1"/>
    </row>
    <row r="121" spans="1:7" ht="15.75">
      <c r="A121" s="45" t="s">
        <v>226</v>
      </c>
      <c r="B121" s="27">
        <f>IF(25.65525="","-",25.65525)</f>
        <v>25.65525</v>
      </c>
      <c r="C121" s="27">
        <f>IF(1196.2642="","-",1196.2642)</f>
        <v>1196.2642</v>
      </c>
      <c r="D121" s="49" t="s">
        <v>283</v>
      </c>
      <c r="E121" s="24"/>
      <c r="F121" s="24"/>
      <c r="G121" s="24"/>
    </row>
    <row r="122" spans="1:7" ht="15.75">
      <c r="A122" s="45" t="s">
        <v>244</v>
      </c>
      <c r="B122" s="27">
        <f>IF(5.98349="","-",5.98349)</f>
        <v>5.98349</v>
      </c>
      <c r="C122" s="27">
        <f>IF(1250.66181="","-",1250.66181)</f>
        <v>1250.66181</v>
      </c>
      <c r="D122" s="49" t="s">
        <v>284</v>
      </c>
      <c r="E122" s="1"/>
      <c r="F122" s="1"/>
      <c r="G122" s="1"/>
    </row>
    <row r="123" spans="1:4" ht="15.75">
      <c r="A123" s="45" t="s">
        <v>221</v>
      </c>
      <c r="B123" s="27">
        <f>IF(310.46417="","-",310.46417)</f>
        <v>310.46417</v>
      </c>
      <c r="C123" s="27">
        <f>IF(1514.10672="","-",1514.10672)</f>
        <v>1514.10672</v>
      </c>
      <c r="D123" s="49" t="s">
        <v>285</v>
      </c>
    </row>
    <row r="124" spans="1:9" ht="15.75">
      <c r="A124" s="45" t="s">
        <v>243</v>
      </c>
      <c r="B124" s="27">
        <f>IF(990.60752="","-",990.60752)</f>
        <v>990.60752</v>
      </c>
      <c r="C124" s="27">
        <f>IF(2793.03475="","-",2793.03475)</f>
        <v>2793.03475</v>
      </c>
      <c r="D124" s="49" t="s">
        <v>185</v>
      </c>
      <c r="E124" s="24"/>
      <c r="F124" s="24"/>
      <c r="G124" s="24"/>
      <c r="H124" s="1"/>
      <c r="I124" s="1"/>
    </row>
    <row r="125" spans="1:4" ht="15.75">
      <c r="A125" s="45" t="s">
        <v>148</v>
      </c>
      <c r="B125" s="27">
        <f>IF(3431.09901="","-",3431.09901)</f>
        <v>3431.09901</v>
      </c>
      <c r="C125" s="27">
        <f>IF(3271.01536="","-",3271.01536)</f>
        <v>3271.01536</v>
      </c>
      <c r="D125" s="49">
        <f>IF(OR(3431.09901="",3271.01536="",3431.09901=0),"-",3271.01536/3431.09901*100)</f>
        <v>95.33433312377657</v>
      </c>
    </row>
    <row r="126" spans="1:4" ht="15.75">
      <c r="A126" s="45" t="s">
        <v>265</v>
      </c>
      <c r="B126" s="27">
        <f>IF(10176.87189="","-",10176.87189)</f>
        <v>10176.87189</v>
      </c>
      <c r="C126" s="27">
        <f>IF(4692.58263="","-",4692.58263)</f>
        <v>4692.58263</v>
      </c>
      <c r="D126" s="49">
        <f>IF(OR(10176.87189="",4692.58263="",10176.87189=0),"-",4692.58263/10176.87189*100)</f>
        <v>46.11026532240252</v>
      </c>
    </row>
    <row r="127" spans="1:4" ht="15.75">
      <c r="A127" s="45" t="s">
        <v>146</v>
      </c>
      <c r="B127" s="27">
        <f>IF(3505.56886="","-",3505.56886)</f>
        <v>3505.56886</v>
      </c>
      <c r="C127" s="27">
        <f>IF(4994.29033="","-",4994.29033)</f>
        <v>4994.29033</v>
      </c>
      <c r="D127" s="49">
        <f>IF(OR(3505.56886="",4994.29033="",3505.56886=0),"-",4994.29033/3505.56886*100)</f>
        <v>142.46732925394596</v>
      </c>
    </row>
    <row r="128" spans="1:4" ht="15.75">
      <c r="A128" s="45" t="s">
        <v>143</v>
      </c>
      <c r="B128" s="27">
        <f>IF(8258.67456="","-",8258.67456)</f>
        <v>8258.67456</v>
      </c>
      <c r="C128" s="27">
        <f>IF(6605.98114="","-",6605.98114)</f>
        <v>6605.98114</v>
      </c>
      <c r="D128" s="49">
        <f>IF(OR(8258.67456="",6605.98114="",8258.67456=0),"-",6605.98114/8258.67456*100)</f>
        <v>79.98839392455731</v>
      </c>
    </row>
    <row r="129" spans="1:4" ht="15.75">
      <c r="A129" s="45" t="s">
        <v>202</v>
      </c>
      <c r="B129" s="27">
        <f>IF(-553.07398="","-",-553.07398)</f>
        <v>-553.07398</v>
      </c>
      <c r="C129" s="27">
        <f>IF(10671.29234="","-",10671.29234)</f>
        <v>10671.29234</v>
      </c>
      <c r="D129" s="49" t="s">
        <v>33</v>
      </c>
    </row>
    <row r="130" spans="1:4" ht="15.75">
      <c r="A130" s="45" t="s">
        <v>140</v>
      </c>
      <c r="B130" s="27">
        <f>IF(25087.5347="","-",25087.5347)</f>
        <v>25087.5347</v>
      </c>
      <c r="C130" s="27">
        <f>IF(11934.61383="","-",11934.61383)</f>
        <v>11934.61383</v>
      </c>
      <c r="D130" s="49">
        <f>IF(OR(25087.5347="",11934.61383="",25087.5347=0),"-",11934.61383/25087.5347*100)</f>
        <v>47.57188768332824</v>
      </c>
    </row>
    <row r="131" spans="1:7" s="1" customFormat="1" ht="15.75">
      <c r="A131" s="45" t="s">
        <v>141</v>
      </c>
      <c r="B131" s="27">
        <f>IF(12456.87264="","-",12456.87264)</f>
        <v>12456.87264</v>
      </c>
      <c r="C131" s="27">
        <f>IF(12906.10185="","-",12906.10185)</f>
        <v>12906.10185</v>
      </c>
      <c r="D131" s="49">
        <f>IF(OR(12456.87264="",12906.10185="",12456.87264=0),"-",12906.10185/12456.87264*100)</f>
        <v>103.60627601311015</v>
      </c>
      <c r="E131" s="24"/>
      <c r="F131" s="24"/>
      <c r="G131" s="24"/>
    </row>
    <row r="132" spans="1:7" ht="15.75">
      <c r="A132" s="79" t="s">
        <v>27</v>
      </c>
      <c r="B132" s="79"/>
      <c r="C132" s="79"/>
      <c r="D132" s="79"/>
      <c r="E132" s="24"/>
      <c r="F132" s="24"/>
      <c r="G132" s="24"/>
    </row>
  </sheetData>
  <sheetProtection/>
  <mergeCells count="5">
    <mergeCell ref="A132:D132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66" t="s">
        <v>115</v>
      </c>
      <c r="B1" s="66"/>
      <c r="C1" s="66"/>
      <c r="D1" s="66"/>
      <c r="E1" s="66"/>
      <c r="F1" s="66"/>
      <c r="G1" s="66"/>
    </row>
    <row r="2" spans="1:7" ht="15.75">
      <c r="A2" s="66" t="s">
        <v>35</v>
      </c>
      <c r="B2" s="66"/>
      <c r="C2" s="66"/>
      <c r="D2" s="66"/>
      <c r="E2" s="66"/>
      <c r="F2" s="66"/>
      <c r="G2" s="66"/>
    </row>
    <row r="3" ht="15.75">
      <c r="A3" s="6"/>
    </row>
    <row r="4" spans="1:7" ht="57" customHeight="1">
      <c r="A4" s="67"/>
      <c r="B4" s="70" t="s">
        <v>252</v>
      </c>
      <c r="C4" s="71"/>
      <c r="D4" s="70" t="s">
        <v>0</v>
      </c>
      <c r="E4" s="71"/>
      <c r="F4" s="72" t="s">
        <v>218</v>
      </c>
      <c r="G4" s="73"/>
    </row>
    <row r="5" spans="1:7" ht="26.25" customHeight="1">
      <c r="A5" s="68"/>
      <c r="B5" s="74" t="s">
        <v>195</v>
      </c>
      <c r="C5" s="76" t="s">
        <v>253</v>
      </c>
      <c r="D5" s="78" t="s">
        <v>254</v>
      </c>
      <c r="E5" s="78"/>
      <c r="F5" s="78" t="s">
        <v>254</v>
      </c>
      <c r="G5" s="70"/>
    </row>
    <row r="6" spans="1:7" ht="26.25" customHeight="1">
      <c r="A6" s="69"/>
      <c r="B6" s="75"/>
      <c r="C6" s="77"/>
      <c r="D6" s="18">
        <v>2016</v>
      </c>
      <c r="E6" s="18">
        <v>2017</v>
      </c>
      <c r="F6" s="18" t="s">
        <v>2</v>
      </c>
      <c r="G6" s="19" t="s">
        <v>186</v>
      </c>
    </row>
    <row r="7" spans="1:7" ht="16.5" customHeight="1">
      <c r="A7" s="7" t="s">
        <v>196</v>
      </c>
      <c r="B7" s="34">
        <f>IF(1920023.18942="","-",1920023.18942)</f>
        <v>1920023.18942</v>
      </c>
      <c r="C7" s="34">
        <f>IF(1633487.06476="","-",1920023.18942/1633487.06476*100)</f>
        <v>117.5413770235211</v>
      </c>
      <c r="D7" s="34">
        <v>100</v>
      </c>
      <c r="E7" s="34">
        <v>100</v>
      </c>
      <c r="F7" s="34">
        <f>IF(1636115.84011="","-",(1633487.06476-1636115.84011)/1636115.84011*100)</f>
        <v>-0.1606717131852517</v>
      </c>
      <c r="G7" s="34">
        <f>IF(1633487.06476="","-",(1920023.18942-1633487.06476)/1633487.06476*100)</f>
        <v>17.541377023521108</v>
      </c>
    </row>
    <row r="8" spans="1:7" ht="13.5" customHeight="1">
      <c r="A8" s="8" t="s">
        <v>108</v>
      </c>
      <c r="B8" s="28"/>
      <c r="C8" s="28"/>
      <c r="D8" s="28"/>
      <c r="E8" s="28"/>
      <c r="F8" s="28"/>
      <c r="G8" s="28"/>
    </row>
    <row r="9" spans="1:10" ht="13.5" customHeight="1">
      <c r="A9" s="9" t="s">
        <v>36</v>
      </c>
      <c r="B9" s="28">
        <f>IF(452572.42822="","-",452572.42822)</f>
        <v>452572.42822</v>
      </c>
      <c r="C9" s="28">
        <f>IF(385066.45272="","-",452572.42822/385066.45272*100)</f>
        <v>117.53099368255972</v>
      </c>
      <c r="D9" s="28">
        <f>IF(385066.45272="","-",385066.45272/1633487.06476*100)</f>
        <v>23.573278358134772</v>
      </c>
      <c r="E9" s="28">
        <f>IF(452572.42822="","-",452572.42822/1920023.18942*100)</f>
        <v>23.571195947727745</v>
      </c>
      <c r="F9" s="28">
        <f>IF(1636115.84011="","-",(385066.45272-404852.14779)/1636115.84011*100)</f>
        <v>-1.2093089367480103</v>
      </c>
      <c r="G9" s="28">
        <f>IF(1633487.06476="","-",(452572.42822-385066.45272)/1633487.06476*100)</f>
        <v>4.132629939736824</v>
      </c>
      <c r="J9" s="32"/>
    </row>
    <row r="10" spans="1:10" s="16" customFormat="1" ht="13.5" customHeight="1">
      <c r="A10" s="14" t="s">
        <v>37</v>
      </c>
      <c r="B10" s="50">
        <f>IF(6594.42795="","-",6594.42795)</f>
        <v>6594.42795</v>
      </c>
      <c r="C10" s="50">
        <f>IF(OR(7787.54023="",6594.42795=""),"-",6594.42795/7787.54023*100)</f>
        <v>84.679215198096</v>
      </c>
      <c r="D10" s="50">
        <f>IF(7787.54023="","-",7787.54023/1633487.06476*100)</f>
        <v>0.47674330565600065</v>
      </c>
      <c r="E10" s="50">
        <f>IF(6594.42795="","-",6594.42795/1920023.18942*100)</f>
        <v>0.34345564086608993</v>
      </c>
      <c r="F10" s="50">
        <f>IF(OR(1636115.84011="",6051.1049="",7787.54023=""),"-",(7787.54023-6051.1049)/1636115.84011*100)</f>
        <v>0.1061315640024153</v>
      </c>
      <c r="G10" s="50">
        <f>IF(OR(1633487.06476="",6594.42795="",7787.54023=""),"-",(6594.42795-7787.54023)/1633487.06476*100)</f>
        <v>-0.07304081591703926</v>
      </c>
      <c r="J10" s="32"/>
    </row>
    <row r="11" spans="1:10" s="16" customFormat="1" ht="14.25" customHeight="1">
      <c r="A11" s="14" t="s">
        <v>38</v>
      </c>
      <c r="B11" s="50">
        <f>IF(9124.34067="","-",9124.34067)</f>
        <v>9124.34067</v>
      </c>
      <c r="C11" s="50">
        <f>IF(OR(6121.58236="",9124.34067=""),"-",9124.34067/6121.58236*100)</f>
        <v>149.05199560199986</v>
      </c>
      <c r="D11" s="50">
        <f>IF(6121.58236="","-",6121.58236/1633487.06476*100)</f>
        <v>0.37475548426821575</v>
      </c>
      <c r="E11" s="50">
        <f>IF(9124.34067="","-",9124.34067/1920023.18942*100)</f>
        <v>0.4752203369354241</v>
      </c>
      <c r="F11" s="50">
        <f>IF(OR(1636115.84011="",5929.87048="",6121.58236=""),"-",(6121.58236-5929.87048)/1636115.84011*100)</f>
        <v>0.011717500393316375</v>
      </c>
      <c r="G11" s="50">
        <f>IF(OR(1633487.06476="",9124.34067="",6121.58236=""),"-",(9124.34067-6121.58236)/1633487.06476*100)</f>
        <v>0.18382504366149843</v>
      </c>
      <c r="J11" s="32"/>
    </row>
    <row r="12" spans="1:10" s="16" customFormat="1" ht="15.75">
      <c r="A12" s="14" t="s">
        <v>39</v>
      </c>
      <c r="B12" s="50">
        <f>IF(17953.15985="","-",17953.15985)</f>
        <v>17953.15985</v>
      </c>
      <c r="C12" s="50">
        <f>IF(OR(16508.5406="",17953.15985=""),"-",17953.15985/16508.5406*100)</f>
        <v>108.7507386934009</v>
      </c>
      <c r="D12" s="50">
        <f>IF(16508.5406="","-",16508.5406/1633487.06476*100)</f>
        <v>1.0106318535448897</v>
      </c>
      <c r="E12" s="50">
        <f>IF(17953.15985="","-",17953.15985/1920023.18942*100)</f>
        <v>0.9350491154965314</v>
      </c>
      <c r="F12" s="50">
        <f>IF(OR(1636115.84011="",11832.22872="",16508.5406=""),"-",(16508.5406-11832.22872)/1636115.84011*100)</f>
        <v>0.28581789659133194</v>
      </c>
      <c r="G12" s="50">
        <f>IF(OR(1633487.06476="",17953.15985="",16508.5406=""),"-",(17953.15985-16508.5406)/1633487.06476*100)</f>
        <v>0.08843775265598754</v>
      </c>
      <c r="J12" s="32"/>
    </row>
    <row r="13" spans="1:10" s="16" customFormat="1" ht="15.75">
      <c r="A13" s="14" t="s">
        <v>41</v>
      </c>
      <c r="B13" s="50">
        <f>IF(161290.87584="","-",161290.87584)</f>
        <v>161290.87584</v>
      </c>
      <c r="C13" s="50">
        <f>IF(OR(142767.79226="",161290.87584=""),"-",161290.87584/142767.79226*100)</f>
        <v>112.97427331948013</v>
      </c>
      <c r="D13" s="50">
        <f>IF(142767.79226="","-",142767.79226/1633487.06476*100)</f>
        <v>8.740062614513334</v>
      </c>
      <c r="E13" s="50">
        <f>IF(161290.87584="","-",161290.87584/1920023.18942*100)</f>
        <v>8.400464990671425</v>
      </c>
      <c r="F13" s="50">
        <f>IF(OR(1636115.84011="",114552.60205="",142767.79226=""),"-",(142767.79226-114552.60205)/1636115.84011*100)</f>
        <v>1.7245227702277495</v>
      </c>
      <c r="G13" s="50">
        <f>IF(OR(1633487.06476="",161290.87584="",142767.79226=""),"-",(161290.87584-142767.79226)/1633487.06476*100)</f>
        <v>1.1339596119006616</v>
      </c>
      <c r="J13" s="32"/>
    </row>
    <row r="14" spans="1:10" s="16" customFormat="1" ht="15" customHeight="1">
      <c r="A14" s="14" t="s">
        <v>42</v>
      </c>
      <c r="B14" s="50">
        <f>IF(199784.80884="","-",199784.80884)</f>
        <v>199784.80884</v>
      </c>
      <c r="C14" s="50">
        <f>IF(OR(146154.51513="",199784.80884=""),"-",199784.80884/146154.51513*100)</f>
        <v>136.69424352870485</v>
      </c>
      <c r="D14" s="50">
        <f>IF(146154.51513="","-",146154.51513/1633487.06476*100)</f>
        <v>8.947393480062466</v>
      </c>
      <c r="E14" s="50">
        <f>IF(199784.80884="","-",199784.80884/1920023.18942*100)</f>
        <v>10.40533311997919</v>
      </c>
      <c r="F14" s="50">
        <f>IF(OR(1636115.84011="",201018.49201="",146154.51513=""),"-",(146154.51513-201018.49201)/1636115.84011*100)</f>
        <v>-3.353306381796984</v>
      </c>
      <c r="G14" s="50">
        <f>IF(OR(1633487.06476="",199784.80884="",146154.51513=""),"-",(199784.80884-146154.51513)/1633487.06476*100)</f>
        <v>3.283178353045583</v>
      </c>
      <c r="J14" s="32"/>
    </row>
    <row r="15" spans="1:10" s="16" customFormat="1" ht="15.75" customHeight="1">
      <c r="A15" s="14" t="s">
        <v>43</v>
      </c>
      <c r="B15" s="50">
        <f>IF(36772.27512="","-",36772.27512)</f>
        <v>36772.27512</v>
      </c>
      <c r="C15" s="50">
        <f>IF(OR(42383.63783="",36772.27512=""),"-",36772.27512/42383.63783*100)</f>
        <v>86.76054487699457</v>
      </c>
      <c r="D15" s="50">
        <f>IF(42383.63783="","-",42383.63783/1633487.06476*100)</f>
        <v>2.594672387946164</v>
      </c>
      <c r="E15" s="50">
        <f>IF(36772.27512="","-",36772.27512/1920023.18942*100)</f>
        <v>1.9151995310592136</v>
      </c>
      <c r="F15" s="50">
        <f>IF(OR(1636115.84011="",45358.29086="",42383.63783=""),"-",(42383.63783-45358.29086)/1636115.84011*100)</f>
        <v>-0.18181188379668814</v>
      </c>
      <c r="G15" s="50">
        <f>IF(OR(1633487.06476="",36772.27512="",42383.63783=""),"-",(36772.27512-42383.63783)/1633487.06476*100)</f>
        <v>-0.3435204863911457</v>
      </c>
      <c r="J15" s="32"/>
    </row>
    <row r="16" spans="1:10" s="16" customFormat="1" ht="25.5">
      <c r="A16" s="14" t="s">
        <v>44</v>
      </c>
      <c r="B16" s="50">
        <f>IF(7887.23479="","-",7887.23479)</f>
        <v>7887.23479</v>
      </c>
      <c r="C16" s="50">
        <f>IF(OR(6650.4372="",7887.23479=""),"-",7887.23479/6650.4372*100)</f>
        <v>118.59723733651677</v>
      </c>
      <c r="D16" s="50">
        <f>IF(6650.4372="","-",6650.4372/1633487.06476*100)</f>
        <v>0.40713130476959825</v>
      </c>
      <c r="E16" s="50">
        <f>IF(7887.23479="","-",7887.23479/1920023.18942*100)</f>
        <v>0.4107885172148663</v>
      </c>
      <c r="F16" s="50">
        <f>IF(OR(1636115.84011="",5768.50199="",6650.4372=""),"-",(6650.4372-5768.50199)/1636115.84011*100)</f>
        <v>0.053904203380899116</v>
      </c>
      <c r="G16" s="50">
        <f>IF(OR(1633487.06476="",7887.23479="",6650.4372=""),"-",(7887.23479-6650.4372)/1633487.06476*100)</f>
        <v>0.07571517501925959</v>
      </c>
      <c r="J16" s="32"/>
    </row>
    <row r="17" spans="1:10" s="16" customFormat="1" ht="25.5">
      <c r="A17" s="14" t="s">
        <v>45</v>
      </c>
      <c r="B17" s="50">
        <f>IF(10738.68615="","-",10738.68615)</f>
        <v>10738.68615</v>
      </c>
      <c r="C17" s="50">
        <f>IF(OR(11312.99918="",10738.68615=""),"-",10738.68615/11312.99918*100)</f>
        <v>94.92342374588591</v>
      </c>
      <c r="D17" s="50">
        <f>IF(11312.99918="","-",11312.99918/1633487.06476*100)</f>
        <v>0.6925674175241885</v>
      </c>
      <c r="E17" s="50">
        <f>IF(10738.68615="","-",10738.68615/1920023.18942*100)</f>
        <v>0.5592998151883748</v>
      </c>
      <c r="F17" s="50">
        <f>IF(OR(1636115.84011="",12633.68543="",11312.99918=""),"-",(11312.99918-12633.68543)/1636115.84011*100)</f>
        <v>-0.08072082780588483</v>
      </c>
      <c r="G17" s="50">
        <f>IF(OR(1633487.06476="",10738.68615="",11312.99918=""),"-",(10738.68615-11312.99918)/1633487.06476*100)</f>
        <v>-0.0351587130617641</v>
      </c>
      <c r="J17" s="32"/>
    </row>
    <row r="18" spans="1:10" s="16" customFormat="1" ht="15.75">
      <c r="A18" s="14" t="s">
        <v>46</v>
      </c>
      <c r="B18" s="50">
        <f>IF(2404.15165="","-",2404.15165)</f>
        <v>2404.15165</v>
      </c>
      <c r="C18" s="50">
        <f>IF(OR(5361.83509="",2404.15165=""),"-",2404.15165/5361.83509*100)</f>
        <v>44.83822440723368</v>
      </c>
      <c r="D18" s="50">
        <f>IF(5361.83509="","-",5361.83509/1633487.06476*100)</f>
        <v>0.32824472294108964</v>
      </c>
      <c r="E18" s="50">
        <f>IF(2404.15165="","-",2404.15165/1920023.18942*100)</f>
        <v>0.12521471944962526</v>
      </c>
      <c r="F18" s="50">
        <f>IF(OR(1636115.84011="",1696.79428="",5361.83509=""),"-",(5361.83509-1696.79428)/1636115.84011*100)</f>
        <v>0.2240086380285634</v>
      </c>
      <c r="G18" s="50">
        <f>IF(OR(1633487.06476="",2404.15165="",5361.83509=""),"-",(2404.15165-5361.83509)/1633487.06476*100)</f>
        <v>-0.18106561746386143</v>
      </c>
      <c r="J18" s="32"/>
    </row>
    <row r="19" spans="1:7" s="16" customFormat="1" ht="15.75">
      <c r="A19" s="15" t="s">
        <v>47</v>
      </c>
      <c r="B19" s="28">
        <f>IF(160597.03819="","-",160597.03819)</f>
        <v>160597.03819</v>
      </c>
      <c r="C19" s="28">
        <f>IF(139986.64657="","-",160597.03819/139986.64657*100)</f>
        <v>114.72311261466915</v>
      </c>
      <c r="D19" s="28">
        <f>IF(139986.64657="","-",139986.64657/1633487.06476*100)</f>
        <v>8.569804413515056</v>
      </c>
      <c r="E19" s="28">
        <f>IF(160597.03819="","-",160597.03819/1920023.18942*100)</f>
        <v>8.364328049522834</v>
      </c>
      <c r="F19" s="28">
        <f>IF(1636115.84011="","-",(139986.64657-134973.20055)/1636115.84011*100)</f>
        <v>0.30642365883230716</v>
      </c>
      <c r="G19" s="28">
        <f>IF(1633487.06476="","-",(160597.03819-139986.64657)/1633487.06476*100)</f>
        <v>1.261741954658708</v>
      </c>
    </row>
    <row r="20" spans="1:7" s="16" customFormat="1" ht="15.75">
      <c r="A20" s="14" t="s">
        <v>48</v>
      </c>
      <c r="B20" s="50">
        <f>IF(145258.59371="","-",145258.59371)</f>
        <v>145258.59371</v>
      </c>
      <c r="C20" s="50">
        <f>IF(OR(129551.15023="",145258.59371=""),"-",145258.59371/129551.15023*100)</f>
        <v>112.124511015235</v>
      </c>
      <c r="D20" s="50">
        <f>IF(129551.15023="","-",129551.15023/1633487.06476*100)</f>
        <v>7.9309566035060275</v>
      </c>
      <c r="E20" s="50">
        <f>IF(145258.59371="","-",145258.59371/1920023.18942*100)</f>
        <v>7.565460381438396</v>
      </c>
      <c r="F20" s="50">
        <f>IF(OR(1636115.84011="",124512.62887="",129551.15023=""),"-",(129551.15023-124512.62887)/1636115.84011*100)</f>
        <v>0.3079562728065298</v>
      </c>
      <c r="G20" s="50">
        <f>IF(OR(1633487.06476="",145258.59371="",129551.15023=""),"-",(145258.59371-129551.15023)/1633487.06476*100)</f>
        <v>0.9615897070055955</v>
      </c>
    </row>
    <row r="21" spans="1:7" s="16" customFormat="1" ht="15.75">
      <c r="A21" s="14" t="s">
        <v>49</v>
      </c>
      <c r="B21" s="50">
        <f>IF(15338.44448="","-",15338.44448)</f>
        <v>15338.44448</v>
      </c>
      <c r="C21" s="50">
        <f>IF(OR(10435.49634="",15338.44448=""),"-",15338.44448/10435.49634*100)</f>
        <v>146.98337271421056</v>
      </c>
      <c r="D21" s="50">
        <f>IF(10435.49634="","-",10435.49634/1633487.06476*100)</f>
        <v>0.6388478100090271</v>
      </c>
      <c r="E21" s="50">
        <f>IF(15338.44448="","-",15338.44448/1920023.18942*100)</f>
        <v>0.7988676680844378</v>
      </c>
      <c r="F21" s="50">
        <f>IF(OR(1636115.84011="",10460.57168="",10435.49634=""),"-",(10435.49634-10460.57168)/1636115.84011*100)</f>
        <v>-0.0015326139742228482</v>
      </c>
      <c r="G21" s="50">
        <f>IF(OR(1633487.06476="",15338.44448="",10435.49634=""),"-",(15338.44448-10435.49634)/1633487.06476*100)</f>
        <v>0.30015224765311294</v>
      </c>
    </row>
    <row r="22" spans="1:7" s="16" customFormat="1" ht="25.5">
      <c r="A22" s="15" t="s">
        <v>50</v>
      </c>
      <c r="B22" s="28">
        <f>IF(211696.85119="","-",211696.85119)</f>
        <v>211696.85119</v>
      </c>
      <c r="C22" s="28">
        <f>IF(169955.24385="","-",211696.85119/169955.24385*100)</f>
        <v>124.56035271076456</v>
      </c>
      <c r="D22" s="28">
        <f>IF(169955.24385="","-",169955.24385/1633487.06476*100)</f>
        <v>10.404443813270763</v>
      </c>
      <c r="E22" s="28">
        <f>IF(211696.85119="","-",211696.85119/1920023.18942*100)</f>
        <v>11.025744499156248</v>
      </c>
      <c r="F22" s="28">
        <f>IF(1636115.84011="","-",(169955.24385-187618.01553)/1636115.84011*100)</f>
        <v>-1.0795550808194911</v>
      </c>
      <c r="G22" s="28">
        <f>IF(1633487.06476="","-",(211696.85119-169955.24385)/1633487.06476*100)</f>
        <v>2.555368098132621</v>
      </c>
    </row>
    <row r="23" spans="1:8" s="16" customFormat="1" ht="15.75">
      <c r="A23" s="14" t="s">
        <v>51</v>
      </c>
      <c r="B23" s="50">
        <f>IF(3208.21613="","-",3208.21613)</f>
        <v>3208.21613</v>
      </c>
      <c r="C23" s="50">
        <f>IF(OR(3033.607="",3208.21613=""),"-",3208.21613/3033.607*100)</f>
        <v>105.7558256557293</v>
      </c>
      <c r="D23" s="50">
        <f>IF(3033.607="","-",3033.607/1633487.06476*100)</f>
        <v>0.18571356121792815</v>
      </c>
      <c r="E23" s="50">
        <f>IF(3208.21613="","-",3208.21613/1920023.18942*100)</f>
        <v>0.16709257198967148</v>
      </c>
      <c r="F23" s="50">
        <f>IF(OR(1636115.84011="",3482.14434="",3033.607=""),"-",(3033.607-3482.14434)/1636115.84011*100)</f>
        <v>-0.027414766668956866</v>
      </c>
      <c r="G23" s="50">
        <f>IF(OR(1633487.06476="",3208.21613="",3033.607=""),"-",(3208.21613-3033.607)/1633487.06476*100)</f>
        <v>0.01068934880275004</v>
      </c>
      <c r="H23" s="12"/>
    </row>
    <row r="24" spans="1:8" s="16" customFormat="1" ht="15.75">
      <c r="A24" s="14" t="s">
        <v>52</v>
      </c>
      <c r="B24" s="50">
        <f>IF(181620.83789="","-",181620.83789)</f>
        <v>181620.83789</v>
      </c>
      <c r="C24" s="50">
        <f>IF(OR(145526.82164="",181620.83789=""),"-",181620.83789/145526.82164*100)</f>
        <v>124.80231193345807</v>
      </c>
      <c r="D24" s="50">
        <f>IF(145526.82164="","-",145526.82164/1633487.06476*100)</f>
        <v>8.908966883149548</v>
      </c>
      <c r="E24" s="50">
        <f>IF(181620.83789="","-",181620.83789/1920023.18942*100)</f>
        <v>9.459304392300801</v>
      </c>
      <c r="F24" s="50">
        <f>IF(OR(1636115.84011="",149933.26595="",145526.82164=""),"-",(145526.82164-149933.26595)/1636115.84011*100)</f>
        <v>-0.2693234917708355</v>
      </c>
      <c r="G24" s="50">
        <f>IF(OR(1633487.06476="",181620.83789="",145526.82164=""),"-",(181620.83789-145526.82164)/1633487.06476*100)</f>
        <v>2.2096297564072294</v>
      </c>
      <c r="H24" s="13"/>
    </row>
    <row r="25" spans="1:8" s="16" customFormat="1" ht="15.75">
      <c r="A25" s="14" t="s">
        <v>54</v>
      </c>
      <c r="B25" s="50">
        <f>IF(490.61893="","-",490.61893)</f>
        <v>490.61893</v>
      </c>
      <c r="C25" s="50">
        <f>IF(OR(1574.4071="",490.61893=""),"-",490.61893/1574.4071*100)</f>
        <v>31.162139068097446</v>
      </c>
      <c r="D25" s="50">
        <f>IF(1574.4071="","-",1574.4071/1633487.06476*100)</f>
        <v>0.09638319971828609</v>
      </c>
      <c r="E25" s="50">
        <f>IF(490.61893="","-",490.61893/1920023.18942*100)</f>
        <v>0.025552760649115182</v>
      </c>
      <c r="F25" s="50">
        <f>IF(OR(1636115.84011="",1821.79766999999="",1574.4071=""),"-",(1574.4071-1821.79766999999)/1636115.84011*100)</f>
        <v>-0.01512060233970703</v>
      </c>
      <c r="G25" s="50">
        <f>IF(OR(1633487.06476="",490.61893="",1574.4071=""),"-",(490.61893-1574.4071)/1633487.06476*100)</f>
        <v>-0.06634813298379166</v>
      </c>
      <c r="H25" s="13"/>
    </row>
    <row r="26" spans="1:8" s="16" customFormat="1" ht="15.75">
      <c r="A26" s="14" t="s">
        <v>55</v>
      </c>
      <c r="B26" s="50">
        <f>IF(2404.24266="","-",2404.24266)</f>
        <v>2404.24266</v>
      </c>
      <c r="C26" s="50">
        <f>IF(OR(2120.09437="",2404.24266=""),"-",2404.24266/2120.09437*100)</f>
        <v>113.40262461995974</v>
      </c>
      <c r="D26" s="50">
        <f>IF(2120.09437="","-",2120.09437/1633487.06476*100)</f>
        <v>0.1297894801702329</v>
      </c>
      <c r="E26" s="50">
        <f>IF(2404.24266="","-",2404.24266/1920023.18942*100)</f>
        <v>0.12521945949654248</v>
      </c>
      <c r="F26" s="50">
        <f>IF(OR(1636115.84011="",1633.3566="",2120.09437=""),"-",(2120.09437-1633.3566)/1636115.84011*100)</f>
        <v>0.02974959095605817</v>
      </c>
      <c r="G26" s="50">
        <f>IF(OR(1633487.06476="",2404.24266="",2120.09437=""),"-",(2404.24266-2120.09437)/1633487.06476*100)</f>
        <v>0.017395196823413388</v>
      </c>
      <c r="H26" s="13"/>
    </row>
    <row r="27" spans="1:8" s="16" customFormat="1" ht="38.25">
      <c r="A27" s="14" t="s">
        <v>56</v>
      </c>
      <c r="B27" s="50">
        <f>IF(346.30044="","-",346.30044)</f>
        <v>346.30044</v>
      </c>
      <c r="C27" s="50">
        <f>IF(OR(754.10765="",346.30044=""),"-",346.30044/754.10765*100)</f>
        <v>45.921883964444596</v>
      </c>
      <c r="D27" s="50">
        <f>IF(754.10765="","-",754.10765/1633487.06476*100)</f>
        <v>0.0461655109653897</v>
      </c>
      <c r="E27" s="50">
        <f>IF(346.30044="","-",346.30044/1920023.18942*100)</f>
        <v>0.018036263411204442</v>
      </c>
      <c r="F27" s="50">
        <f>IF(OR(1636115.84011="",3811.18913="",754.10765=""),"-",(754.10765-3811.18913)/1636115.84011*100)</f>
        <v>-0.18684994088159831</v>
      </c>
      <c r="G27" s="50">
        <f>IF(OR(1633487.06476="",346.30044="",754.10765=""),"-",(346.30044-754.10765)/1633487.06476*100)</f>
        <v>-0.024965438588270494</v>
      </c>
      <c r="H27" s="13"/>
    </row>
    <row r="28" spans="1:8" s="16" customFormat="1" ht="38.25">
      <c r="A28" s="14" t="s">
        <v>57</v>
      </c>
      <c r="B28" s="50">
        <f>IF(8929.22246="","-",8929.22246)</f>
        <v>8929.22246</v>
      </c>
      <c r="C28" s="50">
        <f>IF(OR(6321.11214="",8929.22246=""),"-",8929.22246/6321.11214*100)</f>
        <v>141.26030771540783</v>
      </c>
      <c r="D28" s="50">
        <f>IF(6321.11214="","-",6321.11214/1633487.06476*100)</f>
        <v>0.3869704435601839</v>
      </c>
      <c r="E28" s="50">
        <f>IF(8929.22246="","-",8929.22246/1920023.18942*100)</f>
        <v>0.46505805290285773</v>
      </c>
      <c r="F28" s="50">
        <f>IF(OR(1636115.84011="",6089.45294="",6321.11214=""),"-",(6321.11214-6089.45294)/1636115.84011*100)</f>
        <v>0.014159095237683479</v>
      </c>
      <c r="G28" s="50">
        <f>IF(OR(1633487.06476="",8929.22246="",6321.11214=""),"-",(8929.22246-6321.11214)/1633487.06476*100)</f>
        <v>0.15966519578061042</v>
      </c>
      <c r="H28" s="13"/>
    </row>
    <row r="29" spans="1:8" s="16" customFormat="1" ht="14.25" customHeight="1">
      <c r="A29" s="14" t="s">
        <v>58</v>
      </c>
      <c r="B29" s="50">
        <f>IF(12878.15635="","-",12878.15635)</f>
        <v>12878.15635</v>
      </c>
      <c r="C29" s="50">
        <f>IF(OR(8935.87401="",12878.15635=""),"-",12878.15635/8935.87401*100)</f>
        <v>144.11747900192248</v>
      </c>
      <c r="D29" s="50">
        <f>IF(8935.87401="","-",8935.87401/1633487.06476*100)</f>
        <v>0.5470428387697641</v>
      </c>
      <c r="E29" s="50">
        <f>IF(12878.15635="","-",12878.15635/1920023.18942*100)</f>
        <v>0.6707292089472225</v>
      </c>
      <c r="F29" s="50">
        <f>IF(OR(1636115.84011="",16034.86437="",8935.87401=""),"-",(8935.87401-16034.86437)/1636115.84011*100)</f>
        <v>-0.43389289352046845</v>
      </c>
      <c r="G29" s="50">
        <f>IF(OR(1633487.06476="",12878.15635="",8935.87401=""),"-",(12878.15635-8935.87401)/1633487.06476*100)</f>
        <v>0.24134150952577144</v>
      </c>
      <c r="H29" s="13"/>
    </row>
    <row r="30" spans="1:8" s="16" customFormat="1" ht="25.5">
      <c r="A30" s="14" t="s">
        <v>59</v>
      </c>
      <c r="B30" s="50">
        <f>IF(1818.79208="","-",1818.79208)</f>
        <v>1818.79208</v>
      </c>
      <c r="C30" s="50">
        <f>IF(OR(1572.48123="",1818.79208=""),"-",1818.79208/1572.48123*100)</f>
        <v>115.6638340287216</v>
      </c>
      <c r="D30" s="50">
        <f>IF(1572.48123="","-",1572.48123/1633487.06476*100)</f>
        <v>0.09626530040695712</v>
      </c>
      <c r="E30" s="50">
        <f>IF(1818.79208="","-",1818.79208/1920023.18942*100)</f>
        <v>0.09472761006336701</v>
      </c>
      <c r="F30" s="50">
        <f>IF(OR(1636115.84011="",2889.57418="",1572.48123=""),"-",(1572.48123-2889.57418)/1636115.84011*100)</f>
        <v>-0.080501203992466</v>
      </c>
      <c r="G30" s="50">
        <f>IF(OR(1633487.06476="",1818.79208="",1572.48123=""),"-",(1818.79208-1572.48123)/1633487.06476*100)</f>
        <v>0.015078836882996013</v>
      </c>
      <c r="H30" s="13"/>
    </row>
    <row r="31" spans="1:8" s="16" customFormat="1" ht="25.5">
      <c r="A31" s="15" t="s">
        <v>60</v>
      </c>
      <c r="B31" s="28">
        <f>IF(13738.10666="","-",13738.10666)</f>
        <v>13738.10666</v>
      </c>
      <c r="C31" s="28" t="s">
        <v>235</v>
      </c>
      <c r="D31" s="28">
        <f>IF(4774.13169="","-",4774.13169/1633487.06476*100)</f>
        <v>0.2922662684630098</v>
      </c>
      <c r="E31" s="28">
        <f>IF(13738.10666="","-",13738.10666/1920023.18942*100)</f>
        <v>0.715517746645029</v>
      </c>
      <c r="F31" s="28">
        <f>IF(1636115.84011="","-",(4774.13169-8792.65275)/1636115.84011*100)</f>
        <v>-0.24561348050574613</v>
      </c>
      <c r="G31" s="28">
        <f>IF(1633487.06476="","-",(13738.10666-4774.13169)/1633487.06476*100)</f>
        <v>0.5487631437912263</v>
      </c>
      <c r="H31" s="13"/>
    </row>
    <row r="32" spans="1:8" s="16" customFormat="1" ht="25.5">
      <c r="A32" s="14" t="s">
        <v>62</v>
      </c>
      <c r="B32" s="50">
        <f>IF(13724.50598="","-",13724.50598)</f>
        <v>13724.50598</v>
      </c>
      <c r="C32" s="50" t="s">
        <v>235</v>
      </c>
      <c r="D32" s="50">
        <f>IF(4768.5615="","-",4768.5615/1633487.06476*100)</f>
        <v>0.29192526851754536</v>
      </c>
      <c r="E32" s="50">
        <f>IF(13724.50598="","-",13724.50598/1920023.18942*100)</f>
        <v>0.714809386450478</v>
      </c>
      <c r="F32" s="50">
        <f>IF(OR(1636115.84011="",8724.07308="",4768.5615=""),"-",(4768.5615-8724.07308)/1636115.84011*100)</f>
        <v>-0.24176231798685244</v>
      </c>
      <c r="G32" s="50">
        <f>IF(OR(1633487.06476="",13724.50598="",4768.5615=""),"-",(13724.50598-4768.5615)/1633487.06476*100)</f>
        <v>0.548271527409729</v>
      </c>
      <c r="H32" s="13"/>
    </row>
    <row r="33" spans="1:7" s="16" customFormat="1" ht="25.5">
      <c r="A33" s="15" t="s">
        <v>65</v>
      </c>
      <c r="B33" s="28">
        <f>IF(35178.65676="","-",35178.65676)</f>
        <v>35178.65676</v>
      </c>
      <c r="C33" s="28">
        <f>IF(35232.11551="","-",35178.65676/35232.11551*100)</f>
        <v>99.84826698815507</v>
      </c>
      <c r="D33" s="28">
        <f>IF(35232.11551="","-",35232.11551/1633487.06476*100)</f>
        <v>2.156865289605246</v>
      </c>
      <c r="E33" s="28">
        <f>IF(35178.65676="","-",35178.65676/1920023.18942*100)</f>
        <v>1.8321995772679578</v>
      </c>
      <c r="F33" s="28">
        <f>IF(1636115.84011="","-",(35232.11551-54290.95518)/1636115.84011*100)</f>
        <v>-1.1648832682115358</v>
      </c>
      <c r="G33" s="28">
        <f>IF(1633487.06476="","-",(35178.65676-35232.11551)/1633487.06476*100)</f>
        <v>-0.003272676665355759</v>
      </c>
    </row>
    <row r="34" spans="1:7" s="16" customFormat="1" ht="25.5">
      <c r="A34" s="14" t="s">
        <v>67</v>
      </c>
      <c r="B34" s="50">
        <f>IF(35078.15289="","-",35078.15289)</f>
        <v>35078.15289</v>
      </c>
      <c r="C34" s="50">
        <f>IF(OR(35069.3254="",35078.15289=""),"-",35078.15289/35069.3254*100)</f>
        <v>100.02517154207933</v>
      </c>
      <c r="D34" s="50">
        <f>IF(35069.3254="","-",35069.3254/1633487.06476*100)</f>
        <v>2.146899486170866</v>
      </c>
      <c r="E34" s="50">
        <f>IF(35078.15289="","-",35078.15289/1920023.18942*100)</f>
        <v>1.826965063926983</v>
      </c>
      <c r="F34" s="50">
        <f>IF(OR(1636115.84011="",54269.02619="",35069.3254=""),"-",(35069.3254-54269.02619)/1636115.84011*100)</f>
        <v>-1.1734927515101348</v>
      </c>
      <c r="G34" s="50">
        <f>IF(OR(1633487.06476="",35078.15289="",35069.3254=""),"-",(35078.15289-35069.3254)/1633487.06476*100)</f>
        <v>0.0005404077075622886</v>
      </c>
    </row>
    <row r="35" spans="1:7" s="16" customFormat="1" ht="25.5">
      <c r="A35" s="15" t="s">
        <v>69</v>
      </c>
      <c r="B35" s="28">
        <f>IF(106602.10164="","-",106602.10164)</f>
        <v>106602.10164</v>
      </c>
      <c r="C35" s="28">
        <f>IF(92804.26129="","-",106602.10164/92804.26129*100)</f>
        <v>114.86767973604546</v>
      </c>
      <c r="D35" s="28">
        <f>IF(92804.26129="","-",92804.26129/1633487.06476*100)</f>
        <v>5.681358811594584</v>
      </c>
      <c r="E35" s="28">
        <f>IF(106602.10164="","-",106602.10164/1920023.18942*100)</f>
        <v>5.552125736158548</v>
      </c>
      <c r="F35" s="28">
        <f>IF(1636115.84011="","-",(92804.26129-108668.60668)/1636115.84011*100)</f>
        <v>-0.9696346066140038</v>
      </c>
      <c r="G35" s="28">
        <f>IF(1633487.06476="","-",(106602.10164-92804.26129)/1633487.06476*100)</f>
        <v>0.8446862327634804</v>
      </c>
    </row>
    <row r="36" spans="1:7" s="16" customFormat="1" ht="15.75">
      <c r="A36" s="14" t="s">
        <v>70</v>
      </c>
      <c r="B36" s="50">
        <f>IF(18829.96789="","-",18829.96789)</f>
        <v>18829.96789</v>
      </c>
      <c r="C36" s="50">
        <f>IF(OR(13391.01706="",18829.96789=""),"-",18829.96789/13391.01706*100)</f>
        <v>140.6164132689112</v>
      </c>
      <c r="D36" s="50">
        <f>IF(13391.01706="","-",13391.01706/1633487.06476*100)</f>
        <v>0.8197810285058776</v>
      </c>
      <c r="E36" s="50">
        <f>IF(18829.96789="","-",18829.96789/1920023.18942*100)</f>
        <v>0.9807156493608887</v>
      </c>
      <c r="F36" s="50">
        <f>IF(OR(1636115.84011="",3576.48326="",13391.01706=""),"-",(13391.01706-3576.48326)/1636115.84011*100)</f>
        <v>0.5998679041784808</v>
      </c>
      <c r="G36" s="50">
        <f>IF(OR(1633487.06476="",18829.96789="",13391.01706=""),"-",(18829.96789-13391.01706)/1633487.06476*100)</f>
        <v>0.33296565043807785</v>
      </c>
    </row>
    <row r="37" spans="1:7" s="16" customFormat="1" ht="15.75">
      <c r="A37" s="14" t="s">
        <v>71</v>
      </c>
      <c r="B37" s="50">
        <f>IF(975.37537="","-",975.37537)</f>
        <v>975.37537</v>
      </c>
      <c r="C37" s="50">
        <f>IF(OR(765.57661="",975.37537=""),"-",975.37537/765.57661*100)</f>
        <v>127.40401904389425</v>
      </c>
      <c r="D37" s="50">
        <f>IF(765.57661="","-",765.57661/1633487.06476*100)</f>
        <v>0.04686762610590261</v>
      </c>
      <c r="E37" s="50">
        <f>IF(975.37537="","-",975.37537/1920023.18942*100)</f>
        <v>0.05080018696517104</v>
      </c>
      <c r="F37" s="50">
        <f>IF(OR(1636115.84011="",155.33541="",765.57661=""),"-",(765.57661-155.33541)/1636115.84011*100)</f>
        <v>0.037298165877971814</v>
      </c>
      <c r="G37" s="50">
        <f>IF(OR(1633487.06476="",975.37537="",765.57661=""),"-",(975.37537-765.57661)/1633487.06476*100)</f>
        <v>0.012843613183482705</v>
      </c>
    </row>
    <row r="38" spans="1:7" s="16" customFormat="1" ht="15.75">
      <c r="A38" s="14" t="s">
        <v>72</v>
      </c>
      <c r="B38" s="50">
        <f>IF(895.06908="","-",895.06908)</f>
        <v>895.06908</v>
      </c>
      <c r="C38" s="50">
        <f>IF(OR(1251.60598="",895.06908=""),"-",895.06908/1251.60598*100)</f>
        <v>71.51364681079583</v>
      </c>
      <c r="D38" s="50">
        <f>IF(1251.60598="","-",1251.60598/1633487.06476*100)</f>
        <v>0.0766217258159857</v>
      </c>
      <c r="E38" s="50">
        <f>IF(895.06908="","-",895.06908/1920023.18942*100)</f>
        <v>0.04661761821066245</v>
      </c>
      <c r="F38" s="50">
        <f>IF(OR(1636115.84011="",1060.79105="",1251.60598=""),"-",(1251.60598-1060.79105)/1636115.84011*100)</f>
        <v>0.011662678480465725</v>
      </c>
      <c r="G38" s="50">
        <f>IF(OR(1633487.06476="",895.06908="",1251.60598=""),"-",(895.06908-1251.60598)/1633487.06476*100)</f>
        <v>-0.021826735435605316</v>
      </c>
    </row>
    <row r="39" spans="1:7" s="16" customFormat="1" ht="15.75">
      <c r="A39" s="14" t="s">
        <v>73</v>
      </c>
      <c r="B39" s="50">
        <f>IF(51017.3923="","-",51017.3923)</f>
        <v>51017.3923</v>
      </c>
      <c r="C39" s="50">
        <f>IF(OR(38305.85902="",51017.3923=""),"-",51017.3923/38305.85902*100)</f>
        <v>133.18430549583326</v>
      </c>
      <c r="D39" s="50">
        <f>IF(38305.85902="","-",38305.85902/1633487.06476*100)</f>
        <v>2.3450359569041392</v>
      </c>
      <c r="E39" s="50">
        <f>IF(51017.3923="","-",51017.3923/1920023.18942*100)</f>
        <v>2.6571237566881325</v>
      </c>
      <c r="F39" s="50">
        <f>IF(OR(1636115.84011="",62819.06196="",38305.85902=""),"-",(38305.85902-62819.06196)/1636115.84011*100)</f>
        <v>-1.4982559510182307</v>
      </c>
      <c r="G39" s="50">
        <f>IF(OR(1633487.06476="",51017.3923="",38305.85902=""),"-",(51017.3923-38305.85902)/1633487.06476*100)</f>
        <v>0.7781838959262061</v>
      </c>
    </row>
    <row r="40" spans="1:7" s="16" customFormat="1" ht="38.25">
      <c r="A40" s="14" t="s">
        <v>74</v>
      </c>
      <c r="B40" s="50">
        <f>IF(25095.65256="","-",25095.65256)</f>
        <v>25095.65256</v>
      </c>
      <c r="C40" s="50">
        <f>IF(OR(31014.86783="",25095.65256=""),"-",25095.65256/31014.86783*100)</f>
        <v>80.91491054405051</v>
      </c>
      <c r="D40" s="50">
        <f>IF(31014.86783="","-",31014.86783/1633487.06476*100)</f>
        <v>1.898690751772611</v>
      </c>
      <c r="E40" s="50">
        <f>IF(25095.65256="","-",25095.65256/1920023.18942*100)</f>
        <v>1.3070494511881852</v>
      </c>
      <c r="F40" s="50">
        <f>IF(OR(1636115.84011="",33354.11111="",31014.86783=""),"-",(31014.86783-33354.11111)/1636115.84011*100)</f>
        <v>-0.14297540691511954</v>
      </c>
      <c r="G40" s="50">
        <f>IF(OR(1633487.06476="",25095.65256="",31014.86783=""),"-",(25095.65256-31014.86783)/1633487.06476*100)</f>
        <v>-0.3623668284676427</v>
      </c>
    </row>
    <row r="41" spans="1:7" s="16" customFormat="1" ht="15.75">
      <c r="A41" s="14" t="s">
        <v>76</v>
      </c>
      <c r="B41" s="50">
        <f>IF(2993.83099="","-",2993.83099)</f>
        <v>2993.83099</v>
      </c>
      <c r="C41" s="50">
        <f>IF(OR(2871.52544="",2993.83099=""),"-",2993.83099/2871.52544*100)</f>
        <v>104.25925357638481</v>
      </c>
      <c r="D41" s="50">
        <f>IF(2871.52544="","-",2871.52544/1633487.06476*100)</f>
        <v>0.17579113431313878</v>
      </c>
      <c r="E41" s="50">
        <f>IF(2993.83099="","-",2993.83099/1920023.18942*100)</f>
        <v>0.1559268141393842</v>
      </c>
      <c r="F41" s="50">
        <f>IF(OR(1636115.84011="",4301.78407="",2871.52544=""),"-",(2871.52544-4301.78407)/1636115.84011*100)</f>
        <v>-0.08741793184422933</v>
      </c>
      <c r="G41" s="50">
        <f>IF(OR(1633487.06476="",2993.83099="",2871.52544=""),"-",(2993.83099-2871.52544)/1633487.06476*100)</f>
        <v>0.007487390175199813</v>
      </c>
    </row>
    <row r="42" spans="1:7" s="16" customFormat="1" ht="15.75">
      <c r="A42" s="14" t="s">
        <v>77</v>
      </c>
      <c r="B42" s="50">
        <f>IF(2732.89157="","-",2732.89157)</f>
        <v>2732.89157</v>
      </c>
      <c r="C42" s="50">
        <f>IF(OR(2518.92="",2732.89157=""),"-",2732.89157/2518.92*100)</f>
        <v>108.49457584996745</v>
      </c>
      <c r="D42" s="50">
        <f>IF(2518.92="","-",2518.92/1633487.06476*100)</f>
        <v>0.15420507785717252</v>
      </c>
      <c r="E42" s="50">
        <f>IF(2732.89157="","-",2732.89157/1920023.18942*100)</f>
        <v>0.14233638349053226</v>
      </c>
      <c r="F42" s="50">
        <f>IF(OR(1636115.84011="",1569.91658="",2518.92=""),"-",(2518.92-1569.91658)/1636115.84011*100)</f>
        <v>0.058003436965453264</v>
      </c>
      <c r="G42" s="50">
        <f>IF(OR(1633487.06476="",2732.89157="",2518.92=""),"-",(2732.89157-2518.92)/1633487.06476*100)</f>
        <v>0.013099067303078856</v>
      </c>
    </row>
    <row r="43" spans="1:7" s="16" customFormat="1" ht="15.75">
      <c r="A43" s="14" t="s">
        <v>78</v>
      </c>
      <c r="B43" s="50">
        <f>IF(4011.52188="","-",4011.52188)</f>
        <v>4011.52188</v>
      </c>
      <c r="C43" s="50">
        <f>IF(OR(2663.44302="",4011.52188=""),"-",4011.52188/2663.44302*100)</f>
        <v>150.61414304256448</v>
      </c>
      <c r="D43" s="50">
        <f>IF(2663.44302="","-",2663.44302/1633487.06476*100)</f>
        <v>0.16305259328094687</v>
      </c>
      <c r="E43" s="50">
        <f>IF(4011.52188="","-",4011.52188/1920023.18942*100)</f>
        <v>0.20893090781949356</v>
      </c>
      <c r="F43" s="50">
        <f>IF(OR(1636115.84011="",1792.69368="",2663.44302=""),"-",(2663.44302-1792.69368)/1636115.84011*100)</f>
        <v>0.053220518905400825</v>
      </c>
      <c r="G43" s="50">
        <f>IF(OR(1633487.06476="",4011.52188="",2663.44302=""),"-",(4011.52188-2663.44302)/1633487.06476*100)</f>
        <v>0.08252767279782935</v>
      </c>
    </row>
    <row r="44" spans="1:7" s="16" customFormat="1" ht="25.5">
      <c r="A44" s="15" t="s">
        <v>79</v>
      </c>
      <c r="B44" s="28">
        <f>IF(141281.04256="","-",141281.04256)</f>
        <v>141281.04256</v>
      </c>
      <c r="C44" s="28">
        <f>IF(147612.22193="","-",141281.04256/147612.22193*100)</f>
        <v>95.71093823585805</v>
      </c>
      <c r="D44" s="28">
        <f>IF(147612.22193="","-",147612.22193/1633487.06476*100)</f>
        <v>9.036632435879614</v>
      </c>
      <c r="E44" s="28">
        <f>IF(141281.04256="","-",141281.04256/1920023.18942*100)</f>
        <v>7.358298761103929</v>
      </c>
      <c r="F44" s="28">
        <f>IF(1636115.84011="","-",(147612.22193-113033.87396)/1636115.84011*100)</f>
        <v>2.1134413054564165</v>
      </c>
      <c r="G44" s="28">
        <f>IF(1633487.06476="","-",(141281.04256-147612.22193)/1633487.06476*100)</f>
        <v>-0.38758674657336245</v>
      </c>
    </row>
    <row r="45" spans="1:7" s="16" customFormat="1" ht="15.75">
      <c r="A45" s="14" t="s">
        <v>80</v>
      </c>
      <c r="B45" s="50">
        <f>IF(2059.40772="","-",2059.40772)</f>
        <v>2059.40772</v>
      </c>
      <c r="C45" s="50">
        <f>IF(OR(1591.92355="",2059.40772=""),"-",2059.40772/1591.92355*100)</f>
        <v>129.36599373757616</v>
      </c>
      <c r="D45" s="50">
        <f>IF(1591.92355="","-",1591.92355/1633487.06476*100)</f>
        <v>0.09745553450304752</v>
      </c>
      <c r="E45" s="50">
        <f>IF(2059.40772="","-",2059.40772/1920023.18942*100)</f>
        <v>0.1072595232884716</v>
      </c>
      <c r="F45" s="50">
        <f>IF(OR(1636115.84011="",1097.22605="",1591.92355=""),"-",(1591.92355-1097.22605)/1636115.84011*100)</f>
        <v>0.03023609257195018</v>
      </c>
      <c r="G45" s="50">
        <f>IF(OR(1633487.06476="",2059.40772="",1591.92355=""),"-",(2059.40772-1591.92355)/1633487.06476*100)</f>
        <v>0.028618786159086314</v>
      </c>
    </row>
    <row r="46" spans="1:7" s="16" customFormat="1" ht="15.75">
      <c r="A46" s="14" t="s">
        <v>81</v>
      </c>
      <c r="B46" s="50">
        <f>IF(1943.23285="","-",1943.23285)</f>
        <v>1943.23285</v>
      </c>
      <c r="C46" s="50">
        <f>IF(OR(11310.88563="",1943.23285=""),"-",1943.23285/11310.88563*100)</f>
        <v>17.18020068071363</v>
      </c>
      <c r="D46" s="50">
        <f>IF(11310.88563="","-",11310.88563/1633487.06476*100)</f>
        <v>0.692438028682024</v>
      </c>
      <c r="E46" s="50">
        <f>IF(1943.23285="","-",1943.23285/1920023.18942*100)</f>
        <v>0.10120882188860497</v>
      </c>
      <c r="F46" s="50">
        <f>IF(OR(1636115.84011="",9602.70398="",11310.88563=""),"-",(11310.88563-9602.70398)/1636115.84011*100)</f>
        <v>0.10440468872211121</v>
      </c>
      <c r="G46" s="50">
        <f>IF(OR(1633487.06476="",1943.23285="",11310.88563=""),"-",(1943.23285-11310.88563)/1633487.06476*100)</f>
        <v>-0.5734757857648749</v>
      </c>
    </row>
    <row r="47" spans="1:7" s="16" customFormat="1" ht="15.75">
      <c r="A47" s="14" t="s">
        <v>82</v>
      </c>
      <c r="B47" s="50">
        <f>IF(8052.06645="","-",8052.06645)</f>
        <v>8052.06645</v>
      </c>
      <c r="C47" s="50">
        <f>IF(OR(6588.86151="",8052.06645=""),"-",8052.06645/6588.86151*100)</f>
        <v>122.20724988344762</v>
      </c>
      <c r="D47" s="50">
        <f>IF(6588.86151="","-",6588.86151/1633487.06476*100)</f>
        <v>0.4033617193637262</v>
      </c>
      <c r="E47" s="50">
        <f>IF(8052.06645="","-",8052.06645/1920023.18942*100)</f>
        <v>0.4193733958198893</v>
      </c>
      <c r="F47" s="50">
        <f>IF(OR(1636115.84011="",5061.92861="",6588.86151=""),"-",(6588.86151-5061.92861)/1636115.84011*100)</f>
        <v>0.09332669867051348</v>
      </c>
      <c r="G47" s="50">
        <f>IF(OR(1633487.06476="",8052.06645="",6588.86151=""),"-",(8052.06645-6588.86151)/1633487.06476*100)</f>
        <v>0.08957554495327343</v>
      </c>
    </row>
    <row r="48" spans="1:7" s="16" customFormat="1" ht="25.5">
      <c r="A48" s="14" t="s">
        <v>83</v>
      </c>
      <c r="B48" s="50">
        <f>IF(5992.86016999999="","-",5992.86016999999)</f>
        <v>5992.86016999999</v>
      </c>
      <c r="C48" s="50">
        <f>IF(OR(5555.7521="",5992.86016999999=""),"-",5992.86016999999/5555.7521*100)</f>
        <v>107.86766691767961</v>
      </c>
      <c r="D48" s="50">
        <f>IF(5555.7521="","-",5555.7521/1633487.06476*100)</f>
        <v>0.34011607559416324</v>
      </c>
      <c r="E48" s="50">
        <f>IF(5992.86016999999="","-",5992.86016999999/1920023.18942*100)</f>
        <v>0.3121243640713689</v>
      </c>
      <c r="F48" s="50">
        <f>IF(OR(1636115.84011="",5321.08717="",5555.7521=""),"-",(5555.7521-5321.08717)/1636115.84011*100)</f>
        <v>0.014342806557280373</v>
      </c>
      <c r="G48" s="50">
        <f>IF(OR(1633487.06476="",5992.86016999999="",5555.7521=""),"-",(5992.86016999999-5555.7521)/1633487.06476*100)</f>
        <v>0.02675919996123216</v>
      </c>
    </row>
    <row r="49" spans="1:7" s="16" customFormat="1" ht="25.5">
      <c r="A49" s="14" t="s">
        <v>84</v>
      </c>
      <c r="B49" s="50">
        <f>IF(68217.97759="","-",68217.97759)</f>
        <v>68217.97759</v>
      </c>
      <c r="C49" s="50">
        <f>IF(OR(63055.3686="",68217.97759=""),"-",68217.97759/63055.3686*100)</f>
        <v>108.18742179234519</v>
      </c>
      <c r="D49" s="50">
        <f>IF(63055.3686="","-",63055.3686/1633487.06476*100)</f>
        <v>3.8601694473328694</v>
      </c>
      <c r="E49" s="50">
        <f>IF(68217.97759="","-",68217.97759/1920023.18942*100)</f>
        <v>3.5529767539217723</v>
      </c>
      <c r="F49" s="50">
        <f>IF(OR(1636115.84011="",41832.13494="",63055.3686=""),"-",(63055.3686-41832.13494)/1636115.84011*100)</f>
        <v>1.297171822416505</v>
      </c>
      <c r="G49" s="50">
        <f>IF(OR(1633487.06476="",68217.97759="",63055.3686=""),"-",(68217.97759-63055.3686)/1633487.06476*100)</f>
        <v>0.31604835455238267</v>
      </c>
    </row>
    <row r="50" spans="1:7" s="16" customFormat="1" ht="15.75">
      <c r="A50" s="14" t="s">
        <v>85</v>
      </c>
      <c r="B50" s="50">
        <f>IF(27242.93575="","-",27242.93575)</f>
        <v>27242.93575</v>
      </c>
      <c r="C50" s="50">
        <f>IF(OR(30574.05039="",27242.93575=""),"-",27242.93575/30574.05039*100)</f>
        <v>89.1047649967584</v>
      </c>
      <c r="D50" s="50">
        <f>IF(30574.05039="","-",30574.05039/1633487.06476*100)</f>
        <v>1.8717044688989986</v>
      </c>
      <c r="E50" s="50">
        <f>IF(27242.93575="","-",27242.93575/1920023.18942*100)</f>
        <v>1.4188857665948054</v>
      </c>
      <c r="F50" s="50">
        <f>IF(OR(1636115.84011="",29033.38696="",30574.05039=""),"-",(30574.05039-29033.38696)/1636115.84011*100)</f>
        <v>0.09416591369816565</v>
      </c>
      <c r="G50" s="50">
        <f>IF(OR(1633487.06476="",27242.93575="",30574.05039=""),"-",(27242.93575-30574.05039)/1633487.06476*100)</f>
        <v>-0.20392660045272068</v>
      </c>
    </row>
    <row r="51" spans="1:7" s="16" customFormat="1" ht="15.75">
      <c r="A51" s="14" t="s">
        <v>86</v>
      </c>
      <c r="B51" s="50">
        <f>IF(2465.1075="","-",2465.1075)</f>
        <v>2465.1075</v>
      </c>
      <c r="C51" s="50">
        <f>IF(OR(2961.01768="",2465.1075=""),"-",2465.1075/2961.01768*100)</f>
        <v>83.25203583384211</v>
      </c>
      <c r="D51" s="50">
        <f>IF(2961.01768="","-",2961.01768/1633487.06476*100)</f>
        <v>0.18126973539487728</v>
      </c>
      <c r="E51" s="50">
        <f>IF(2465.1075="","-",2465.1075/1920023.18942*100)</f>
        <v>0.12838946495977785</v>
      </c>
      <c r="F51" s="50">
        <f>IF(OR(1636115.84011="",2021.05252="",2961.01768=""),"-",(2961.01768-2021.05252)/1636115.84011*100)</f>
        <v>0.05745101520053762</v>
      </c>
      <c r="G51" s="50">
        <f>IF(OR(1633487.06476="",2465.1075="",2961.01768=""),"-",(2465.1075-2961.01768)/1633487.06476*100)</f>
        <v>-0.030358990328023285</v>
      </c>
    </row>
    <row r="52" spans="1:7" s="16" customFormat="1" ht="15.75">
      <c r="A52" s="14" t="s">
        <v>87</v>
      </c>
      <c r="B52" s="50">
        <f>IF(2760.05832="","-",2760.05832)</f>
        <v>2760.05832</v>
      </c>
      <c r="C52" s="50">
        <f>IF(OR(1886.22114="",2760.05832=""),"-",2760.05832/1886.22114*100)</f>
        <v>146.3273982816246</v>
      </c>
      <c r="D52" s="50">
        <f>IF(1886.22114="","-",1886.22114/1633487.06476*100)</f>
        <v>0.11547205856063103</v>
      </c>
      <c r="E52" s="50">
        <f>IF(2760.05832="","-",2760.05832/1920023.18942*100)</f>
        <v>0.1437513012972389</v>
      </c>
      <c r="F52" s="50">
        <f>IF(OR(1636115.84011="",2761.41036="",1886.22114=""),"-",(1886.22114-2761.41036)/1636115.84011*100)</f>
        <v>-0.053491885998803036</v>
      </c>
      <c r="G52" s="50">
        <f>IF(OR(1633487.06476="",2760.05832="",1886.22114=""),"-",(2760.05832-1886.22114)/1633487.06476*100)</f>
        <v>0.05349520047337433</v>
      </c>
    </row>
    <row r="53" spans="1:7" s="16" customFormat="1" ht="15.75">
      <c r="A53" s="14" t="s">
        <v>88</v>
      </c>
      <c r="B53" s="50">
        <f>IF(22547.39621="","-",22547.39621)</f>
        <v>22547.39621</v>
      </c>
      <c r="C53" s="50">
        <f>IF(OR(24088.14133="",22547.39621=""),"-",22547.39621/24088.14133*100)</f>
        <v>93.60371936177113</v>
      </c>
      <c r="D53" s="50">
        <f>IF(24088.14133="","-",24088.14133/1633487.06476*100)</f>
        <v>1.474645367549277</v>
      </c>
      <c r="E53" s="50">
        <f>IF(22547.39621="","-",22547.39621/1920023.18942*100)</f>
        <v>1.174329369261999</v>
      </c>
      <c r="F53" s="50">
        <f>IF(OR(1636115.84011="",16302.94337="",24088.14133=""),"-",(24088.14133-16302.94337)/1636115.84011*100)</f>
        <v>0.4758341536181558</v>
      </c>
      <c r="G53" s="50">
        <f>IF(OR(1633487.06476="",22547.39621="",24088.14133=""),"-",(22547.39621-24088.14133)/1633487.06476*100)</f>
        <v>-0.09432245612709357</v>
      </c>
    </row>
    <row r="54" spans="1:7" s="16" customFormat="1" ht="14.25" customHeight="1">
      <c r="A54" s="15" t="s">
        <v>89</v>
      </c>
      <c r="B54" s="28">
        <f>IF(356139.26319="","-",356139.26319)</f>
        <v>356139.26319</v>
      </c>
      <c r="C54" s="28">
        <f>IF(266407.47522="","-",356139.26319/266407.47522*100)</f>
        <v>133.68215846642414</v>
      </c>
      <c r="D54" s="28">
        <f>IF(266407.47522="","-",266407.47522/1633487.06476*100)</f>
        <v>16.309126712254802</v>
      </c>
      <c r="E54" s="28">
        <f>IF(356139.26319="","-",356139.26319/1920023.18942*100)</f>
        <v>18.548695929947726</v>
      </c>
      <c r="F54" s="28">
        <f>IF(1636115.84011="","-",(266407.47522-265854.34291)/1636115.84011*100)</f>
        <v>0.03380764958322431</v>
      </c>
      <c r="G54" s="28">
        <f>IF(1633487.06476="","-",(356139.26319-266407.47522)/1633487.06476*100)</f>
        <v>5.49326590371157</v>
      </c>
    </row>
    <row r="55" spans="1:7" s="16" customFormat="1" ht="27.75" customHeight="1">
      <c r="A55" s="14" t="s">
        <v>90</v>
      </c>
      <c r="B55" s="50">
        <f>IF(2671.06206="","-",2671.06206)</f>
        <v>2671.06206</v>
      </c>
      <c r="C55" s="50">
        <f>IF(OR(2048.0362="",2671.06206=""),"-",2671.06206/2048.0362*100)</f>
        <v>130.4206468616131</v>
      </c>
      <c r="D55" s="50">
        <f>IF(2048.0362="","-",2048.0362/1633487.06476*100)</f>
        <v>0.1253781706744588</v>
      </c>
      <c r="E55" s="50">
        <f>IF(2671.06206="","-",2671.06206/1920023.18942*100)</f>
        <v>0.13911613540495174</v>
      </c>
      <c r="F55" s="50">
        <f>IF(OR(1636115.84011="",5951.32739="",2048.0362=""),"-",(2048.0362-5951.32739)/1636115.84011*100)</f>
        <v>-0.23857058860438468</v>
      </c>
      <c r="G55" s="50">
        <f>IF(OR(1633487.06476="",2671.06206="",2048.0362=""),"-",(2671.06206-2048.0362)/1633487.06476*100)</f>
        <v>0.03814085054242767</v>
      </c>
    </row>
    <row r="56" spans="1:7" s="16" customFormat="1" ht="25.5">
      <c r="A56" s="14" t="s">
        <v>91</v>
      </c>
      <c r="B56" s="50">
        <f>IF(8167.63461="","-",8167.63461)</f>
        <v>8167.63461</v>
      </c>
      <c r="C56" s="50">
        <f>IF(OR(7815.03062="",8167.63461=""),"-",8167.63461/7815.03062*100)</f>
        <v>104.51186959008997</v>
      </c>
      <c r="D56" s="50">
        <f>IF(7815.03062="","-",7815.03062/1633487.06476*100)</f>
        <v>0.47842623235882337</v>
      </c>
      <c r="E56" s="50">
        <f>IF(8167.63461="","-",8167.63461/1920023.18942*100)</f>
        <v>0.4253924981222376</v>
      </c>
      <c r="F56" s="50">
        <f>IF(OR(1636115.84011="",8768.99689="",7815.03062=""),"-",(7815.03062-8768.99689)/1636115.84011*100)</f>
        <v>-0.05830676817699305</v>
      </c>
      <c r="G56" s="50">
        <f>IF(OR(1633487.06476="",8167.63461="",7815.03062=""),"-",(8167.63461-7815.03062)/1633487.06476*100)</f>
        <v>0.02158596768881093</v>
      </c>
    </row>
    <row r="57" spans="1:7" s="16" customFormat="1" ht="25.5">
      <c r="A57" s="14" t="s">
        <v>92</v>
      </c>
      <c r="B57" s="50">
        <f>IF(1274.42215="","-",1274.42215)</f>
        <v>1274.42215</v>
      </c>
      <c r="C57" s="50">
        <f>IF(OR(1840.53469="",1274.42215=""),"-",1274.42215/1840.53469*100)</f>
        <v>69.24195218510117</v>
      </c>
      <c r="D57" s="50">
        <f>IF(1840.53469="","-",1840.53469/1633487.06476*100)</f>
        <v>0.11267519221343945</v>
      </c>
      <c r="E57" s="50">
        <f>IF(1274.42215="","-",1274.42215/1920023.18942*100)</f>
        <v>0.06637535197608614</v>
      </c>
      <c r="F57" s="50">
        <f>IF(OR(1636115.84011="",1864.6131="",1840.53469=""),"-",(1840.53469-1864.6131)/1636115.84011*100)</f>
        <v>-0.0014716812471164162</v>
      </c>
      <c r="G57" s="50">
        <f>IF(OR(1633487.06476="",1274.42215="",1840.53469=""),"-",(1274.42215-1840.53469)/1633487.06476*100)</f>
        <v>-0.03465668949653886</v>
      </c>
    </row>
    <row r="58" spans="1:7" s="16" customFormat="1" ht="39" customHeight="1">
      <c r="A58" s="14" t="s">
        <v>93</v>
      </c>
      <c r="B58" s="50">
        <f>IF(24662.53264="","-",24662.53264)</f>
        <v>24662.53264</v>
      </c>
      <c r="C58" s="50">
        <f>IF(OR(24631.96847="",24662.53264=""),"-",24662.53264/24631.96847*100)</f>
        <v>100.1240833433074</v>
      </c>
      <c r="D58" s="50">
        <f>IF(24631.96847="","-",24631.96847/1633487.06476*100)</f>
        <v>1.507937773209061</v>
      </c>
      <c r="E58" s="50">
        <f>IF(24662.53264="","-",24662.53264/1920023.18942*100)</f>
        <v>1.2844913944737328</v>
      </c>
      <c r="F58" s="50">
        <f>IF(OR(1636115.84011="",29085.40438="",24631.96847=""),"-",(24631.96847-29085.40438)/1636115.84011*100)</f>
        <v>-0.2721956355914618</v>
      </c>
      <c r="G58" s="50">
        <f>IF(OR(1633487.06476="",24662.53264="",24631.96847=""),"-",(24662.53264-24631.96847)/1633487.06476*100)</f>
        <v>0.001871099603993014</v>
      </c>
    </row>
    <row r="59" spans="1:7" s="16" customFormat="1" ht="27" customHeight="1">
      <c r="A59" s="14" t="s">
        <v>94</v>
      </c>
      <c r="B59" s="50">
        <f>IF(706.75007="","-",706.75007)</f>
        <v>706.75007</v>
      </c>
      <c r="C59" s="50">
        <f>IF(OR(2099.86565="",706.75007=""),"-",706.75007/2099.86565*100)</f>
        <v>33.65691847952272</v>
      </c>
      <c r="D59" s="50">
        <f>IF(2099.86565="","-",2099.86565/1633487.06476*100)</f>
        <v>0.12855110366659211</v>
      </c>
      <c r="E59" s="50">
        <f>IF(706.75007="","-",706.75007/1920023.18942*100)</f>
        <v>0.036809454901088716</v>
      </c>
      <c r="F59" s="50">
        <f>IF(OR(1636115.84011="",729.52792="",2099.86565=""),"-",(2099.86565-729.52792)/1636115.84011*100)</f>
        <v>0.08375554446730796</v>
      </c>
      <c r="G59" s="50">
        <f>IF(OR(1633487.06476="",706.75007="",2099.86565=""),"-",(706.75007-2099.86565)/1633487.06476*100)</f>
        <v>-0.08528476350100045</v>
      </c>
    </row>
    <row r="60" spans="1:7" s="16" customFormat="1" ht="39" customHeight="1">
      <c r="A60" s="14" t="s">
        <v>95</v>
      </c>
      <c r="B60" s="50">
        <f>IF(3351.44606="","-",3351.44606)</f>
        <v>3351.44606</v>
      </c>
      <c r="C60" s="50">
        <f>IF(OR(2609.30505="",3351.44606=""),"-",3351.44606/2609.30505*100)</f>
        <v>128.44209457226935</v>
      </c>
      <c r="D60" s="50">
        <f>IF(2609.30505="","-",2609.30505/1633487.06476*100)</f>
        <v>0.15973833563128778</v>
      </c>
      <c r="E60" s="50">
        <f>IF(3351.44606="","-",3351.44606/1920023.18942*100)</f>
        <v>0.17455237407900287</v>
      </c>
      <c r="F60" s="50">
        <f>IF(OR(1636115.84011="",3186.1889="",2609.30505=""),"-",(2609.30505-3186.1889)/1636115.84011*100)</f>
        <v>-0.03525935241609878</v>
      </c>
      <c r="G60" s="50">
        <f>IF(OR(1633487.06476="",3351.44606="",2609.30505=""),"-",(3351.44606-2609.30505)/1633487.06476*100)</f>
        <v>0.04543292848841991</v>
      </c>
    </row>
    <row r="61" spans="1:7" s="16" customFormat="1" ht="40.5" customHeight="1">
      <c r="A61" s="14" t="s">
        <v>96</v>
      </c>
      <c r="B61" s="50">
        <f>IF(279271.36626="","-",279271.36626)</f>
        <v>279271.36626</v>
      </c>
      <c r="C61" s="50">
        <f>IF(OR(203834.52821="",279271.36626=""),"-",279271.36626/203834.52821*100)</f>
        <v>137.00886140952596</v>
      </c>
      <c r="D61" s="50">
        <f>IF(203834.52821="","-",203834.52821/1633487.06476*100)</f>
        <v>12.47849050093019</v>
      </c>
      <c r="E61" s="50">
        <f>IF(279271.36626="","-",279271.36626/1920023.18942*100)</f>
        <v>14.545207984928672</v>
      </c>
      <c r="F61" s="50">
        <f>IF(OR(1636115.84011="",201640.91216="",203834.52821=""),"-",(203834.52821-201640.91216)/1636115.84011*100)</f>
        <v>0.1340746172259111</v>
      </c>
      <c r="G61" s="50">
        <f>IF(OR(1633487.06476="",279271.36626="",203834.52821=""),"-",(279271.36626-203834.52821)/1633487.06476*100)</f>
        <v>4.618147255490116</v>
      </c>
    </row>
    <row r="62" spans="1:7" s="16" customFormat="1" ht="25.5">
      <c r="A62" s="14" t="s">
        <v>97</v>
      </c>
      <c r="B62" s="50">
        <f>IF(20518.89468="","-",20518.89468)</f>
        <v>20518.89468</v>
      </c>
      <c r="C62" s="50">
        <f>IF(OR(21166.81498="",20518.89468=""),"-",20518.89468/21166.81498*100)</f>
        <v>96.93898066094403</v>
      </c>
      <c r="D62" s="50">
        <f>IF(21166.81498="","-",21166.81498/1633487.06476*100)</f>
        <v>1.2958054848821183</v>
      </c>
      <c r="E62" s="50">
        <f>IF(20518.89468="","-",20518.89468/1920023.18942*100)</f>
        <v>1.0686795239279554</v>
      </c>
      <c r="F62" s="50">
        <f>IF(OR(1636115.84011="",9381.78376="",21166.81498=""),"-",(21166.81498-9381.78376)/1636115.84011*100)</f>
        <v>0.720305428936356</v>
      </c>
      <c r="G62" s="50">
        <f>IF(OR(1633487.06476="",20518.89468="",21166.81498=""),"-",(20518.89468-21166.81498)/1633487.06476*100)</f>
        <v>-0.03966485648878974</v>
      </c>
    </row>
    <row r="63" spans="1:7" s="16" customFormat="1" ht="15.75">
      <c r="A63" s="14" t="s">
        <v>98</v>
      </c>
      <c r="B63" s="50">
        <f>IF(15515.15466="","-",15515.15466)</f>
        <v>15515.15466</v>
      </c>
      <c r="C63" s="50" t="s">
        <v>286</v>
      </c>
      <c r="D63" s="50">
        <f>IF(361.39135="","-",361.39135/1633487.06476*100)</f>
        <v>0.022123918688826433</v>
      </c>
      <c r="E63" s="50">
        <f>IF(15515.15466="","-",15515.15466/1920023.18942*100)</f>
        <v>0.8080712121339958</v>
      </c>
      <c r="F63" s="50">
        <f>IF(OR(1636115.84011="",5245.58841="",361.39135=""),"-",(361.39135-5245.58841)/1636115.84011*100)</f>
        <v>-0.29852391501029807</v>
      </c>
      <c r="G63" s="50">
        <f>IF(OR(1633487.06476="",15515.15466="",361.39135=""),"-",(15515.15466-361.39135)/1633487.06476*100)</f>
        <v>0.9276941113841306</v>
      </c>
    </row>
    <row r="64" spans="1:7" s="16" customFormat="1" ht="15.75">
      <c r="A64" s="15" t="s">
        <v>99</v>
      </c>
      <c r="B64" s="28">
        <f>IF(441842.66438="","-",441842.66438)</f>
        <v>441842.66438</v>
      </c>
      <c r="C64" s="28">
        <f>IF(391387.25689="","-",441842.66438/391387.25689*100)</f>
        <v>112.89142827258183</v>
      </c>
      <c r="D64" s="28">
        <f>IF(391387.25689="","-",391387.25689/1633487.06476*100)</f>
        <v>23.960229948163352</v>
      </c>
      <c r="E64" s="28">
        <f>IF(441842.66438="","-",441842.66438/1920023.18942*100)</f>
        <v>23.01236083057266</v>
      </c>
      <c r="F64" s="28">
        <f>IF(1636115.84011="","-",(391387.25689-357751.72577)/1636115.84011*100)</f>
        <v>2.055815993917558</v>
      </c>
      <c r="G64" s="28">
        <f>IF(1633487.06476="","-",(441842.66438-391387.25689)/1633487.06476*100)</f>
        <v>3.08881585771315</v>
      </c>
    </row>
    <row r="65" spans="1:7" s="16" customFormat="1" ht="39.75" customHeight="1">
      <c r="A65" s="14" t="s">
        <v>100</v>
      </c>
      <c r="B65" s="50">
        <f>IF(7559.63314="","-",7559.63314)</f>
        <v>7559.63314</v>
      </c>
      <c r="C65" s="50" t="s">
        <v>215</v>
      </c>
      <c r="D65" s="50">
        <f>IF(4683.5348="","-",4683.5348/1633487.06476*100)</f>
        <v>0.2867200421135951</v>
      </c>
      <c r="E65" s="50">
        <f>IF(7559.63314="","-",7559.63314/1920023.18942*100)</f>
        <v>0.3937261373537687</v>
      </c>
      <c r="F65" s="50">
        <f>IF(OR(1636115.84011="",2565.77272="",4683.5348=""),"-",(4683.5348-2565.77272)/1636115.84011*100)</f>
        <v>0.12943839476901697</v>
      </c>
      <c r="G65" s="50">
        <f>IF(OR(1633487.06476="",7559.63314="",4683.5348=""),"-",(7559.63314-4683.5348)/1633487.06476*100)</f>
        <v>0.17607108143354475</v>
      </c>
    </row>
    <row r="66" spans="1:7" s="16" customFormat="1" ht="15.75">
      <c r="A66" s="14" t="s">
        <v>101</v>
      </c>
      <c r="B66" s="50">
        <f>IF(108833.53608="","-",108833.53608)</f>
        <v>108833.53608</v>
      </c>
      <c r="C66" s="50">
        <f>IF(OR(101256.20419="",108833.53608=""),"-",108833.53608/101256.20419*100)</f>
        <v>107.48332603479949</v>
      </c>
      <c r="D66" s="50">
        <f>IF(101256.20419="","-",101256.20419/1633487.06476*100)</f>
        <v>6.198776003462083</v>
      </c>
      <c r="E66" s="50">
        <f>IF(108833.53608="","-",108833.53608/1920023.18942*100)</f>
        <v>5.668344876234355</v>
      </c>
      <c r="F66" s="50">
        <f>IF(OR(1636115.84011="",80440.52746="",101256.20419=""),"-",(101256.20419-80440.52746)/1636115.84011*100)</f>
        <v>1.2722617934314797</v>
      </c>
      <c r="G66" s="50">
        <f>IF(OR(1633487.06476="",108833.53608="",101256.20419=""),"-",(108833.53608-101256.20419)/1633487.06476*100)</f>
        <v>0.4638746185059813</v>
      </c>
    </row>
    <row r="67" spans="1:7" s="16" customFormat="1" ht="15.75">
      <c r="A67" s="14" t="s">
        <v>102</v>
      </c>
      <c r="B67" s="50">
        <f>IF(10084.86137="","-",10084.86137)</f>
        <v>10084.86137</v>
      </c>
      <c r="C67" s="50">
        <f>IF(OR(12055.35508="",10084.86137=""),"-",10084.86137/12055.35508*100)</f>
        <v>83.65461907240646</v>
      </c>
      <c r="D67" s="50">
        <f>IF(12055.35508="","-",12055.35508/1633487.06476*100)</f>
        <v>0.7380135013050275</v>
      </c>
      <c r="E67" s="50">
        <f>IF(10084.86137="","-",10084.86137/1920023.18942*100)</f>
        <v>0.5252468525156945</v>
      </c>
      <c r="F67" s="50">
        <f>IF(OR(1636115.84011="",13011.90447="",12055.35508=""),"-",(12055.35508-13011.90447)/1636115.84011*100)</f>
        <v>-0.058464649418447596</v>
      </c>
      <c r="G67" s="50">
        <f>IF(OR(1633487.06476="",10084.86137="",12055.35508=""),"-",(10084.86137-12055.35508)/1633487.06476*100)</f>
        <v>-0.12063111808537727</v>
      </c>
    </row>
    <row r="68" spans="1:7" s="16" customFormat="1" ht="15.75">
      <c r="A68" s="14" t="s">
        <v>103</v>
      </c>
      <c r="B68" s="50">
        <f>IF(231494.91915="","-",231494.91915)</f>
        <v>231494.91915</v>
      </c>
      <c r="C68" s="50">
        <f>IF(OR(203981.30798="",231494.91915=""),"-",231494.91915/203981.30798*100)</f>
        <v>113.48830019890728</v>
      </c>
      <c r="D68" s="50">
        <f>IF(203981.30798="","-",203981.30798/1633487.06476*100)</f>
        <v>12.487476171717955</v>
      </c>
      <c r="E68" s="50">
        <f>IF(231494.91915="","-",231494.91915/1920023.18942*100)</f>
        <v>12.056881418183805</v>
      </c>
      <c r="F68" s="50">
        <f>IF(OR(1636115.84011="",192511.10187="",203981.30798=""),"-",(203981.30798-192511.10187)/1636115.84011*100)</f>
        <v>0.7010632027881858</v>
      </c>
      <c r="G68" s="50">
        <f>IF(OR(1633487.06476="",231494.91915="",203981.30798=""),"-",(231494.91915-203981.30798)/1633487.06476*100)</f>
        <v>1.6843482733083306</v>
      </c>
    </row>
    <row r="69" spans="1:7" s="16" customFormat="1" ht="14.25" customHeight="1">
      <c r="A69" s="14" t="s">
        <v>104</v>
      </c>
      <c r="B69" s="50">
        <f>IF(27613.17493="","-",27613.17493)</f>
        <v>27613.17493</v>
      </c>
      <c r="C69" s="50">
        <f>IF(OR(24232.47997="",27613.17493=""),"-",27613.17493/24232.47997*100)</f>
        <v>113.95108946416268</v>
      </c>
      <c r="D69" s="50">
        <f>IF(24232.47997="","-",24232.47997/1633487.06476*100)</f>
        <v>1.4834815954640177</v>
      </c>
      <c r="E69" s="50">
        <f>IF(27613.17493="","-",27613.17493/1920023.18942*100)</f>
        <v>1.4381688243224489</v>
      </c>
      <c r="F69" s="50">
        <f>IF(OR(1636115.84011="",19744.53712="",24232.47997=""),"-",(24232.47997-19744.53712)/1636115.84011*100)</f>
        <v>0.27430471241561133</v>
      </c>
      <c r="G69" s="50">
        <f>IF(OR(1633487.06476="",27613.17493="",24232.47997=""),"-",(27613.17493-24232.47997)/1633487.06476*100)</f>
        <v>0.20696184456757294</v>
      </c>
    </row>
    <row r="70" spans="1:7" ht="27.75" customHeight="1">
      <c r="A70" s="8" t="s">
        <v>109</v>
      </c>
      <c r="B70" s="50">
        <f>IF(18840.12398="","-",18840.12398)</f>
        <v>18840.12398</v>
      </c>
      <c r="C70" s="50">
        <f>IF(OR(20038.15129="",18840.12398=""),"-",18840.12398/20038.15129*100)</f>
        <v>94.02126826641002</v>
      </c>
      <c r="D70" s="50">
        <f>IF(20038.15129="","-",20038.15129/1633487.06476*100)</f>
        <v>1.2267101296540788</v>
      </c>
      <c r="E70" s="50">
        <f>IF(18840.12398="","-",18840.12398/1920023.18942*100)</f>
        <v>0.9812446059930776</v>
      </c>
      <c r="F70" s="50">
        <f>IF(OR(1636115.84011="",20894.73709="",20038.15129=""),"-",(20038.15129-20894.73709)/1636115.84011*100)</f>
        <v>-0.05235483814779318</v>
      </c>
      <c r="G70" s="50">
        <f>IF(OR(1633487.06476="",18840.12398="",20038.15129=""),"-",(18840.12398-20038.15129)/1633487.06476*100)</f>
        <v>-0.07334170780079127</v>
      </c>
    </row>
    <row r="71" spans="1:7" ht="25.5">
      <c r="A71" s="10" t="s">
        <v>106</v>
      </c>
      <c r="B71" s="50">
        <f>IF(2334.59517="","-",2334.59517)</f>
        <v>2334.59517</v>
      </c>
      <c r="C71" s="50">
        <f>IF(OR(1696.4846="",2334.59517=""),"-",2334.59517/1696.4846*100)</f>
        <v>137.6136965817432</v>
      </c>
      <c r="D71" s="50">
        <f>IF(1696.4846="","-",1696.4846/1633487.06476*100)</f>
        <v>0.10385662896260864</v>
      </c>
      <c r="E71" s="50">
        <f>IF(2334.59517="","-",2334.59517/1920023.18942*100)</f>
        <v>0.12159202987049515</v>
      </c>
      <c r="F71" s="50">
        <f>IF(OR(1636115.84011="",1473.11875="",1696.4846=""),"-",(1696.4846-1473.11875)/1636115.84011*100)</f>
        <v>0.013652202645075698</v>
      </c>
      <c r="G71" s="50">
        <f>IF(OR(1633487.06476="",2334.59517="",1696.4846=""),"-",(2334.59517-1696.4846)/1633487.06476*100)</f>
        <v>0.03906431729802246</v>
      </c>
    </row>
    <row r="72" spans="1:7" ht="15.75">
      <c r="A72" s="11" t="s">
        <v>107</v>
      </c>
      <c r="B72" s="51">
        <f>IF(35081.82056="","-",35081.82056)</f>
        <v>35081.82056</v>
      </c>
      <c r="C72" s="51">
        <f>IF(OR(23443.73898="",35081.82056=""),"-",35081.82056/23443.73898*100)</f>
        <v>149.64260005594042</v>
      </c>
      <c r="D72" s="51">
        <f>IF(23443.73898="","-",23443.73898/1633487.06476*100)</f>
        <v>1.435195875483989</v>
      </c>
      <c r="E72" s="51">
        <f>IF(35081.82056="","-",35081.82056/1920023.18942*100)</f>
        <v>1.8271560860990177</v>
      </c>
      <c r="F72" s="51">
        <f>IF(OR(1636115.84011="",27110.02629="",23443.73898=""),"-",(23443.73898-27110.02629)/1636115.84011*100)</f>
        <v>-0.22408482456557052</v>
      </c>
      <c r="G72" s="51">
        <f>IF(OR(1633487.06476="",35081.82056="",23443.73898=""),"-",(35081.82056-23443.73898)/1633487.06476*100)</f>
        <v>0.7124685484858692</v>
      </c>
    </row>
    <row r="73" spans="1:7" ht="15.75">
      <c r="A73" s="82" t="s">
        <v>27</v>
      </c>
      <c r="B73" s="82"/>
      <c r="C73" s="82"/>
      <c r="D73" s="82"/>
      <c r="E73" s="82"/>
      <c r="F73" s="82"/>
      <c r="G73" s="82"/>
    </row>
    <row r="74" spans="2:7" ht="15.75">
      <c r="B74" s="21"/>
      <c r="C74" s="22"/>
      <c r="D74" s="22"/>
      <c r="E74" s="22"/>
      <c r="F74" s="22"/>
      <c r="G74" s="22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6" t="s">
        <v>116</v>
      </c>
      <c r="B1" s="66"/>
      <c r="C1" s="66"/>
      <c r="D1" s="66"/>
      <c r="E1" s="66"/>
      <c r="F1" s="66"/>
      <c r="G1" s="66"/>
    </row>
    <row r="2" spans="1:7" ht="15.75">
      <c r="A2" s="66" t="s">
        <v>35</v>
      </c>
      <c r="B2" s="66"/>
      <c r="C2" s="66"/>
      <c r="D2" s="66"/>
      <c r="E2" s="66"/>
      <c r="F2" s="66"/>
      <c r="G2" s="66"/>
    </row>
    <row r="3" ht="15.75">
      <c r="A3" s="5"/>
    </row>
    <row r="4" spans="1:7" ht="55.5" customHeight="1">
      <c r="A4" s="67"/>
      <c r="B4" s="70" t="s">
        <v>252</v>
      </c>
      <c r="C4" s="71"/>
      <c r="D4" s="70" t="s">
        <v>0</v>
      </c>
      <c r="E4" s="71"/>
      <c r="F4" s="72" t="s">
        <v>219</v>
      </c>
      <c r="G4" s="73"/>
    </row>
    <row r="5" spans="1:7" ht="27" customHeight="1">
      <c r="A5" s="68"/>
      <c r="B5" s="74" t="s">
        <v>195</v>
      </c>
      <c r="C5" s="76" t="s">
        <v>253</v>
      </c>
      <c r="D5" s="78" t="s">
        <v>254</v>
      </c>
      <c r="E5" s="78"/>
      <c r="F5" s="78" t="s">
        <v>254</v>
      </c>
      <c r="G5" s="70"/>
    </row>
    <row r="6" spans="1:7" ht="27" customHeight="1">
      <c r="A6" s="69"/>
      <c r="B6" s="75"/>
      <c r="C6" s="77"/>
      <c r="D6" s="18">
        <v>2016</v>
      </c>
      <c r="E6" s="18">
        <v>2017</v>
      </c>
      <c r="F6" s="18" t="s">
        <v>2</v>
      </c>
      <c r="G6" s="19" t="s">
        <v>186</v>
      </c>
    </row>
    <row r="7" spans="1:7" ht="15.75">
      <c r="A7" s="7" t="s">
        <v>197</v>
      </c>
      <c r="B7" s="34">
        <f>IF(3904713.17235="","-",3904713.17235)</f>
        <v>3904713.17235</v>
      </c>
      <c r="C7" s="34">
        <f>IF(3275429.97191="","-",3904713.17235/3275429.97191*100)</f>
        <v>119.21223185464859</v>
      </c>
      <c r="D7" s="34">
        <v>100</v>
      </c>
      <c r="E7" s="34">
        <v>100</v>
      </c>
      <c r="F7" s="34">
        <f>IF(3299511.05107="","-",(3275429.97191-3299511.05107)/3299511.05107*100)</f>
        <v>-0.7298378089138672</v>
      </c>
      <c r="G7" s="34">
        <f>IF(3275429.97191="","-",(3904713.17235-3275429.97191)/3275429.97191*100)</f>
        <v>19.212231854648586</v>
      </c>
    </row>
    <row r="8" spans="1:7" ht="12" customHeight="1">
      <c r="A8" s="8" t="s">
        <v>110</v>
      </c>
      <c r="B8" s="28"/>
      <c r="C8" s="28"/>
      <c r="D8" s="28"/>
      <c r="E8" s="28"/>
      <c r="F8" s="28"/>
      <c r="G8" s="28"/>
    </row>
    <row r="9" spans="1:7" ht="12.75" customHeight="1">
      <c r="A9" s="9" t="s">
        <v>36</v>
      </c>
      <c r="B9" s="28">
        <f>IF(401793.70097="","-",401793.70097)</f>
        <v>401793.70097</v>
      </c>
      <c r="C9" s="28">
        <f>IF(350907.18557="","-",401793.70097/350907.18557*100)</f>
        <v>114.50141732416847</v>
      </c>
      <c r="D9" s="28">
        <f>IF(350907.18557="","-",350907.18557/3275429.97191*100)</f>
        <v>10.713316681454668</v>
      </c>
      <c r="E9" s="28">
        <f>IF(401793.70097="","-",401793.70097/3904713.17235*100)</f>
        <v>10.28996710475883</v>
      </c>
      <c r="F9" s="28">
        <f>IF(3299511.05107="","-",(350907.18557-340585.47813)/3299511.05107*100)</f>
        <v>0.3128253635232632</v>
      </c>
      <c r="G9" s="28">
        <f>IF(3275429.97191="","-",(401793.70097-350907.18557)/3275429.97191*100)</f>
        <v>1.5535827612374997</v>
      </c>
    </row>
    <row r="10" spans="1:7" ht="14.25" customHeight="1">
      <c r="A10" s="8" t="s">
        <v>37</v>
      </c>
      <c r="B10" s="50">
        <f>IF(5340.81975="","-",5340.81975)</f>
        <v>5340.81975</v>
      </c>
      <c r="C10" s="50">
        <f>IF(OR(6004.15803="",5340.81975=""),"-",5340.81975/6004.15803*100)</f>
        <v>88.95201830655347</v>
      </c>
      <c r="D10" s="50">
        <f>IF(6004.15803="","-",6004.15803/3275429.97191*100)</f>
        <v>0.18330900313825968</v>
      </c>
      <c r="E10" s="50">
        <f>IF(5340.81975="","-",5340.81975/3904713.17235*100)</f>
        <v>0.13677879819238292</v>
      </c>
      <c r="F10" s="50">
        <f>IF(OR(3299511.05107="",6979.28889="",6004.15803=""),"-",(6004.15803-6979.28889)/3299511.05107*100)</f>
        <v>-0.029553798878284545</v>
      </c>
      <c r="G10" s="50">
        <f>IF(OR(3275429.97191="",5340.81975="",6004.15803=""),"-",(5340.81975-6004.15803)/3275429.97191*100)</f>
        <v>-0.02025194510915426</v>
      </c>
    </row>
    <row r="11" spans="1:7" s="16" customFormat="1" ht="13.5" customHeight="1">
      <c r="A11" s="14" t="s">
        <v>38</v>
      </c>
      <c r="B11" s="50">
        <f>IF(30458.34777="","-",30458.34777)</f>
        <v>30458.34777</v>
      </c>
      <c r="C11" s="50">
        <f>IF(OR(21330.68146="",30458.34777=""),"-",30458.34777/21330.68146*100)</f>
        <v>142.7912550619468</v>
      </c>
      <c r="D11" s="50">
        <f>IF(21330.68146="","-",21330.68146/3275429.97191*100)</f>
        <v>0.6512330180443898</v>
      </c>
      <c r="E11" s="50">
        <f>IF(30458.34777="","-",30458.34777/3904713.17235*100)</f>
        <v>0.7800405926274232</v>
      </c>
      <c r="F11" s="50">
        <f>IF(OR(3299511.05107="",22801.09531="",21330.68146=""),"-",(21330.68146-22801.09531)/3299511.05107*100)</f>
        <v>-0.044564598428096173</v>
      </c>
      <c r="G11" s="50">
        <f>IF(OR(3275429.97191="",30458.34777="",21330.68146=""),"-",(30458.34777-21330.68146)/3275429.97191*100)</f>
        <v>0.27867078179898896</v>
      </c>
    </row>
    <row r="12" spans="1:7" s="16" customFormat="1" ht="13.5" customHeight="1">
      <c r="A12" s="14" t="s">
        <v>39</v>
      </c>
      <c r="B12" s="50">
        <f>IF(42121.53323="","-",42121.53323)</f>
        <v>42121.53323</v>
      </c>
      <c r="C12" s="50">
        <f>IF(OR(33230.52209="",42121.53323=""),"-",42121.53323/33230.52209*100)</f>
        <v>126.7555565811455</v>
      </c>
      <c r="D12" s="50">
        <f>IF(33230.52209="","-",33230.52209/3275429.97191*100)</f>
        <v>1.0145392322529887</v>
      </c>
      <c r="E12" s="50">
        <f>IF(42121.53323="","-",42121.53323/3904713.17235*100)</f>
        <v>1.078735655368246</v>
      </c>
      <c r="F12" s="50">
        <f>IF(OR(3299511.05107="",27803.57705="",33230.52209=""),"-",(33230.52209-27803.57705)/3299511.05107*100)</f>
        <v>0.16447724999254337</v>
      </c>
      <c r="G12" s="50">
        <f>IF(OR(3275429.97191="",42121.53323="",33230.52209=""),"-",(42121.53323-33230.52209)/3275429.97191*100)</f>
        <v>0.27144561832336755</v>
      </c>
    </row>
    <row r="13" spans="1:7" s="16" customFormat="1" ht="14.25" customHeight="1">
      <c r="A13" s="14" t="s">
        <v>40</v>
      </c>
      <c r="B13" s="50">
        <f>IF(35695.18573="","-",35695.18573)</f>
        <v>35695.18573</v>
      </c>
      <c r="C13" s="50">
        <f>IF(OR(33835.09017="",35695.18573=""),"-",35695.18573/33835.09017*100)</f>
        <v>105.49753392307863</v>
      </c>
      <c r="D13" s="50">
        <f>IF(33835.09017="","-",33835.09017/3275429.97191*100)</f>
        <v>1.032996903007203</v>
      </c>
      <c r="E13" s="50">
        <f>IF(35695.18573="","-",35695.18573/3904713.17235*100)</f>
        <v>0.9141564093046385</v>
      </c>
      <c r="F13" s="50">
        <f>IF(OR(3299511.05107="",28311.79025="",33835.09017=""),"-",(33835.09017-28311.79025)/3299511.05107*100)</f>
        <v>0.16739752752786966</v>
      </c>
      <c r="G13" s="50">
        <f>IF(OR(3275429.97191="",35695.18573="",33835.09017=""),"-",(35695.18573-33835.09017)/3275429.97191*100)</f>
        <v>0.056789355167172685</v>
      </c>
    </row>
    <row r="14" spans="1:7" s="16" customFormat="1" ht="15" customHeight="1">
      <c r="A14" s="14" t="s">
        <v>41</v>
      </c>
      <c r="B14" s="50">
        <f>IF(53693.73946="","-",53693.73946)</f>
        <v>53693.73946</v>
      </c>
      <c r="C14" s="50">
        <f>IF(OR(48273.44913="",53693.73946=""),"-",53693.73946/48273.44913*100)</f>
        <v>111.22830547161277</v>
      </c>
      <c r="D14" s="50">
        <f>IF(48273.44913="","-",48273.44913/3275429.97191*100)</f>
        <v>1.4738049521434382</v>
      </c>
      <c r="E14" s="50">
        <f>IF(53693.73946="","-",53693.73946/3904713.17235*100)</f>
        <v>1.3751007331400256</v>
      </c>
      <c r="F14" s="50">
        <f>IF(OR(3299511.05107="",48033.18371="",48273.44913=""),"-",(48273.44913-48033.18371)/3299511.05107*100)</f>
        <v>0.0072818492279966025</v>
      </c>
      <c r="G14" s="50">
        <f>IF(OR(3275429.97191="",53693.73946="",48273.44913=""),"-",(53693.73946-48273.44913)/3275429.97191*100)</f>
        <v>0.16548332208242159</v>
      </c>
    </row>
    <row r="15" spans="1:7" s="16" customFormat="1" ht="14.25" customHeight="1">
      <c r="A15" s="14" t="s">
        <v>42</v>
      </c>
      <c r="B15" s="50">
        <f>IF(81560.83269="","-",81560.83269)</f>
        <v>81560.83269</v>
      </c>
      <c r="C15" s="50">
        <f>IF(OR(72971.12176="",81560.83269=""),"-",81560.83269/72971.12176*100)</f>
        <v>111.77138397056758</v>
      </c>
      <c r="D15" s="50">
        <f>IF(72971.12176="","-",72971.12176/3275429.97191*100)</f>
        <v>2.227833364956613</v>
      </c>
      <c r="E15" s="50">
        <f>IF(81560.83269="","-",81560.83269/3904713.17235*100)</f>
        <v>2.0887791007940715</v>
      </c>
      <c r="F15" s="50">
        <f>IF(OR(3299511.05107="",94289.26903="",72971.12176=""),"-",(72971.12176-94289.26903)/3299511.05107*100)</f>
        <v>-0.6461001930297136</v>
      </c>
      <c r="G15" s="50">
        <f>IF(OR(3275429.97191="",81560.83269="",72971.12176=""),"-",(81560.83269-72971.12176)/3275429.97191*100)</f>
        <v>0.2622468196134594</v>
      </c>
    </row>
    <row r="16" spans="1:7" s="16" customFormat="1" ht="14.25" customHeight="1">
      <c r="A16" s="14" t="s">
        <v>43</v>
      </c>
      <c r="B16" s="50">
        <f>IF(30168.33959="","-",30168.33959)</f>
        <v>30168.33959</v>
      </c>
      <c r="C16" s="50">
        <f>IF(OR(21321.11393="",30168.33959=""),"-",30168.33959/21321.11393*100)</f>
        <v>141.49513805444965</v>
      </c>
      <c r="D16" s="50">
        <f>IF(21321.11393="","-",21321.11393/3275429.97191*100)</f>
        <v>0.6509409180733309</v>
      </c>
      <c r="E16" s="50">
        <f>IF(30168.33959="","-",30168.33959/3904713.17235*100)</f>
        <v>0.7726134611788549</v>
      </c>
      <c r="F16" s="50">
        <f>IF(OR(3299511.05107="",7976.74534="",21321.11393=""),"-",(21321.11393-7976.74534)/3299511.05107*100)</f>
        <v>0.40443472937217617</v>
      </c>
      <c r="G16" s="50">
        <f>IF(OR(3275429.97191="",30168.33959="",21321.11393=""),"-",(30168.33959-21321.11393)/3275429.97191*100)</f>
        <v>0.2701088326074308</v>
      </c>
    </row>
    <row r="17" spans="1:7" s="16" customFormat="1" ht="25.5">
      <c r="A17" s="14" t="s">
        <v>44</v>
      </c>
      <c r="B17" s="50">
        <f>IF(40088.6541399999="","-",40088.6541399999)</f>
        <v>40088.6541399999</v>
      </c>
      <c r="C17" s="50">
        <f>IF(OR(36746.62403="",40088.6541399999=""),"-",40088.6541399999/36746.62403*100)</f>
        <v>109.09479495931778</v>
      </c>
      <c r="D17" s="50">
        <f>IF(36746.62403="","-",36746.62403/3275429.97191*100)</f>
        <v>1.1218870299514283</v>
      </c>
      <c r="E17" s="50">
        <f>IF(40088.6541399999="","-",40088.6541399999/3904713.17235*100)</f>
        <v>1.0266734679483018</v>
      </c>
      <c r="F17" s="50">
        <f>IF(OR(3299511.05107="",33980.97237="",36746.62403=""),"-",(36746.62403-33980.97237)/3299511.05107*100)</f>
        <v>0.08382004537015027</v>
      </c>
      <c r="G17" s="50">
        <f>IF(OR(3275429.97191="",40088.6541399999="",36746.62403=""),"-",(40088.6541399999-36746.62403)/3275429.97191*100)</f>
        <v>0.10203332504926252</v>
      </c>
    </row>
    <row r="18" spans="1:7" s="16" customFormat="1" ht="25.5">
      <c r="A18" s="14" t="s">
        <v>45</v>
      </c>
      <c r="B18" s="50">
        <f>IF(25582.76004="","-",25582.76004)</f>
        <v>25582.76004</v>
      </c>
      <c r="C18" s="50">
        <f>IF(OR(21947.16527="",25582.76004=""),"-",25582.76004/21947.16527*100)</f>
        <v>116.56521343542059</v>
      </c>
      <c r="D18" s="50">
        <f>IF(21947.16527="","-",21947.16527/3275429.97191*100)</f>
        <v>0.6700544801207263</v>
      </c>
      <c r="E18" s="50">
        <f>IF(25582.76004="","-",25582.76004/3904713.17235*100)</f>
        <v>0.6551764216935646</v>
      </c>
      <c r="F18" s="50">
        <f>IF(OR(3299511.05107="",19851.1226="",21947.16527=""),"-",(21947.16527-19851.1226)/3299511.05107*100)</f>
        <v>0.06352585693932669</v>
      </c>
      <c r="G18" s="50">
        <f>IF(OR(3275429.97191="",25582.76004="",21947.16527=""),"-",(25582.76004-21947.16527)/3275429.97191*100)</f>
        <v>0.11099595476559607</v>
      </c>
    </row>
    <row r="19" spans="1:7" s="16" customFormat="1" ht="13.5" customHeight="1">
      <c r="A19" s="14" t="s">
        <v>46</v>
      </c>
      <c r="B19" s="50">
        <f>IF(57083.48857="","-",57083.48857)</f>
        <v>57083.48857</v>
      </c>
      <c r="C19" s="50">
        <f>IF(OR(55247.2597="",57083.48857=""),"-",57083.48857/55247.2597*100)</f>
        <v>103.32365601474348</v>
      </c>
      <c r="D19" s="50">
        <f>IF(55247.2597="","-",55247.2597/3275429.97191*100)</f>
        <v>1.6867177797662911</v>
      </c>
      <c r="E19" s="50">
        <f>IF(57083.48857="","-",57083.48857/3904713.17235*100)</f>
        <v>1.4619124645113193</v>
      </c>
      <c r="F19" s="50">
        <f>IF(OR(3299511.05107="",50558.43358="",55247.2597=""),"-",(55247.2597-50558.43358)/3299511.05107*100)</f>
        <v>0.1421066954292959</v>
      </c>
      <c r="G19" s="50">
        <f>IF(OR(3275429.97191="",57083.48857="",55247.2597=""),"-",(57083.48857-55247.2597)/3275429.97191*100)</f>
        <v>0.05606069693894996</v>
      </c>
    </row>
    <row r="20" spans="1:7" s="16" customFormat="1" ht="13.5" customHeight="1">
      <c r="A20" s="15" t="s">
        <v>47</v>
      </c>
      <c r="B20" s="28">
        <f>IF(94325.79377="","-",94325.79377)</f>
        <v>94325.79377</v>
      </c>
      <c r="C20" s="28">
        <f>IF(87703.94883="","-",94325.79377/87703.94883*100)</f>
        <v>107.55022439506732</v>
      </c>
      <c r="D20" s="28">
        <f>IF(87703.94883="","-",87703.94883/3275429.97191*100)</f>
        <v>2.6776316264474196</v>
      </c>
      <c r="E20" s="28">
        <f>IF(94325.79377="","-",94325.79377/3904713.17235*100)</f>
        <v>2.415690720587071</v>
      </c>
      <c r="F20" s="28">
        <f>IF(3299511.05107="","-",(87703.94883-80067.78915)/3299511.05107*100)</f>
        <v>0.23143306877313422</v>
      </c>
      <c r="G20" s="28">
        <f>IF(3275429.97191="","-",(94325.79377-87703.94883)/3275429.97191*100)</f>
        <v>0.20216719627007065</v>
      </c>
    </row>
    <row r="21" spans="1:7" s="16" customFormat="1" ht="15" customHeight="1">
      <c r="A21" s="14" t="s">
        <v>48</v>
      </c>
      <c r="B21" s="50">
        <f>IF(45235.30745="","-",45235.30745)</f>
        <v>45235.30745</v>
      </c>
      <c r="C21" s="50">
        <f>IF(OR(40839.97122="",45235.30745=""),"-",45235.30745/40839.97122*100)</f>
        <v>110.76233919539966</v>
      </c>
      <c r="D21" s="50">
        <f>IF(40839.97122="","-",40839.97122/3275429.97191*100)</f>
        <v>1.2468583230367465</v>
      </c>
      <c r="E21" s="50">
        <f>IF(45235.30745="","-",45235.30745/3904713.17235*100)</f>
        <v>1.1584796489104403</v>
      </c>
      <c r="F21" s="50">
        <f>IF(OR(3299511.05107="",31296.51896="",40839.97122=""),"-",(40839.97122-31296.51896)/3299511.05107*100)</f>
        <v>0.28923837842292266</v>
      </c>
      <c r="G21" s="50">
        <f>IF(OR(3275429.97191="",45235.30745="",40839.97122=""),"-",(45235.30745-40839.97122)/3275429.97191*100)</f>
        <v>0.1341911220112867</v>
      </c>
    </row>
    <row r="22" spans="1:7" s="16" customFormat="1" ht="14.25" customHeight="1">
      <c r="A22" s="14" t="s">
        <v>49</v>
      </c>
      <c r="B22" s="50">
        <f>IF(49090.48632="","-",49090.48632)</f>
        <v>49090.48632</v>
      </c>
      <c r="C22" s="50">
        <f>IF(OR(46863.97761="",49090.48632=""),"-",49090.48632/46863.97761*100)</f>
        <v>104.75100241923319</v>
      </c>
      <c r="D22" s="50">
        <f>IF(46863.97761="","-",46863.97761/3275429.97191*100)</f>
        <v>1.4307733034106735</v>
      </c>
      <c r="E22" s="50">
        <f>IF(49090.48632="","-",49090.48632/3904713.17235*100)</f>
        <v>1.2572110716766307</v>
      </c>
      <c r="F22" s="50">
        <f>IF(OR(3299511.05107="",48771.27019="",46863.97761=""),"-",(46863.97761-48771.27019)/3299511.05107*100)</f>
        <v>-0.057805309649788396</v>
      </c>
      <c r="G22" s="50">
        <f>IF(OR(3275429.97191="",49090.48632="",46863.97761=""),"-",(49090.48632-46863.97761)/3275429.97191*100)</f>
        <v>0.06797607425878377</v>
      </c>
    </row>
    <row r="23" spans="1:7" s="16" customFormat="1" ht="25.5">
      <c r="A23" s="15" t="s">
        <v>50</v>
      </c>
      <c r="B23" s="28">
        <f>IF(93531.2257="","-",93531.2257)</f>
        <v>93531.2257</v>
      </c>
      <c r="C23" s="28">
        <f>IF(82188.5076="","-",93531.2257/82188.5076*100)</f>
        <v>113.80085662974126</v>
      </c>
      <c r="D23" s="28">
        <f>IF(82188.5076="","-",82188.5076/3275429.97191*100)</f>
        <v>2.509243314766197</v>
      </c>
      <c r="E23" s="28">
        <f>IF(93531.2257="","-",93531.2257/3904713.17235*100)</f>
        <v>2.3953417721514603</v>
      </c>
      <c r="F23" s="28">
        <f>IF(3299511.05107="","-",(82188.5076-85991.24884)/3299511.05107*100)</f>
        <v>-0.11525165944714173</v>
      </c>
      <c r="G23" s="28">
        <f>IF(3275429.97191="","-",(93531.2257-82188.5076)/3275429.97191*100)</f>
        <v>0.34629707236225005</v>
      </c>
    </row>
    <row r="24" spans="1:7" s="16" customFormat="1" ht="14.25" customHeight="1">
      <c r="A24" s="14" t="s">
        <v>52</v>
      </c>
      <c r="B24" s="50">
        <f>IF(25125.98895="","-",25125.98895)</f>
        <v>25125.98895</v>
      </c>
      <c r="C24" s="50">
        <f>IF(OR(23791.91291="",25125.98895=""),"-",25125.98895/23791.91291*100)</f>
        <v>105.6072668265328</v>
      </c>
      <c r="D24" s="50">
        <f>IF(23791.91291="","-",23791.91291/3275429.97191*100)</f>
        <v>0.7263752580283752</v>
      </c>
      <c r="E24" s="50">
        <f>IF(25125.98895="","-",25125.98895/3904713.17235*100)</f>
        <v>0.6434784794929829</v>
      </c>
      <c r="F24" s="50">
        <f>IF(OR(3299511.05107="",20429.3538="",23791.91291=""),"-",(23791.91291-20429.3538)/3299511.05107*100)</f>
        <v>0.10191083036104856</v>
      </c>
      <c r="G24" s="50">
        <f>IF(OR(3275429.97191="",25125.98895="",23791.91291=""),"-",(25125.98895-23791.91291)/3275429.97191*100)</f>
        <v>0.04072979887956697</v>
      </c>
    </row>
    <row r="25" spans="1:7" s="16" customFormat="1" ht="25.5">
      <c r="A25" s="14" t="s">
        <v>53</v>
      </c>
      <c r="B25" s="50">
        <f>IF(611.53469="","-",611.53469)</f>
        <v>611.53469</v>
      </c>
      <c r="C25" s="50">
        <f>IF(OR(535.19498="",611.53469=""),"-",611.53469/535.19498*100)</f>
        <v>114.26390621227425</v>
      </c>
      <c r="D25" s="50">
        <f>IF(535.19498="","-",535.19498/3275429.97191*100)</f>
        <v>0.016339686227146294</v>
      </c>
      <c r="E25" s="50">
        <f>IF(611.53469="","-",611.53469/3904713.17235*100)</f>
        <v>0.015661449714934012</v>
      </c>
      <c r="F25" s="50">
        <f>IF(OR(3299511.05107="",2703.12733="",535.19498=""),"-",(535.19498-2703.12733)/3299511.05107*100)</f>
        <v>-0.06570465491536875</v>
      </c>
      <c r="G25" s="50">
        <f>IF(OR(3275429.97191="",611.53469="",535.19498=""),"-",(611.53469-535.19498)/3275429.97191*100)</f>
        <v>0.0023306775188200414</v>
      </c>
    </row>
    <row r="26" spans="1:7" s="16" customFormat="1" ht="13.5" customHeight="1">
      <c r="A26" s="14" t="s">
        <v>54</v>
      </c>
      <c r="B26" s="50">
        <f>IF(27886.53449="","-",27886.53449)</f>
        <v>27886.53449</v>
      </c>
      <c r="C26" s="50">
        <f>IF(OR(22573.69847="",27886.53449=""),"-",27886.53449/22573.69847*100)</f>
        <v>123.53551424929617</v>
      </c>
      <c r="D26" s="50">
        <f>IF(22573.69847="","-",22573.69847/3275429.97191*100)</f>
        <v>0.6891827535191237</v>
      </c>
      <c r="E26" s="50">
        <f>IF(27886.53449="","-",27886.53449/3904713.17235*100)</f>
        <v>0.7141762597946946</v>
      </c>
      <c r="F26" s="50">
        <f>IF(OR(3299511.05107="",22786.45554="",22573.69847=""),"-",(22573.69847-22786.45554)/3299511.05107*100)</f>
        <v>-0.006448139336614877</v>
      </c>
      <c r="G26" s="50">
        <f>IF(OR(3275429.97191="",27886.53449="",22573.69847=""),"-",(27886.53449-22573.69847)/3275429.97191*100)</f>
        <v>0.162202705158185</v>
      </c>
    </row>
    <row r="27" spans="1:7" s="16" customFormat="1" ht="15" customHeight="1">
      <c r="A27" s="14" t="s">
        <v>55</v>
      </c>
      <c r="B27" s="50">
        <f>IF(461.96474="","-",461.96474)</f>
        <v>461.96474</v>
      </c>
      <c r="C27" s="50">
        <f>IF(OR(500.3338="",461.96474=""),"-",461.96474/500.3338*100)</f>
        <v>92.33130761903354</v>
      </c>
      <c r="D27" s="50">
        <f>IF(500.3338="","-",500.3338/3275429.97191*100)</f>
        <v>0.015275362449841678</v>
      </c>
      <c r="E27" s="50">
        <f>IF(461.96474="","-",461.96474/3904713.17235*100)</f>
        <v>0.01183095197033314</v>
      </c>
      <c r="F27" s="50">
        <f>IF(OR(3299511.05107="",297.44295="",500.3338=""),"-",(500.3338-297.44295)/3299511.05107*100)</f>
        <v>0.006149118668179773</v>
      </c>
      <c r="G27" s="50">
        <f>IF(OR(3275429.97191="",461.96474="",500.3338=""),"-",(461.96474-500.3338)/3275429.97191*100)</f>
        <v>-0.0011714205563560212</v>
      </c>
    </row>
    <row r="28" spans="1:7" s="16" customFormat="1" ht="38.25">
      <c r="A28" s="14" t="s">
        <v>56</v>
      </c>
      <c r="B28" s="50">
        <f>IF(7383.43303="","-",7383.43303)</f>
        <v>7383.43303</v>
      </c>
      <c r="C28" s="50">
        <f>IF(OR(6359.91998="",7383.43303=""),"-",7383.43303/6359.91998*100)</f>
        <v>116.09317496475798</v>
      </c>
      <c r="D28" s="50">
        <f>IF(6359.91998="","-",6359.91998/3275429.97191*100)</f>
        <v>0.1941705374421833</v>
      </c>
      <c r="E28" s="50">
        <f>IF(7383.43303="","-",7383.43303/3904713.17235*100)</f>
        <v>0.18909027895527544</v>
      </c>
      <c r="F28" s="50">
        <f>IF(OR(3299511.05107="",9729.12675="",6359.91998=""),"-",(6359.91998-9729.12675)/3299511.05107*100)</f>
        <v>-0.10211230445515247</v>
      </c>
      <c r="G28" s="50">
        <f>IF(OR(3275429.97191="",7383.43303="",6359.91998=""),"-",(7383.43303-6359.91998)/3275429.97191*100)</f>
        <v>0.031248204320581452</v>
      </c>
    </row>
    <row r="29" spans="1:7" s="16" customFormat="1" ht="38.25">
      <c r="A29" s="14" t="s">
        <v>57</v>
      </c>
      <c r="B29" s="50">
        <f>IF(8746.06055="","-",8746.06055)</f>
        <v>8746.06055</v>
      </c>
      <c r="C29" s="50">
        <f>IF(OR(9361.83082="",8746.06055=""),"-",8746.06055/9361.83082*100)</f>
        <v>93.42254435228088</v>
      </c>
      <c r="D29" s="50">
        <f>IF(9361.83082="","-",9361.83082/3275429.97191*100)</f>
        <v>0.2858199045709055</v>
      </c>
      <c r="E29" s="50">
        <f>IF(8746.06055="","-",8746.06055/3904713.17235*100)</f>
        <v>0.22398727291757253</v>
      </c>
      <c r="F29" s="50">
        <f>IF(OR(3299511.05107="",9176.16891="",9361.83082=""),"-",(9361.83082-9176.16891)/3299511.05107*100)</f>
        <v>0.00562695220977637</v>
      </c>
      <c r="G29" s="50">
        <f>IF(OR(3275429.97191="",8746.06055="",9361.83082=""),"-",(8746.06055-9361.83082)/3275429.97191*100)</f>
        <v>-0.018799677455504423</v>
      </c>
    </row>
    <row r="30" spans="1:7" s="16" customFormat="1" ht="14.25" customHeight="1">
      <c r="A30" s="14" t="s">
        <v>58</v>
      </c>
      <c r="B30" s="50">
        <f>IF(1009.64426="","-",1009.64426)</f>
        <v>1009.64426</v>
      </c>
      <c r="C30" s="50" t="s">
        <v>215</v>
      </c>
      <c r="D30" s="50">
        <f>IF(633.68837="","-",633.68837/3275429.97191*100)</f>
        <v>0.01934672319159605</v>
      </c>
      <c r="E30" s="50">
        <f>IF(1009.64426="","-",1009.64426/3904713.17235*100)</f>
        <v>0.025857065946597018</v>
      </c>
      <c r="F30" s="50">
        <f>IF(OR(3299511.05107="",711.75116="",633.68837=""),"-",(633.68837-711.75116)/3299511.05107*100)</f>
        <v>-0.0023658896361230565</v>
      </c>
      <c r="G30" s="50">
        <f>IF(OR(3275429.97191="",1009.64426="",633.68837=""),"-",(1009.64426-633.68837)/3275429.97191*100)</f>
        <v>0.011478062215470573</v>
      </c>
    </row>
    <row r="31" spans="1:7" s="16" customFormat="1" ht="25.5">
      <c r="A31" s="14" t="s">
        <v>59</v>
      </c>
      <c r="B31" s="50">
        <f>IF(22251.8418="","-",22251.8418)</f>
        <v>22251.8418</v>
      </c>
      <c r="C31" s="50">
        <f>IF(OR(18313.51717="",22251.8418=""),"-",22251.8418/18313.51717*100)</f>
        <v>121.50501508498598</v>
      </c>
      <c r="D31" s="50">
        <f>IF(18313.51717="","-",18313.51717/3275429.97191*100)</f>
        <v>0.559117957857632</v>
      </c>
      <c r="E31" s="50">
        <f>IF(22251.8418="","-",22251.8418/3904713.17235*100)</f>
        <v>0.5698713533575124</v>
      </c>
      <c r="F31" s="50">
        <f>IF(OR(3299511.05107="",20150.16097="",18313.51717=""),"-",(18313.51717-20150.16097)/3299511.05107*100)</f>
        <v>-0.05566412027637839</v>
      </c>
      <c r="G31" s="50">
        <f>IF(OR(3275429.97191="",22251.8418="",18313.51717=""),"-",(22251.8418-18313.51717)/3275429.97191*100)</f>
        <v>0.12023840118014935</v>
      </c>
    </row>
    <row r="32" spans="1:7" s="16" customFormat="1" ht="25.5">
      <c r="A32" s="15" t="s">
        <v>60</v>
      </c>
      <c r="B32" s="28">
        <f>IF(603393.48682="","-",603393.48682)</f>
        <v>603393.48682</v>
      </c>
      <c r="C32" s="28">
        <f>IF(481235.51481="","-",603393.48682/481235.51481*100)</f>
        <v>125.38423874601816</v>
      </c>
      <c r="D32" s="28">
        <f>IF(481235.51481="","-",481235.51481/3275429.97191*100)</f>
        <v>14.692285255281382</v>
      </c>
      <c r="E32" s="28">
        <f>IF(603393.48682="","-",603393.48682/3904713.17235*100)</f>
        <v>15.452952885060583</v>
      </c>
      <c r="F32" s="28">
        <f>IF(3299511.05107="","-",(481235.51481-603154.76411)/3299511.05107*100)</f>
        <v>-3.695070191095821</v>
      </c>
      <c r="G32" s="28">
        <f>IF(3275429.97191="","-",(603393.48682-481235.51481)/3275429.97191*100)</f>
        <v>3.7295247664466493</v>
      </c>
    </row>
    <row r="33" spans="1:7" s="16" customFormat="1" ht="14.25" customHeight="1">
      <c r="A33" s="14" t="s">
        <v>61</v>
      </c>
      <c r="B33" s="50">
        <f>IF(19892.49826="","-",19892.49826)</f>
        <v>19892.49826</v>
      </c>
      <c r="C33" s="50" t="s">
        <v>269</v>
      </c>
      <c r="D33" s="50">
        <f>IF(7316.74369="","-",7316.74369/3275429.97191*100)</f>
        <v>0.22338269334860458</v>
      </c>
      <c r="E33" s="50">
        <f>IF(19892.49826="","-",19892.49826/3904713.17235*100)</f>
        <v>0.5094483866539155</v>
      </c>
      <c r="F33" s="50">
        <f>IF(OR(3299511.05107="",15922.92779="",7316.74369=""),"-",(7316.74369-15922.92779)/3299511.05107*100)</f>
        <v>-0.260832104114611</v>
      </c>
      <c r="G33" s="50">
        <f>IF(OR(3275429.97191="",19892.49826="",7316.74369=""),"-",(19892.49826-7316.74369)/3275429.97191*100)</f>
        <v>0.3839420985290279</v>
      </c>
    </row>
    <row r="34" spans="1:7" s="16" customFormat="1" ht="25.5">
      <c r="A34" s="14" t="s">
        <v>62</v>
      </c>
      <c r="B34" s="50">
        <f>IF(384927.04579="","-",384927.04579)</f>
        <v>384927.04579</v>
      </c>
      <c r="C34" s="50">
        <f>IF(OR(303110.26324="",384927.04579=""),"-",384927.04579/303110.26324*100)</f>
        <v>126.9924157880521</v>
      </c>
      <c r="D34" s="50">
        <f>IF(303110.26324="","-",303110.26324/3275429.97191*100)</f>
        <v>9.254060255889014</v>
      </c>
      <c r="E34" s="50">
        <f>IF(384927.04579="","-",384927.04579/3904713.17235*100)</f>
        <v>9.858010788493761</v>
      </c>
      <c r="F34" s="50">
        <f>IF(OR(3299511.05107="",351523.01743="",303110.26324=""),"-",(303110.26324-351523.01743)/3299511.05107*100)</f>
        <v>-1.467270557384562</v>
      </c>
      <c r="G34" s="50">
        <f>IF(OR(3275429.97191="",384927.04579="",303110.26324=""),"-",(384927.04579-303110.26324)/3275429.97191*100)</f>
        <v>2.4978944215464396</v>
      </c>
    </row>
    <row r="35" spans="1:7" s="16" customFormat="1" ht="25.5">
      <c r="A35" s="14" t="s">
        <v>63</v>
      </c>
      <c r="B35" s="50">
        <f>IF(146926.85955="","-",146926.85955)</f>
        <v>146926.85955</v>
      </c>
      <c r="C35" s="50">
        <f>IF(OR(170555.4747="",146926.85955=""),"-",146926.85955/170555.4747*100)</f>
        <v>86.14608226938375</v>
      </c>
      <c r="D35" s="50">
        <f>IF(170555.4747="","-",170555.4747/3275429.97191*100)</f>
        <v>5.207117116307758</v>
      </c>
      <c r="E35" s="50">
        <f>IF(146926.85955="","-",146926.85955/3904713.17235*100)</f>
        <v>3.762807998047498</v>
      </c>
      <c r="F35" s="50">
        <f>IF(OR(3299511.05107="",234714.88785="",170555.4747=""),"-",(170555.4747-234714.88785)/3299511.05107*100)</f>
        <v>-1.9445127522513896</v>
      </c>
      <c r="G35" s="50">
        <f>IF(OR(3275429.97191="",146926.85955="",170555.4747=""),"-",(146926.85955-170555.4747)/3275429.97191*100)</f>
        <v>-0.7213897214301136</v>
      </c>
    </row>
    <row r="36" spans="1:7" s="16" customFormat="1" ht="13.5" customHeight="1">
      <c r="A36" s="14" t="s">
        <v>64</v>
      </c>
      <c r="B36" s="50">
        <f>IF(51647.08322="","-",51647.08322)</f>
        <v>51647.08322</v>
      </c>
      <c r="C36" s="50" t="s">
        <v>287</v>
      </c>
      <c r="D36" s="50">
        <f>IF(253.03318="","-",253.03318/3275429.97191*100)</f>
        <v>0.007725189736004304</v>
      </c>
      <c r="E36" s="50">
        <f>IF(51647.08322="","-",51647.08322/3904713.17235*100)</f>
        <v>1.3226857118654092</v>
      </c>
      <c r="F36" s="50">
        <f>IF(OR(3299511.05107="",993.93104="",253.03318=""),"-",(253.03318-993.93104)/3299511.05107*100)</f>
        <v>-0.0224547773452595</v>
      </c>
      <c r="G36" s="50">
        <f>IF(OR(3275429.97191="",51647.08322="",253.03318=""),"-",(51647.08322-253.03318)/3275429.97191*100)</f>
        <v>1.5690779678012963</v>
      </c>
    </row>
    <row r="37" spans="1:7" s="16" customFormat="1" ht="25.5">
      <c r="A37" s="15" t="s">
        <v>65</v>
      </c>
      <c r="B37" s="28">
        <f>IF(13094.95507="","-",13094.95507)</f>
        <v>13094.95507</v>
      </c>
      <c r="C37" s="28" t="s">
        <v>215</v>
      </c>
      <c r="D37" s="28">
        <f>IF(8252.45346="","-",8252.45346/3275429.97191*100)</f>
        <v>0.25195023342806355</v>
      </c>
      <c r="E37" s="28">
        <f>IF(13094.95507="","-",13094.95507/3904713.17235*100)</f>
        <v>0.3353627908633037</v>
      </c>
      <c r="F37" s="28">
        <f>IF(3299511.05107="","-",(8252.45346-7435.24149)/3299511.05107*100)</f>
        <v>0.024767668825809396</v>
      </c>
      <c r="G37" s="28">
        <f>IF(3275429.97191="","-",(13094.95507-8252.45346)/3275429.97191*100)</f>
        <v>0.14784323437011826</v>
      </c>
    </row>
    <row r="38" spans="1:7" s="16" customFormat="1" ht="15" customHeight="1">
      <c r="A38" s="14" t="s">
        <v>66</v>
      </c>
      <c r="B38" s="50">
        <f>IF(1055.03996="","-",1055.03996)</f>
        <v>1055.03996</v>
      </c>
      <c r="C38" s="50">
        <f>IF(OR(763.80154="",1055.03996=""),"-",1055.03996/763.80154*100)</f>
        <v>138.1301168887405</v>
      </c>
      <c r="D38" s="50">
        <f>IF(763.80154="","-",763.80154/3275429.97191*100)</f>
        <v>0.02331912288005977</v>
      </c>
      <c r="E38" s="50">
        <f>IF(1055.03996="","-",1055.03996/3904713.17235*100)</f>
        <v>0.027019653260857524</v>
      </c>
      <c r="F38" s="50">
        <f>IF(OR(3299511.05107="",604.90288="",763.80154=""),"-",(763.80154-604.90288)/3299511.05107*100)</f>
        <v>0.004815824452185749</v>
      </c>
      <c r="G38" s="50">
        <f>IF(OR(3275429.97191="",1055.03996="",763.80154=""),"-",(1055.03996-763.80154)/3275429.97191*100)</f>
        <v>0.008891608811595819</v>
      </c>
    </row>
    <row r="39" spans="1:7" s="16" customFormat="1" ht="25.5">
      <c r="A39" s="14" t="s">
        <v>111</v>
      </c>
      <c r="B39" s="50">
        <f>IF(10143.7327="","-",10143.7327)</f>
        <v>10143.7327</v>
      </c>
      <c r="C39" s="50" t="s">
        <v>214</v>
      </c>
      <c r="D39" s="50">
        <f>IF(5984.74815="","-",5984.74815/3275429.97191*100)</f>
        <v>0.18271641284732207</v>
      </c>
      <c r="E39" s="50">
        <f>IF(10143.7327="","-",10143.7327/3904713.17235*100)</f>
        <v>0.2597817625076704</v>
      </c>
      <c r="F39" s="50">
        <f>IF(OR(3299511.05107="",5201.74732="",5984.74815=""),"-",(5984.74815-5201.74732)/3299511.05107*100)</f>
        <v>0.02373081398669904</v>
      </c>
      <c r="G39" s="50">
        <f>IF(OR(3275429.97191="",10143.7327="",5984.74815=""),"-",(10143.7327-5984.74815)/3275429.97191*100)</f>
        <v>0.12697522418941454</v>
      </c>
    </row>
    <row r="40" spans="1:7" s="16" customFormat="1" ht="25.5">
      <c r="A40" s="14" t="s">
        <v>112</v>
      </c>
      <c r="B40" s="50">
        <f>IF(1896.18241="","-",1896.18241)</f>
        <v>1896.18241</v>
      </c>
      <c r="C40" s="50">
        <f>IF(OR(1503.90377="",1896.18241=""),"-",1896.18241/1503.90377*100)</f>
        <v>126.08402530967791</v>
      </c>
      <c r="D40" s="50">
        <f>IF(1503.90377="","-",1503.90377/3275429.97191*100)</f>
        <v>0.0459146977006817</v>
      </c>
      <c r="E40" s="50">
        <f>IF(1896.18241="","-",1896.18241/3904713.17235*100)</f>
        <v>0.04856137509477572</v>
      </c>
      <c r="F40" s="50">
        <f>IF(OR(3299511.05107="",1628.59129="",1503.90377=""),"-",(1503.90377-1628.59129)/3299511.05107*100)</f>
        <v>-0.003778969613075404</v>
      </c>
      <c r="G40" s="50">
        <f>IF(OR(3275429.97191="",1896.18241="",1503.90377=""),"-",(1896.18241-1503.90377)/3275429.97191*100)</f>
        <v>0.011976401369107909</v>
      </c>
    </row>
    <row r="41" spans="1:7" s="16" customFormat="1" ht="25.5">
      <c r="A41" s="15" t="s">
        <v>69</v>
      </c>
      <c r="B41" s="28">
        <f>IF(600147.08556="","-",600147.08556)</f>
        <v>600147.08556</v>
      </c>
      <c r="C41" s="28">
        <f>IF(520978.24514="","-",600147.08556/520978.24514*100)</f>
        <v>115.19618931472375</v>
      </c>
      <c r="D41" s="28">
        <f>IF(520978.24514="","-",520978.24514/3275429.97191*100)</f>
        <v>15.905644437765288</v>
      </c>
      <c r="E41" s="28">
        <f>IF(600147.08556="","-",600147.08556/3904713.17235*100)</f>
        <v>15.369812302981769</v>
      </c>
      <c r="F41" s="28">
        <f>IF(3299511.05107="","-",(520978.24514-514933.47387)/3299511.05107*100)</f>
        <v>0.18320203134460677</v>
      </c>
      <c r="G41" s="28">
        <f>IF(3275429.97191="","-",(600147.08556-520978.24514)/3275429.97191*100)</f>
        <v>2.417051840489642</v>
      </c>
    </row>
    <row r="42" spans="1:7" s="16" customFormat="1" ht="14.25" customHeight="1">
      <c r="A42" s="14" t="s">
        <v>70</v>
      </c>
      <c r="B42" s="50">
        <f>IF(17676.43782="","-",17676.43782)</f>
        <v>17676.43782</v>
      </c>
      <c r="C42" s="50">
        <f>IF(OR(14374.24076="",17676.43782=""),"-",17676.43782/14374.24076*100)</f>
        <v>122.97301899373501</v>
      </c>
      <c r="D42" s="50">
        <f>IF(14374.24076="","-",14374.24076/3275429.97191*100)</f>
        <v>0.4388504985077717</v>
      </c>
      <c r="E42" s="50">
        <f>IF(17676.43782="","-",17676.43782/3904713.17235*100)</f>
        <v>0.4526949109903934</v>
      </c>
      <c r="F42" s="50">
        <f>IF(OR(3299511.05107="",15826.999="",14374.24076=""),"-",(14374.24076-15826.999)/3299511.05107*100)</f>
        <v>-0.04402950065976847</v>
      </c>
      <c r="G42" s="50">
        <f>IF(OR(3275429.97191="",17676.43782="",14374.24076=""),"-",(17676.43782-14374.24076)/3275429.97191*100)</f>
        <v>0.10081720837629111</v>
      </c>
    </row>
    <row r="43" spans="1:7" s="16" customFormat="1" ht="14.25" customHeight="1">
      <c r="A43" s="14" t="s">
        <v>71</v>
      </c>
      <c r="B43" s="50">
        <f>IF(11037.73026="","-",11037.73026)</f>
        <v>11037.73026</v>
      </c>
      <c r="C43" s="50">
        <f>IF(OR(11075.53763="",11037.73026=""),"-",11037.73026/11075.53763*100)</f>
        <v>99.65864076974835</v>
      </c>
      <c r="D43" s="50">
        <f>IF(11075.53763="","-",11075.53763/3275429.97191*100)</f>
        <v>0.33813996101224925</v>
      </c>
      <c r="E43" s="50">
        <f>IF(11037.73026="","-",11037.73026/3904713.17235*100)</f>
        <v>0.2826771077107589</v>
      </c>
      <c r="F43" s="50">
        <f>IF(OR(3299511.05107="",10394.78384="",11075.53763=""),"-",(11075.53763-10394.78384)/3299511.05107*100)</f>
        <v>0.02063195968927695</v>
      </c>
      <c r="G43" s="50">
        <f>IF(OR(3275429.97191="",11037.73026="",11075.53763=""),"-",(11037.73026-11075.53763)/3275429.97191*100)</f>
        <v>-0.001154271968084662</v>
      </c>
    </row>
    <row r="44" spans="1:7" s="16" customFormat="1" ht="15" customHeight="1">
      <c r="A44" s="14" t="s">
        <v>72</v>
      </c>
      <c r="B44" s="50">
        <f>IF(28095.43986="","-",28095.43986)</f>
        <v>28095.43986</v>
      </c>
      <c r="C44" s="50">
        <f>IF(OR(25180.39281="",28095.43986=""),"-",28095.43986/25180.39281*100)</f>
        <v>111.57665439135775</v>
      </c>
      <c r="D44" s="50">
        <f>IF(25180.39281="","-",25180.39281/3275429.97191*100)</f>
        <v>0.768766025405714</v>
      </c>
      <c r="E44" s="50">
        <f>IF(28095.43986="","-",28095.43986/3904713.17235*100)</f>
        <v>0.7195263421382403</v>
      </c>
      <c r="F44" s="50">
        <f>IF(OR(3299511.05107="",24225.5581="",25180.39281=""),"-",(25180.39281-24225.5581)/3299511.05107*100)</f>
        <v>0.028938672888831785</v>
      </c>
      <c r="G44" s="50">
        <f>IF(OR(3275429.97191="",28095.43986="",25180.39281=""),"-",(28095.43986-25180.39281)/3275429.97191*100)</f>
        <v>0.08899738583939706</v>
      </c>
    </row>
    <row r="45" spans="1:7" s="16" customFormat="1" ht="15" customHeight="1">
      <c r="A45" s="14" t="s">
        <v>73</v>
      </c>
      <c r="B45" s="50">
        <f>IF(178215.36331="","-",178215.36331)</f>
        <v>178215.36331</v>
      </c>
      <c r="C45" s="50">
        <f>IF(OR(142240.28096="",178215.36331=""),"-",178215.36331/142240.28096*100)</f>
        <v>125.29176834241258</v>
      </c>
      <c r="D45" s="50">
        <f>IF(142240.28096="","-",142240.28096/3275429.97191*100)</f>
        <v>4.3426445437652115</v>
      </c>
      <c r="E45" s="50">
        <f>IF(178215.36331="","-",178215.36331/3904713.17235*100)</f>
        <v>4.5641089484363695</v>
      </c>
      <c r="F45" s="50">
        <f>IF(OR(3299511.05107="",144776.60758="",142240.28096=""),"-",(142240.28096-144776.60758)/3299511.05107*100)</f>
        <v>-0.07686977193719355</v>
      </c>
      <c r="G45" s="50">
        <f>IF(OR(3275429.97191="",178215.36331="",142240.28096=""),"-",(178215.36331-142240.28096)/3275429.97191*100)</f>
        <v>1.0983315979435166</v>
      </c>
    </row>
    <row r="46" spans="1:7" s="16" customFormat="1" ht="38.25">
      <c r="A46" s="14" t="s">
        <v>74</v>
      </c>
      <c r="B46" s="50">
        <f>IF(91166.40737="","-",91166.40737)</f>
        <v>91166.40737</v>
      </c>
      <c r="C46" s="50">
        <f>IF(OR(91506.69054="",91166.40737=""),"-",91166.40737/91506.69054*100)</f>
        <v>99.62813301629431</v>
      </c>
      <c r="D46" s="50">
        <f>IF(91506.69054="","-",91506.69054/3275429.97191*100)</f>
        <v>2.7937306345963413</v>
      </c>
      <c r="E46" s="50">
        <f>IF(91166.40737="","-",91166.40737/3904713.17235*100)</f>
        <v>2.334778595661425</v>
      </c>
      <c r="F46" s="50">
        <f>IF(OR(3299511.05107="",91472.05828="",91506.69054=""),"-",(91506.69054-91472.05828)/3299511.05107*100)</f>
        <v>0.0010496179422938312</v>
      </c>
      <c r="G46" s="50">
        <f>IF(OR(3275429.97191="",91166.40737="",91506.69054=""),"-",(91166.40737-91506.69054)/3275429.97191*100)</f>
        <v>-0.01038896184373516</v>
      </c>
    </row>
    <row r="47" spans="1:7" s="16" customFormat="1" ht="15.75">
      <c r="A47" s="14" t="s">
        <v>75</v>
      </c>
      <c r="B47" s="50">
        <f>IF(55805.56446="","-",55805.56446)</f>
        <v>55805.56446</v>
      </c>
      <c r="C47" s="50">
        <f>IF(OR(44580.87871="",55805.56446=""),"-",55805.56446/44580.87871*100)</f>
        <v>125.17825147193022</v>
      </c>
      <c r="D47" s="50">
        <f>IF(44580.87871="","-",44580.87871/3275429.97191*100)</f>
        <v>1.3610695112496505</v>
      </c>
      <c r="E47" s="50">
        <f>IF(55805.56446="","-",55805.56446/3904713.17235*100)</f>
        <v>1.4291847312926742</v>
      </c>
      <c r="F47" s="50">
        <f>IF(OR(3299511.05107="",40732.64814="",44580.87871=""),"-",(44580.87871-40732.64814)/3299511.05107*100)</f>
        <v>0.1166303282649123</v>
      </c>
      <c r="G47" s="50">
        <f>IF(OR(3275429.97191="",55805.56446="",44580.87871=""),"-",(55805.56446-44580.87871)/3275429.97191*100)</f>
        <v>0.34269350425020867</v>
      </c>
    </row>
    <row r="48" spans="1:7" s="16" customFormat="1" ht="14.25" customHeight="1">
      <c r="A48" s="14" t="s">
        <v>76</v>
      </c>
      <c r="B48" s="50">
        <f>IF(43175.67475="","-",43175.67475)</f>
        <v>43175.67475</v>
      </c>
      <c r="C48" s="50">
        <f>IF(OR(38205.70825="",43175.67475=""),"-",43175.67475/38205.70825*100)</f>
        <v>113.00843964854386</v>
      </c>
      <c r="D48" s="50">
        <f>IF(38205.70825="","-",38205.70825/3275429.97191*100)</f>
        <v>1.16643337142455</v>
      </c>
      <c r="E48" s="50">
        <f>IF(43175.67475="","-",43175.67475/3904713.17235*100)</f>
        <v>1.1057322995126755</v>
      </c>
      <c r="F48" s="50">
        <f>IF(OR(3299511.05107="",42143.67881="",38205.70825=""),"-",(38205.70825-42143.67881)/3299511.05107*100)</f>
        <v>-0.11935012488359291</v>
      </c>
      <c r="G48" s="50">
        <f>IF(OR(3275429.97191="",43175.67475="",38205.70825=""),"-",(43175.67475-38205.70825)/3275429.97191*100)</f>
        <v>0.1517347811622381</v>
      </c>
    </row>
    <row r="49" spans="1:7" s="16" customFormat="1" ht="13.5" customHeight="1">
      <c r="A49" s="14" t="s">
        <v>77</v>
      </c>
      <c r="B49" s="50">
        <f>IF(81432.19033="","-",81432.19033)</f>
        <v>81432.19033</v>
      </c>
      <c r="C49" s="50">
        <f>IF(OR(71332.63785="",81432.19033=""),"-",81432.19033/71332.63785*100)</f>
        <v>114.1583891811734</v>
      </c>
      <c r="D49" s="50">
        <f>IF(71332.63785="","-",71332.63785/3275429.97191*100)</f>
        <v>2.177809889441899</v>
      </c>
      <c r="E49" s="50">
        <f>IF(81432.19033="","-",81432.19033/3904713.17235*100)</f>
        <v>2.085484560213961</v>
      </c>
      <c r="F49" s="50">
        <f>IF(OR(3299511.05107="",70853.37609="",71332.63785=""),"-",(71332.63785-70853.37609)/3299511.05107*100)</f>
        <v>0.014525235787422926</v>
      </c>
      <c r="G49" s="50">
        <f>IF(OR(3275429.97191="",81432.19033="",71332.63785=""),"-",(81432.19033-71332.63785)/3275429.97191*100)</f>
        <v>0.3083427997732661</v>
      </c>
    </row>
    <row r="50" spans="1:7" s="16" customFormat="1" ht="16.5" customHeight="1">
      <c r="A50" s="14" t="s">
        <v>78</v>
      </c>
      <c r="B50" s="50">
        <f>IF(93542.2774="","-",93542.2774)</f>
        <v>93542.2774</v>
      </c>
      <c r="C50" s="50">
        <f>IF(OR(82481.87763="",93542.2774=""),"-",93542.2774/82481.87763*100)</f>
        <v>113.40949077276723</v>
      </c>
      <c r="D50" s="50">
        <f>IF(82481.87763="","-",82481.87763/3275429.97191*100)</f>
        <v>2.5182000023619002</v>
      </c>
      <c r="E50" s="50">
        <f>IF(93542.2774="","-",93542.2774/3904713.17235*100)</f>
        <v>2.3956248070252704</v>
      </c>
      <c r="F50" s="50">
        <f>IF(OR(3299511.05107="",74507.76403="",82481.87763=""),"-",(82481.87763-74507.76403)/3299511.05107*100)</f>
        <v>0.2416756142524229</v>
      </c>
      <c r="G50" s="50">
        <f>IF(OR(3275429.97191="",93542.2774="",82481.87763=""),"-",(93542.2774-82481.87763)/3275429.97191*100)</f>
        <v>0.33767779695654304</v>
      </c>
    </row>
    <row r="51" spans="1:7" s="16" customFormat="1" ht="25.5">
      <c r="A51" s="15" t="s">
        <v>79</v>
      </c>
      <c r="B51" s="28">
        <f>IF(816057.51439="","-",816057.51439)</f>
        <v>816057.51439</v>
      </c>
      <c r="C51" s="28">
        <f>IF(719086.42194="","-",816057.51439/719086.42194*100)</f>
        <v>113.4853182442779</v>
      </c>
      <c r="D51" s="28">
        <f>IF(719086.42194="","-",719086.42194/3275429.97191*100)</f>
        <v>21.953954995431623</v>
      </c>
      <c r="E51" s="28">
        <f>IF(816057.51439="","-",816057.51439/3904713.17235*100)</f>
        <v>20.899294733571086</v>
      </c>
      <c r="F51" s="28">
        <f>IF(3299511.05107="","-",(719086.42194-675781.33608)/3299511.05107*100)</f>
        <v>1.312469792939671</v>
      </c>
      <c r="G51" s="28">
        <f>IF(3275429.97191="","-",(816057.51439-719086.42194)/3275429.97191*100)</f>
        <v>2.9605606983395005</v>
      </c>
    </row>
    <row r="52" spans="1:7" s="16" customFormat="1" ht="15.75">
      <c r="A52" s="14" t="s">
        <v>80</v>
      </c>
      <c r="B52" s="50">
        <f>IF(36488.17656="","-",36488.17656)</f>
        <v>36488.17656</v>
      </c>
      <c r="C52" s="50">
        <f>IF(OR(32989.4331="",36488.17656=""),"-",36488.17656/32989.4331*100)</f>
        <v>110.60564893429465</v>
      </c>
      <c r="D52" s="50">
        <f>IF(32989.4331="","-",32989.4331/3275429.97191*100)</f>
        <v>1.0071787027326642</v>
      </c>
      <c r="E52" s="50">
        <f>IF(36488.17656="","-",36488.17656/3904713.17235*100)</f>
        <v>0.9344649645044241</v>
      </c>
      <c r="F52" s="50">
        <f>IF(OR(3299511.05107="",26144.1069="",32989.4331=""),"-",(32989.4331-26144.1069)/3299511.05107*100)</f>
        <v>0.20746486658319052</v>
      </c>
      <c r="G52" s="50">
        <f>IF(OR(3275429.97191="",36488.17656="",32989.4331=""),"-",(36488.17656-32989.4331)/3275429.97191*100)</f>
        <v>0.1068178373528095</v>
      </c>
    </row>
    <row r="53" spans="1:7" s="16" customFormat="1" ht="15" customHeight="1">
      <c r="A53" s="14" t="s">
        <v>81</v>
      </c>
      <c r="B53" s="50">
        <f>IF(47496.22791="","-",47496.22791)</f>
        <v>47496.22791</v>
      </c>
      <c r="C53" s="50">
        <f>IF(OR(50552.09869="",47496.22791=""),"-",47496.22791/50552.09869*100)</f>
        <v>93.955007093297</v>
      </c>
      <c r="D53" s="50">
        <f>IF(50552.09869="","-",50552.09869/3275429.97191*100)</f>
        <v>1.543372904428837</v>
      </c>
      <c r="E53" s="50">
        <f>IF(47496.22791="","-",47496.22791/3904713.17235*100)</f>
        <v>1.2163819930828625</v>
      </c>
      <c r="F53" s="50">
        <f>IF(OR(3299511.05107="",44146.5574="",50552.09869=""),"-",(50552.09869-44146.5574)/3299511.05107*100)</f>
        <v>0.19413607625053247</v>
      </c>
      <c r="G53" s="50">
        <f>IF(OR(3275429.97191="",47496.22791="",50552.09869=""),"-",(47496.22791-50552.09869)/3275429.97191*100)</f>
        <v>-0.09329678259669918</v>
      </c>
    </row>
    <row r="54" spans="1:7" s="16" customFormat="1" ht="13.5" customHeight="1">
      <c r="A54" s="14" t="s">
        <v>82</v>
      </c>
      <c r="B54" s="50">
        <f>IF(57969.76825="","-",57969.76825)</f>
        <v>57969.76825</v>
      </c>
      <c r="C54" s="50">
        <f>IF(OR(47988.83183="",57969.76825=""),"-",57969.76825/47988.83183*100)</f>
        <v>120.7984567229254</v>
      </c>
      <c r="D54" s="50">
        <f>IF(47988.83183="","-",47988.83183/3275429.97191*100)</f>
        <v>1.4651154883954456</v>
      </c>
      <c r="E54" s="50">
        <f>IF(57969.76825="","-",57969.76825/3904713.17235*100)</f>
        <v>1.484610154223227</v>
      </c>
      <c r="F54" s="50">
        <f>IF(OR(3299511.05107="",47565.59443="",47988.83183=""),"-",(47988.83183-47565.59443)/3299511.05107*100)</f>
        <v>0.012827276328192735</v>
      </c>
      <c r="G54" s="50">
        <f>IF(OR(3275429.97191="",57969.76825="",47988.83183=""),"-",(57969.76825-47988.83183)/3275429.97191*100)</f>
        <v>0.30472141079480386</v>
      </c>
    </row>
    <row r="55" spans="1:7" s="16" customFormat="1" ht="25.5">
      <c r="A55" s="14" t="s">
        <v>83</v>
      </c>
      <c r="B55" s="50">
        <f>IF(71825.14446="","-",71825.14446)</f>
        <v>71825.14446</v>
      </c>
      <c r="C55" s="50">
        <f>IF(OR(66569.03235="",71825.14446=""),"-",71825.14446/66569.03235*100)</f>
        <v>107.89573158036147</v>
      </c>
      <c r="D55" s="50">
        <f>IF(66569.03235="","-",66569.03235/3275429.97191*100)</f>
        <v>2.032375380359044</v>
      </c>
      <c r="E55" s="50">
        <f>IF(71825.14446="","-",71825.14446/3904713.17235*100)</f>
        <v>1.8394473880593125</v>
      </c>
      <c r="F55" s="50">
        <f>IF(OR(3299511.05107="",64920.61156="",66569.03235=""),"-",(66569.03235-64920.61156)/3299511.05107*100)</f>
        <v>0.04995954747493358</v>
      </c>
      <c r="G55" s="50">
        <f>IF(OR(3275429.97191="",71825.14446="",66569.03235=""),"-",(71825.14446-66569.03235)/3275429.97191*100)</f>
        <v>0.1604709047385009</v>
      </c>
    </row>
    <row r="56" spans="1:7" s="16" customFormat="1" ht="25.5">
      <c r="A56" s="14" t="s">
        <v>84</v>
      </c>
      <c r="B56" s="50">
        <f>IF(228273.43791="","-",228273.43791)</f>
        <v>228273.43791</v>
      </c>
      <c r="C56" s="50">
        <f>IF(OR(209027.41422="",228273.43791=""),"-",228273.43791/209027.41422*100)</f>
        <v>109.207416052013</v>
      </c>
      <c r="D56" s="50">
        <f>IF(209027.41422="","-",209027.41422/3275429.97191*100)</f>
        <v>6.3816786196808835</v>
      </c>
      <c r="E56" s="50">
        <f>IF(228273.43791="","-",228273.43791/3904713.17235*100)</f>
        <v>5.846100029227413</v>
      </c>
      <c r="F56" s="50">
        <f>IF(OR(3299511.05107="",169226.38052="",209027.41422=""),"-",(209027.41422-169226.38052)/3299511.05107*100)</f>
        <v>1.2062706590145502</v>
      </c>
      <c r="G56" s="50">
        <f>IF(OR(3275429.97191="",228273.43791="",209027.41422=""),"-",(228273.43791-209027.41422)/3275429.97191*100)</f>
        <v>0.5875877016163797</v>
      </c>
    </row>
    <row r="57" spans="1:7" s="16" customFormat="1" ht="13.5" customHeight="1">
      <c r="A57" s="14" t="s">
        <v>85</v>
      </c>
      <c r="B57" s="50">
        <f>IF(97253.55638="","-",97253.55638)</f>
        <v>97253.55638</v>
      </c>
      <c r="C57" s="50">
        <f>IF(OR(85631.00178="",97253.55638=""),"-",97253.55638/85631.00178*100)</f>
        <v>113.57283502283464</v>
      </c>
      <c r="D57" s="50">
        <f>IF(85631.00178="","-",85631.00178/3275429.97191*100)</f>
        <v>2.614343842315946</v>
      </c>
      <c r="E57" s="50">
        <f>IF(97253.55638="","-",97253.55638/3904713.17235*100)</f>
        <v>2.490670942712784</v>
      </c>
      <c r="F57" s="50">
        <f>IF(OR(3299511.05107="",84447.32637="",85631.00178=""),"-",(85631.00178-84447.32637)/3299511.05107*100)</f>
        <v>0.035874267177136925</v>
      </c>
      <c r="G57" s="50">
        <f>IF(OR(3275429.97191="",97253.55638="",85631.00178=""),"-",(97253.55638-85631.00178)/3275429.97191*100)</f>
        <v>0.3548405766471794</v>
      </c>
    </row>
    <row r="58" spans="1:7" s="16" customFormat="1" ht="14.25" customHeight="1">
      <c r="A58" s="14" t="s">
        <v>86</v>
      </c>
      <c r="B58" s="50">
        <f>IF(93918.33416="","-",93918.33416)</f>
        <v>93918.33416</v>
      </c>
      <c r="C58" s="50">
        <f>IF(OR(79911.87469="",93918.33416=""),"-",93918.33416/79911.87469*100)</f>
        <v>117.52738191205611</v>
      </c>
      <c r="D58" s="50">
        <f>IF(79911.87469="","-",79911.87469/3275429.97191*100)</f>
        <v>2.439736931496692</v>
      </c>
      <c r="E58" s="50">
        <f>IF(93918.33416="","-",93918.33416/3904713.17235*100)</f>
        <v>2.405255649123044</v>
      </c>
      <c r="F58" s="50">
        <f>IF(OR(3299511.05107="",89340.99694="",79911.87469=""),"-",(79911.87469-89340.99694)/3299511.05107*100)</f>
        <v>-0.2857733192602045</v>
      </c>
      <c r="G58" s="50">
        <f>IF(OR(3275429.97191="",93918.33416="",79911.87469=""),"-",(93918.33416-79911.87469)/3275429.97191*100)</f>
        <v>0.4276220096329039</v>
      </c>
    </row>
    <row r="59" spans="1:7" s="16" customFormat="1" ht="14.25" customHeight="1">
      <c r="A59" s="14" t="s">
        <v>87</v>
      </c>
      <c r="B59" s="50">
        <f>IF(68457.21795="","-",68457.21795)</f>
        <v>68457.21795</v>
      </c>
      <c r="C59" s="50">
        <f>IF(OR(44736.9558="",68457.21795=""),"-",68457.21795/44736.9558*100)</f>
        <v>153.02162770315275</v>
      </c>
      <c r="D59" s="50">
        <f>IF(44736.9558="","-",44736.9558/3275429.97191*100)</f>
        <v>1.3658345983172573</v>
      </c>
      <c r="E59" s="50">
        <f>IF(68457.21795="","-",68457.21795/3904713.17235*100)</f>
        <v>1.7531945351263771</v>
      </c>
      <c r="F59" s="50">
        <f>IF(OR(3299511.05107="",56822.17326="",44736.9558=""),"-",(44736.9558-56822.17326)/3299511.05107*100)</f>
        <v>-0.3662729802369014</v>
      </c>
      <c r="G59" s="50">
        <f>IF(OR(3275429.97191="",68457.21795="",44736.9558=""),"-",(68457.21795-44736.9558)/3275429.97191*100)</f>
        <v>0.724187735760628</v>
      </c>
    </row>
    <row r="60" spans="1:7" s="16" customFormat="1" ht="15" customHeight="1">
      <c r="A60" s="14" t="s">
        <v>88</v>
      </c>
      <c r="B60" s="50">
        <f>IF(114375.65081="","-",114375.65081)</f>
        <v>114375.65081</v>
      </c>
      <c r="C60" s="50">
        <f>IF(OR(101679.77948="",114375.65081=""),"-",114375.65081/101679.77948*100)</f>
        <v>112.48613184934891</v>
      </c>
      <c r="D60" s="50">
        <f>IF(101679.77948="","-",101679.77948/3275429.97191*100)</f>
        <v>3.1043185277048533</v>
      </c>
      <c r="E60" s="50">
        <f>IF(114375.65081="","-",114375.65081/3904713.17235*100)</f>
        <v>2.9291690775116406</v>
      </c>
      <c r="F60" s="50">
        <f>IF(OR(3299511.05107="",93167.5887="",101679.77948=""),"-",(101679.77948-93167.5887)/3299511.05107*100)</f>
        <v>0.2579833996082414</v>
      </c>
      <c r="G60" s="50">
        <f>IF(OR(3275429.97191="",114375.65081="",101679.77948=""),"-",(114375.65081-101679.77948)/3275429.97191*100)</f>
        <v>0.3876093043929946</v>
      </c>
    </row>
    <row r="61" spans="1:7" s="16" customFormat="1" ht="15" customHeight="1">
      <c r="A61" s="15" t="s">
        <v>89</v>
      </c>
      <c r="B61" s="28">
        <f>IF(863546.93079="","-",863546.93079)</f>
        <v>863546.93079</v>
      </c>
      <c r="C61" s="28">
        <f>IF(699136.60996="","-",863546.93079/699136.60996*100)</f>
        <v>123.51619390084672</v>
      </c>
      <c r="D61" s="28">
        <f>IF(699136.60996="","-",699136.60996/3275429.97191*100)</f>
        <v>21.344880396032796</v>
      </c>
      <c r="E61" s="28">
        <f>IF(863546.93079="","-",863546.93079/3904713.17235*100)</f>
        <v>22.115502283367093</v>
      </c>
      <c r="F61" s="28">
        <f>IF(3299511.05107="","-",(699136.60996-682498.0638)/3299511.05107*100)</f>
        <v>0.5042730847834046</v>
      </c>
      <c r="G61" s="28">
        <f>IF(3275429.97191="","-",(863546.93079-699136.60996)/3275429.97191*100)</f>
        <v>5.019503461834889</v>
      </c>
    </row>
    <row r="62" spans="1:7" s="16" customFormat="1" ht="25.5">
      <c r="A62" s="14" t="s">
        <v>113</v>
      </c>
      <c r="B62" s="50">
        <f>IF(13726.64847="","-",13726.64847)</f>
        <v>13726.64847</v>
      </c>
      <c r="C62" s="50">
        <f>IF(OR(9731.83401="",13726.64847=""),"-",13726.64847/9731.83401*100)</f>
        <v>141.04893749621198</v>
      </c>
      <c r="D62" s="50">
        <f>IF(9731.83401="","-",9731.83401/3275429.97191*100)</f>
        <v>0.29711622881453575</v>
      </c>
      <c r="E62" s="50">
        <f>IF(13726.64847="","-",13726.64847/3904713.17235*100)</f>
        <v>0.3515405066677099</v>
      </c>
      <c r="F62" s="50">
        <f>IF(OR(3299511.05107="",11473.83357="",9731.83401=""),"-",(9731.83401-11473.83357)/3299511.05107*100)</f>
        <v>-0.05279568799853197</v>
      </c>
      <c r="G62" s="50">
        <f>IF(OR(3275429.97191="",13726.64847="",9731.83401=""),"-",(13726.64847-9731.83401)/3275429.97191*100)</f>
        <v>0.12196305505718094</v>
      </c>
    </row>
    <row r="63" spans="1:7" s="16" customFormat="1" ht="25.5">
      <c r="A63" s="14" t="s">
        <v>91</v>
      </c>
      <c r="B63" s="50">
        <f>IF(132031.40266="","-",132031.40266)</f>
        <v>132031.40266</v>
      </c>
      <c r="C63" s="50">
        <f>IF(OR(107703.44="",132031.40266=""),"-",132031.40266/107703.44*100)</f>
        <v>122.58791609627325</v>
      </c>
      <c r="D63" s="50">
        <f>IF(107703.44="","-",107703.44/3275429.97191*100)</f>
        <v>3.2882229485491012</v>
      </c>
      <c r="E63" s="50">
        <f>IF(132031.40266="","-",132031.40266/3904713.17235*100)</f>
        <v>3.381334219244038</v>
      </c>
      <c r="F63" s="50">
        <f>IF(OR(3299511.05107="",100887.71195="",107703.44=""),"-",(107703.44-100887.71195)/3299511.05107*100)</f>
        <v>0.2065678200347209</v>
      </c>
      <c r="G63" s="50">
        <f>IF(OR(3275429.97191="",132031.40266="",107703.44=""),"-",(132031.40266-107703.44)/3275429.97191*100)</f>
        <v>0.7427410406766729</v>
      </c>
    </row>
    <row r="64" spans="1:7" s="16" customFormat="1" ht="25.5">
      <c r="A64" s="14" t="s">
        <v>92</v>
      </c>
      <c r="B64" s="50">
        <f>IF(7967.07879="","-",7967.07879)</f>
        <v>7967.07879</v>
      </c>
      <c r="C64" s="50">
        <f>IF(OR(5683.46651="",7967.07879=""),"-",7967.07879/5683.46651*100)</f>
        <v>140.17991970185815</v>
      </c>
      <c r="D64" s="50">
        <f>IF(5683.46651="","-",5683.46651/3275429.97191*100)</f>
        <v>0.17351818108588055</v>
      </c>
      <c r="E64" s="50">
        <f>IF(7967.07879="","-",7967.07879/3904713.17235*100)</f>
        <v>0.20403749106122226</v>
      </c>
      <c r="F64" s="50">
        <f>IF(OR(3299511.05107="",7154.23629="",5683.46651=""),"-",(5683.46651-7154.23629)/3299511.05107*100)</f>
        <v>-0.04457538578399496</v>
      </c>
      <c r="G64" s="50">
        <f>IF(OR(3275429.97191="",7967.07879="",5683.46651=""),"-",(7967.07879-5683.46651)/3275429.97191*100)</f>
        <v>0.06971946582843161</v>
      </c>
    </row>
    <row r="65" spans="1:7" s="16" customFormat="1" ht="38.25">
      <c r="A65" s="14" t="s">
        <v>93</v>
      </c>
      <c r="B65" s="50">
        <f>IF(123618.17401="","-",123618.17401)</f>
        <v>123618.17401</v>
      </c>
      <c r="C65" s="50">
        <f>IF(OR(95576.48665="",123618.17401=""),"-",123618.17401/95576.48665*100)</f>
        <v>129.33952517284752</v>
      </c>
      <c r="D65" s="50">
        <f>IF(95576.48665="","-",95576.48665/3275429.97191*100)</f>
        <v>2.917982905134941</v>
      </c>
      <c r="E65" s="50">
        <f>IF(123618.17401="","-",123618.17401/3904713.17235*100)</f>
        <v>3.16587079648675</v>
      </c>
      <c r="F65" s="50">
        <f>IF(OR(3299511.05107="",111952.07546="",95576.48665=""),"-",(95576.48665-111952.07546)/3299511.05107*100)</f>
        <v>-0.496303499413634</v>
      </c>
      <c r="G65" s="50">
        <f>IF(OR(3275429.97191="",123618.17401="",95576.48665=""),"-",(123618.17401-95576.48665)/3275429.97191*100)</f>
        <v>0.8561223289914534</v>
      </c>
    </row>
    <row r="66" spans="1:7" s="16" customFormat="1" ht="25.5">
      <c r="A66" s="14" t="s">
        <v>94</v>
      </c>
      <c r="B66" s="50">
        <f>IF(35282.49523="","-",35282.49523)</f>
        <v>35282.49523</v>
      </c>
      <c r="C66" s="50">
        <f>IF(OR(26593.50695="",35282.49523=""),"-",35282.49523/26593.50695*100)</f>
        <v>132.6733450249216</v>
      </c>
      <c r="D66" s="50">
        <f>IF(26593.50695="","-",26593.50695/3275429.97191*100)</f>
        <v>0.8119088845759246</v>
      </c>
      <c r="E66" s="50">
        <f>IF(35282.49523="","-",35282.49523/3904713.17235*100)</f>
        <v>0.90358737435164</v>
      </c>
      <c r="F66" s="50">
        <f>IF(OR(3299511.05107="",23311.20638="",26593.50695=""),"-",(26593.50695-23311.20638)/3299511.05107*100)</f>
        <v>0.0994783929860026</v>
      </c>
      <c r="G66" s="50">
        <f>IF(OR(3275429.97191="",35282.49523="",26593.50695=""),"-",(35282.49523-26593.50695)/3275429.97191*100)</f>
        <v>0.2652777911454842</v>
      </c>
    </row>
    <row r="67" spans="1:7" s="16" customFormat="1" ht="38.25">
      <c r="A67" s="14" t="s">
        <v>95</v>
      </c>
      <c r="B67" s="50">
        <f>IF(88970.88399="","-",88970.88399)</f>
        <v>88970.88399</v>
      </c>
      <c r="C67" s="50">
        <f>IF(OR(62382.4437="",88970.88399=""),"-",88970.88399/62382.4437*100)</f>
        <v>142.62167160021016</v>
      </c>
      <c r="D67" s="50">
        <f>IF(62382.4437="","-",62382.4437/3275429.97191*100)</f>
        <v>1.904557393532763</v>
      </c>
      <c r="E67" s="50">
        <f>IF(88970.88399="","-",88970.88399/3904713.17235*100)</f>
        <v>2.2785510756595224</v>
      </c>
      <c r="F67" s="50">
        <f>IF(OR(3299511.05107="",64268.73955="",62382.4437=""),"-",(62382.4437-64268.73955)/3299511.05107*100)</f>
        <v>-0.057168950817372985</v>
      </c>
      <c r="G67" s="50">
        <f>IF(OR(3275429.97191="",88970.88399="",62382.4437=""),"-",(88970.88399-62382.4437)/3275429.97191*100)</f>
        <v>0.8117541977090568</v>
      </c>
    </row>
    <row r="68" spans="1:7" s="16" customFormat="1" ht="38.25" customHeight="1">
      <c r="A68" s="14" t="s">
        <v>96</v>
      </c>
      <c r="B68" s="50">
        <f>IF(256671.37364="","-",256671.37364)</f>
        <v>256671.37364</v>
      </c>
      <c r="C68" s="50">
        <f>IF(OR(218913.48091="",256671.37364=""),"-",256671.37364/218913.48091*100)</f>
        <v>117.24786092343169</v>
      </c>
      <c r="D68" s="50">
        <f>IF(218913.48091="","-",218913.48091/3275429.97191*100)</f>
        <v>6.683503625093383</v>
      </c>
      <c r="E68" s="50">
        <f>IF(256671.37364="","-",256671.37364/3904713.17235*100)</f>
        <v>6.573373313500662</v>
      </c>
      <c r="F68" s="50">
        <f>IF(OR(3299511.05107="",220365.01591="",218913.48091=""),"-",(218913.48091-220365.01591)/3299511.05107*100)</f>
        <v>-0.04399242728795393</v>
      </c>
      <c r="G68" s="50">
        <f>IF(OR(3275429.97191="",256671.37364="",218913.48091=""),"-",(256671.37364-218913.48091)/3275429.97191*100)</f>
        <v>1.152761410068622</v>
      </c>
    </row>
    <row r="69" spans="1:7" s="16" customFormat="1" ht="25.5">
      <c r="A69" s="14" t="s">
        <v>97</v>
      </c>
      <c r="B69" s="50">
        <f>IF(203220.75005="","-",203220.75005)</f>
        <v>203220.75005</v>
      </c>
      <c r="C69" s="50">
        <f>IF(OR(171583.96688="",203220.75005=""),"-",203220.75005/171583.96688*100)</f>
        <v>118.43807655532623</v>
      </c>
      <c r="D69" s="50">
        <f>IF(171583.96688="","-",171583.96688/3275429.97191*100)</f>
        <v>5.238517335174298</v>
      </c>
      <c r="E69" s="50">
        <f>IF(203220.75005="","-",203220.75005/3904713.17235*100)</f>
        <v>5.204498796199524</v>
      </c>
      <c r="F69" s="50">
        <f>IF(OR(3299511.05107="",139135.67514="",171583.96688=""),"-",(171583.96688-139135.67514)/3299511.05107*100)</f>
        <v>0.9834272787017129</v>
      </c>
      <c r="G69" s="50">
        <f>IF(OR(3275429.97191="",203220.75005="",171583.96688=""),"-",(203220.75005-171583.96688)/3275429.97191*100)</f>
        <v>0.9658818366234729</v>
      </c>
    </row>
    <row r="70" spans="1:7" s="16" customFormat="1" ht="14.25" customHeight="1">
      <c r="A70" s="14" t="s">
        <v>98</v>
      </c>
      <c r="B70" s="50">
        <f>IF(2058.12395="","-",2058.12395)</f>
        <v>2058.12395</v>
      </c>
      <c r="C70" s="50" t="s">
        <v>184</v>
      </c>
      <c r="D70" s="50">
        <f>IF(967.98435="","-",967.98435/3275429.97191*100)</f>
        <v>0.029552894071966367</v>
      </c>
      <c r="E70" s="50">
        <f>IF(2058.12395="","-",2058.12395/3904713.17235*100)</f>
        <v>0.05270871019602563</v>
      </c>
      <c r="F70" s="50">
        <f>IF(OR(3299511.05107="",3949.56955="",967.98435=""),"-",(967.98435-3949.56955)/3299511.05107*100)</f>
        <v>-0.09036445563754365</v>
      </c>
      <c r="G70" s="50">
        <f>IF(OR(3275429.97191="",2058.12395="",967.98435=""),"-",(2058.12395-967.98435)/3275429.97191*100)</f>
        <v>0.0332823357345145</v>
      </c>
    </row>
    <row r="71" spans="1:7" s="16" customFormat="1" ht="13.5" customHeight="1">
      <c r="A71" s="15" t="s">
        <v>99</v>
      </c>
      <c r="B71" s="28">
        <f>IF(418149.87221="","-",418149.87221)</f>
        <v>418149.87221</v>
      </c>
      <c r="C71" s="28">
        <f>IF(322454.83039="","-",418149.87221/322454.83039*100)</f>
        <v>129.67703777433246</v>
      </c>
      <c r="D71" s="28">
        <f>IF(322454.83039="","-",322454.83039/3275429.97191*100)</f>
        <v>9.844656523124112</v>
      </c>
      <c r="E71" s="28">
        <f>IF(418149.87221="","-",418149.87221/3904713.17235*100)</f>
        <v>10.708849888667803</v>
      </c>
      <c r="F71" s="28">
        <f>IF(3299511.05107="","-",(322454.83039-305795.7974)/3299511.05107*100)</f>
        <v>0.5048939898109349</v>
      </c>
      <c r="G71" s="28">
        <f>IF(3275429.97191="","-",(418149.87221-322454.83039)/3275429.97191*100)</f>
        <v>2.921602435120827</v>
      </c>
    </row>
    <row r="72" spans="1:7" s="16" customFormat="1" ht="38.25">
      <c r="A72" s="14" t="s">
        <v>100</v>
      </c>
      <c r="B72" s="50">
        <f>IF(32147.33302="","-",32147.33302)</f>
        <v>32147.33302</v>
      </c>
      <c r="C72" s="50">
        <f>IF(OR(27282.88798="",32147.33302=""),"-",32147.33302/27282.88798*100)</f>
        <v>117.82965587648174</v>
      </c>
      <c r="D72" s="50">
        <f>IF(27282.88798="","-",27282.88798/3275429.97191*100)</f>
        <v>0.8329559237711482</v>
      </c>
      <c r="E72" s="50">
        <f>IF(32147.33302="","-",32147.33302/3904713.17235*100)</f>
        <v>0.823295632766095</v>
      </c>
      <c r="F72" s="50">
        <f>IF(OR(3299511.05107="",28402.13946="",27282.88798=""),"-",(27282.88798-28402.13946)/3299511.05107*100)</f>
        <v>-0.03392173757493663</v>
      </c>
      <c r="G72" s="50">
        <f>IF(OR(3275429.97191="",32147.33302="",27282.88798=""),"-",(32147.33302-27282.88798)/3275429.97191*100)</f>
        <v>0.14851317481116524</v>
      </c>
    </row>
    <row r="73" spans="1:7" s="16" customFormat="1" ht="14.25" customHeight="1">
      <c r="A73" s="14" t="s">
        <v>101</v>
      </c>
      <c r="B73" s="50">
        <f>IF(37019.15778="","-",37019.15778)</f>
        <v>37019.15778</v>
      </c>
      <c r="C73" s="50">
        <f>IF(OR(33927.20887="",37019.15778=""),"-",37019.15778/33927.20887*100)</f>
        <v>109.11347857068799</v>
      </c>
      <c r="D73" s="50">
        <f>IF(33927.20887="","-",33927.20887/3275429.97191*100)</f>
        <v>1.0358093185004362</v>
      </c>
      <c r="E73" s="50">
        <f>IF(37019.15778="","-",37019.15778/3904713.17235*100)</f>
        <v>0.9480634337533301</v>
      </c>
      <c r="F73" s="50">
        <f>IF(OR(3299511.05107="",34050.55648="",33927.20887=""),"-",(33927.20887-34050.55648)/3299511.05107*100)</f>
        <v>-0.003738360262803079</v>
      </c>
      <c r="G73" s="50">
        <f>IF(OR(3275429.97191="",37019.15778="",33927.20887=""),"-",(37019.15778-33927.20887)/3275429.97191*100)</f>
        <v>0.09439826027472639</v>
      </c>
    </row>
    <row r="74" spans="1:7" s="16" customFormat="1" ht="15.75">
      <c r="A74" s="14" t="s">
        <v>102</v>
      </c>
      <c r="B74" s="50">
        <f>IF(11986.48609="","-",11986.48609)</f>
        <v>11986.48609</v>
      </c>
      <c r="C74" s="50" t="s">
        <v>208</v>
      </c>
      <c r="D74" s="50">
        <f>IF(3821.5374="","-",3821.5374/3275429.97191*100)</f>
        <v>0.11667284700858829</v>
      </c>
      <c r="E74" s="50">
        <f>IF(11986.48609="","-",11986.48609/3904713.17235*100)</f>
        <v>0.3069748163547207</v>
      </c>
      <c r="F74" s="50">
        <f>IF(OR(3299511.05107="",3166.47371="",3821.5374=""),"-",(3821.5374-3166.47371)/3299511.05107*100)</f>
        <v>0.019853356447694547</v>
      </c>
      <c r="G74" s="50">
        <f>IF(OR(3275429.97191="",11986.48609="",3821.5374=""),"-",(11986.48609-3821.5374)/3275429.97191*100)</f>
        <v>0.249278682799583</v>
      </c>
    </row>
    <row r="75" spans="1:7" s="16" customFormat="1" ht="14.25" customHeight="1">
      <c r="A75" s="14" t="s">
        <v>103</v>
      </c>
      <c r="B75" s="50">
        <f>IF(108251.64637="","-",108251.64637)</f>
        <v>108251.64637</v>
      </c>
      <c r="C75" s="50">
        <f>IF(OR(82929.67072="",108251.64637=""),"-",108251.64637/82929.67072*100)</f>
        <v>130.53427733421972</v>
      </c>
      <c r="D75" s="50">
        <f>IF(82929.67072="","-",82929.67072/3275429.97191*100)</f>
        <v>2.5318712789222375</v>
      </c>
      <c r="E75" s="50">
        <f>IF(108251.64637="","-",108251.64637/3904713.17235*100)</f>
        <v>2.7723328601073707</v>
      </c>
      <c r="F75" s="50">
        <f>IF(OR(3299511.05107="",64732.16244="",82929.67072=""),"-",(82929.67072-64732.16244)/3299511.05107*100)</f>
        <v>0.5515213617514243</v>
      </c>
      <c r="G75" s="50">
        <f>IF(OR(3275429.97191="",108251.64637="",82929.67072=""),"-",(108251.64637-82929.67072)/3275429.97191*100)</f>
        <v>0.7730885980515717</v>
      </c>
    </row>
    <row r="76" spans="1:7" s="16" customFormat="1" ht="15" customHeight="1">
      <c r="A76" s="14" t="s">
        <v>104</v>
      </c>
      <c r="B76" s="50">
        <f>IF(35450.87278="","-",35450.87278)</f>
        <v>35450.87278</v>
      </c>
      <c r="C76" s="50" t="s">
        <v>214</v>
      </c>
      <c r="D76" s="50">
        <f>IF(20936.91746="","-",20936.91746/3275429.97191*100)</f>
        <v>0.6392112681252369</v>
      </c>
      <c r="E76" s="50">
        <f>IF(35450.87278="","-",35450.87278/3904713.17235*100)</f>
        <v>0.9078995361563101</v>
      </c>
      <c r="F76" s="50">
        <f>IF(OR(3299511.05107="",14606.30603="",20936.91746=""),"-",(20936.91746-14606.30603)/3299511.05107*100)</f>
        <v>0.19186513795572965</v>
      </c>
      <c r="G76" s="50">
        <f>IF(OR(3275429.97191="",35450.87278="",20936.91746=""),"-",(35450.87278-20936.91746)/3275429.97191*100)</f>
        <v>0.4431160319247027</v>
      </c>
    </row>
    <row r="77" spans="1:7" s="16" customFormat="1" ht="25.5">
      <c r="A77" s="14" t="s">
        <v>105</v>
      </c>
      <c r="B77" s="50">
        <f>IF(39817.08194="","-",39817.08194)</f>
        <v>39817.08194</v>
      </c>
      <c r="C77" s="50">
        <f>IF(OR(31629.14924="",39817.08194=""),"-",39817.08194/31629.14924*100)</f>
        <v>125.88729983810339</v>
      </c>
      <c r="D77" s="50">
        <f>IF(31629.14924="","-",31629.14924/3275429.97191*100)</f>
        <v>0.9656487701233346</v>
      </c>
      <c r="E77" s="50">
        <f>IF(39817.08194="","-",39817.08194/3904713.17235*100)</f>
        <v>1.019718483343467</v>
      </c>
      <c r="F77" s="50">
        <f>IF(OR(3299511.05107="",45959.83626="",31629.14924=""),"-",(31629.14924-45959.83626)/3299511.05107*100)</f>
        <v>-0.43432759576158086</v>
      </c>
      <c r="G77" s="50">
        <f>IF(OR(3275429.97191="",39817.08194="",31629.14924=""),"-",(39817.08194-31629.14924)/3275429.97191*100)</f>
        <v>0.24998039250478535</v>
      </c>
    </row>
    <row r="78" spans="1:7" ht="25.5">
      <c r="A78" s="10" t="s">
        <v>106</v>
      </c>
      <c r="B78" s="50">
        <f>IF(8117.56178="","-",8117.56178)</f>
        <v>8117.56178</v>
      </c>
      <c r="C78" s="50">
        <f>IF(OR(6049.61959="",8117.56178=""),"-",8117.56178/6049.61959*100)</f>
        <v>134.18301199332106</v>
      </c>
      <c r="D78" s="50">
        <f>IF(6049.61959="","-",6049.61959/3275429.97191*100)</f>
        <v>0.18469696015122827</v>
      </c>
      <c r="E78" s="50">
        <f>IF(8117.56178="","-",8117.56178/3904713.17235*100)</f>
        <v>0.20789137182935646</v>
      </c>
      <c r="F78" s="50">
        <f>IF(OR(3299511.05107="",5994.21057="",6049.61959=""),"-",(6049.61959-5994.21057)/3299511.05107*100)</f>
        <v>0.0016793100293460582</v>
      </c>
      <c r="G78" s="50">
        <f>IF(OR(3275429.97191="",8117.56178="",6049.61959=""),"-",(8117.56178-6049.61959)/3275429.97191*100)</f>
        <v>0.06313498403979377</v>
      </c>
    </row>
    <row r="79" spans="1:7" ht="13.5" customHeight="1">
      <c r="A79" s="11" t="s">
        <v>107</v>
      </c>
      <c r="B79" s="51">
        <f>IF(145359.73245="","-",145359.73245)</f>
        <v>145359.73245</v>
      </c>
      <c r="C79" s="51">
        <f>IF(OR(115877.83913="",145359.73245=""),"-",145359.73245/115877.83913*100)</f>
        <v>125.44221875498138</v>
      </c>
      <c r="D79" s="51">
        <f>IF(115877.83913="","-",115877.83913/3275429.97191*100)</f>
        <v>3.537790156521899</v>
      </c>
      <c r="E79" s="51">
        <f>IF(145359.73245="","-",145359.73245/3904713.17235*100)</f>
        <v>3.722673754357152</v>
      </c>
      <c r="F79" s="51">
        <f>IF(OR(3299511.05107="",108884.11245="",115877.83913=""),"-",(115877.83913-108884.11245)/3299511.05107*100)</f>
        <v>0.21196251722605972</v>
      </c>
      <c r="G79" s="51">
        <f>IF(OR(3275429.97191="",145359.73245="",115877.83913=""),"-",(145359.73245-115877.83913)/3275429.97191*100)</f>
        <v>0.9000923107145</v>
      </c>
    </row>
    <row r="80" spans="1:7" ht="15.75">
      <c r="A80" s="83" t="s">
        <v>117</v>
      </c>
      <c r="B80" s="83"/>
      <c r="C80" s="83"/>
      <c r="D80" s="83"/>
      <c r="E80" s="83"/>
      <c r="F80" s="83"/>
      <c r="G80" s="83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G25" sqref="G25"/>
    </sheetView>
  </sheetViews>
  <sheetFormatPr defaultColWidth="9.00390625" defaultRowHeight="15.75"/>
  <cols>
    <col min="1" max="1" width="43.75390625" style="0" customWidth="1"/>
    <col min="2" max="3" width="12.25390625" style="0" customWidth="1"/>
    <col min="4" max="4" width="18.375" style="0" customWidth="1"/>
  </cols>
  <sheetData>
    <row r="1" spans="1:4" ht="15.75">
      <c r="A1" s="66" t="s">
        <v>118</v>
      </c>
      <c r="B1" s="66"/>
      <c r="C1" s="66"/>
      <c r="D1" s="66"/>
    </row>
    <row r="2" spans="1:4" ht="15.75">
      <c r="A2" s="66" t="s">
        <v>35</v>
      </c>
      <c r="B2" s="66"/>
      <c r="C2" s="66"/>
      <c r="D2" s="66"/>
    </row>
    <row r="3" ht="15.75">
      <c r="A3" s="5"/>
    </row>
    <row r="4" spans="1:5" ht="27.75" customHeight="1">
      <c r="A4" s="76"/>
      <c r="B4" s="80" t="s">
        <v>255</v>
      </c>
      <c r="C4" s="71"/>
      <c r="D4" s="72" t="s">
        <v>257</v>
      </c>
      <c r="E4" s="1"/>
    </row>
    <row r="5" spans="1:5" ht="27" customHeight="1">
      <c r="A5" s="77"/>
      <c r="B5" s="20">
        <v>2016</v>
      </c>
      <c r="C5" s="19">
        <v>2017</v>
      </c>
      <c r="D5" s="81"/>
      <c r="E5" s="1"/>
    </row>
    <row r="6" spans="1:4" ht="15.75">
      <c r="A6" s="7" t="s">
        <v>199</v>
      </c>
      <c r="B6" s="34">
        <f>IF(-1641942.90715="","-",-1641942.90715)</f>
        <v>-1641942.90715</v>
      </c>
      <c r="C6" s="34">
        <f>IF(-1984689.98293="","-",-1984689.98293)</f>
        <v>-1984689.98293</v>
      </c>
      <c r="D6" s="34">
        <f>IF(-1641942.90715="","-",-1984689.98293/-1641942.90715*100)</f>
        <v>120.87448194985797</v>
      </c>
    </row>
    <row r="7" spans="1:4" ht="15.75">
      <c r="A7" s="8" t="s">
        <v>32</v>
      </c>
      <c r="B7" s="28"/>
      <c r="C7" s="28"/>
      <c r="D7" s="28"/>
    </row>
    <row r="8" spans="1:4" ht="15.75">
      <c r="A8" s="9" t="s">
        <v>36</v>
      </c>
      <c r="B8" s="26">
        <f>IF(34159.26715="","-",34159.26715)</f>
        <v>34159.26715</v>
      </c>
      <c r="C8" s="26">
        <f>IF(50778.72725="","-",50778.72725)</f>
        <v>50778.72725</v>
      </c>
      <c r="D8" s="26">
        <f>IF(34159.26715="","-",50778.72725/34159.26715*100)</f>
        <v>148.6528590529203</v>
      </c>
    </row>
    <row r="9" spans="1:4" ht="15.75">
      <c r="A9" s="8" t="s">
        <v>37</v>
      </c>
      <c r="B9" s="27">
        <f>IF(OR(1783.3822="",1783.3822=0),"-",1783.3822)</f>
        <v>1783.3822</v>
      </c>
      <c r="C9" s="27">
        <f>IF(OR(1253.6082="",1253.6082=0),"-",1253.6082)</f>
        <v>1253.6082</v>
      </c>
      <c r="D9" s="27">
        <f>IF(OR(1783.3822="",1253.6082="",1783.3822=0,1253.6082=0),"-",1253.6082/1783.3822*100)</f>
        <v>70.29386073271337</v>
      </c>
    </row>
    <row r="10" spans="1:4" ht="15.75">
      <c r="A10" s="8" t="s">
        <v>38</v>
      </c>
      <c r="B10" s="27">
        <f>IF(OR(-15209.0991="",-15209.0991=0),"-",-15209.0991)</f>
        <v>-15209.0991</v>
      </c>
      <c r="C10" s="27">
        <f>IF(OR(-21334.0071="",-21334.0071=0),"-",-21334.0071)</f>
        <v>-21334.0071</v>
      </c>
      <c r="D10" s="27">
        <f>IF(OR(-15209.0991="",-21334.0071="",-15209.0991=0,-21334.0071=0),"-",-21334.0071/-15209.0991*100)</f>
        <v>140.27133993755095</v>
      </c>
    </row>
    <row r="11" spans="1:4" ht="15.75">
      <c r="A11" s="8" t="s">
        <v>39</v>
      </c>
      <c r="B11" s="27">
        <f>IF(OR(-16721.98149="",-16721.98149=0),"-",-16721.98149)</f>
        <v>-16721.98149</v>
      </c>
      <c r="C11" s="27">
        <f>IF(OR(-24168.37338="",-24168.37338=0),"-",-24168.37338)</f>
        <v>-24168.37338</v>
      </c>
      <c r="D11" s="27">
        <f>IF(OR(-16721.98149="",-24168.37338="",-16721.98149=0,-24168.37338=0),"-",-24168.37338/-16721.98149*100)</f>
        <v>144.53055933863496</v>
      </c>
    </row>
    <row r="12" spans="1:4" ht="15.75">
      <c r="A12" s="8" t="s">
        <v>40</v>
      </c>
      <c r="B12" s="27">
        <f>IF(OR(-33817.51733="",-33817.51733=0),"-",-33817.51733)</f>
        <v>-33817.51733</v>
      </c>
      <c r="C12" s="27">
        <f>IF(OR(-35672.71837="",-35672.71837=0),"-",-35672.71837)</f>
        <v>-35672.71837</v>
      </c>
      <c r="D12" s="27">
        <f>IF(OR(-33817.51733="",-35672.71837="",-33817.51733=0,-35672.71837=0),"-",-35672.71837/-33817.51733*100)</f>
        <v>105.48591731881578</v>
      </c>
    </row>
    <row r="13" spans="1:4" ht="15.75">
      <c r="A13" s="8" t="s">
        <v>41</v>
      </c>
      <c r="B13" s="27">
        <f>IF(OR(94494.34313="",94494.34313=0),"-",94494.34313)</f>
        <v>94494.34313</v>
      </c>
      <c r="C13" s="27">
        <f>IF(OR(107597.13638="",107597.13638=0),"-",107597.13638)</f>
        <v>107597.13638</v>
      </c>
      <c r="D13" s="27">
        <f>IF(OR(94494.34313="",107597.13638="",94494.34313=0,107597.13638=0),"-",107597.13638/94494.34313*100)</f>
        <v>113.86621972912592</v>
      </c>
    </row>
    <row r="14" spans="1:4" ht="15.75">
      <c r="A14" s="8" t="s">
        <v>42</v>
      </c>
      <c r="B14" s="27">
        <f>IF(OR(73183.39337="",73183.39337=0),"-",73183.39337)</f>
        <v>73183.39337</v>
      </c>
      <c r="C14" s="27">
        <f>IF(OR(118223.97615="",118223.97615=0),"-",118223.97615)</f>
        <v>118223.97615</v>
      </c>
      <c r="D14" s="27" t="s">
        <v>215</v>
      </c>
    </row>
    <row r="15" spans="1:4" ht="15.75">
      <c r="A15" s="8" t="s">
        <v>43</v>
      </c>
      <c r="B15" s="27">
        <f>IF(OR(21062.5239="",21062.5239=0),"-",21062.5239)</f>
        <v>21062.5239</v>
      </c>
      <c r="C15" s="27">
        <f>IF(OR(6603.93553="",6603.93553=0),"-",6603.93553)</f>
        <v>6603.93553</v>
      </c>
      <c r="D15" s="27">
        <f>IF(OR(21062.5239="",6603.93553="",21062.5239=0,6603.93553=0),"-",6603.93553/21062.5239*100)</f>
        <v>31.353961003695286</v>
      </c>
    </row>
    <row r="16" spans="1:4" ht="15.75">
      <c r="A16" s="8" t="s">
        <v>44</v>
      </c>
      <c r="B16" s="27">
        <f>IF(OR(-30096.18683="",-30096.18683=0),"-",-30096.18683)</f>
        <v>-30096.18683</v>
      </c>
      <c r="C16" s="27">
        <f>IF(OR(-32201.41935="",-32201.41935=0),"-",-32201.41935)</f>
        <v>-32201.41935</v>
      </c>
      <c r="D16" s="27">
        <f>IF(OR(-30096.18683="",-32201.41935="",-30096.18683=0,-32201.41935=0),"-",-32201.41935/-30096.18683*100)</f>
        <v>106.9950141255154</v>
      </c>
    </row>
    <row r="17" spans="1:4" ht="15.75">
      <c r="A17" s="8" t="s">
        <v>45</v>
      </c>
      <c r="B17" s="27">
        <f>IF(OR(-10634.16609="",-10634.16609=0),"-",-10634.16609)</f>
        <v>-10634.16609</v>
      </c>
      <c r="C17" s="27">
        <f>IF(OR(-14844.07389="",-14844.07389=0),"-",-14844.07389)</f>
        <v>-14844.07389</v>
      </c>
      <c r="D17" s="27">
        <f>IF(OR(-10634.16609="",-14844.07389="",-10634.16609=0,-14844.07389=0),"-",-14844.07389/-10634.16609*100)</f>
        <v>139.58850900362418</v>
      </c>
    </row>
    <row r="18" spans="1:4" ht="15.75">
      <c r="A18" s="8" t="s">
        <v>46</v>
      </c>
      <c r="B18" s="27">
        <f>IF(OR(-49885.42461="",-49885.42461=0),"-",-49885.42461)</f>
        <v>-49885.42461</v>
      </c>
      <c r="C18" s="27">
        <f>IF(OR(-54679.33692="",-54679.33692=0),"-",-54679.33692)</f>
        <v>-54679.33692</v>
      </c>
      <c r="D18" s="27">
        <f>IF(OR(-49885.42461="",-54679.33692="",-49885.42461=0,-54679.33692=0),"-",-54679.33692/-49885.42461*100)</f>
        <v>109.60984565627815</v>
      </c>
    </row>
    <row r="19" spans="1:4" ht="15.75">
      <c r="A19" s="9" t="s">
        <v>47</v>
      </c>
      <c r="B19" s="26">
        <f>IF(52282.69774="","-",52282.69774)</f>
        <v>52282.69774</v>
      </c>
      <c r="C19" s="26">
        <f>IF(66271.24442="","-",66271.24442)</f>
        <v>66271.24442</v>
      </c>
      <c r="D19" s="26">
        <f>IF(52282.69774="","-",66271.24442/52282.69774*100)</f>
        <v>126.7555946511493</v>
      </c>
    </row>
    <row r="20" spans="1:4" ht="15.75">
      <c r="A20" s="8" t="s">
        <v>48</v>
      </c>
      <c r="B20" s="27">
        <f>IF(OR(88711.17901="",88711.17901=0),"-",88711.17901)</f>
        <v>88711.17901</v>
      </c>
      <c r="C20" s="27">
        <f>IF(OR(100023.28626="",100023.28626=0),"-",100023.28626)</f>
        <v>100023.28626</v>
      </c>
      <c r="D20" s="27">
        <f>IF(OR(88711.17901="",100023.28626="",88711.17901=0,100023.28626=0),"-",100023.28626/88711.17901*100)</f>
        <v>112.75161414405824</v>
      </c>
    </row>
    <row r="21" spans="1:4" ht="15.75">
      <c r="A21" s="8" t="s">
        <v>49</v>
      </c>
      <c r="B21" s="27">
        <f>IF(OR(-36428.48127="",-36428.48127=0),"-",-36428.48127)</f>
        <v>-36428.48127</v>
      </c>
      <c r="C21" s="27">
        <f>IF(OR(-33752.04184="",-33752.04184=0),"-",-33752.04184)</f>
        <v>-33752.04184</v>
      </c>
      <c r="D21" s="27">
        <f>IF(OR(-36428.48127="",-33752.04184="",-36428.48127=0,-33752.04184=0),"-",-33752.04184/-36428.48127*100)</f>
        <v>92.65289318497028</v>
      </c>
    </row>
    <row r="22" spans="1:4" ht="15.75">
      <c r="A22" s="9" t="s">
        <v>50</v>
      </c>
      <c r="B22" s="26">
        <f>IF(87766.73625="","-",87766.73625)</f>
        <v>87766.73625</v>
      </c>
      <c r="C22" s="26">
        <f>IF(118165.62549="","-",118165.62549)</f>
        <v>118165.62549</v>
      </c>
      <c r="D22" s="26">
        <f>IF(87766.73625="","-",118165.62549/87766.73625*100)</f>
        <v>134.63600281706957</v>
      </c>
    </row>
    <row r="23" spans="1:4" ht="15.75">
      <c r="A23" s="8" t="s">
        <v>51</v>
      </c>
      <c r="B23" s="27">
        <f>IF(OR(2915.1959="",2915.1959=0),"-",2915.1959)</f>
        <v>2915.1959</v>
      </c>
      <c r="C23" s="27">
        <f>IF(OR(3153.99294="",3153.99294=0),"-",3153.99294)</f>
        <v>3153.99294</v>
      </c>
      <c r="D23" s="27">
        <f>IF(OR(2915.1959="",3153.99294="",2915.1959=0,3153.99294=0),"-",3153.99294/2915.1959*100)</f>
        <v>108.1914577335952</v>
      </c>
    </row>
    <row r="24" spans="1:4" ht="15.75">
      <c r="A24" s="8" t="s">
        <v>52</v>
      </c>
      <c r="B24" s="27">
        <f>IF(OR(121734.90873="",121734.90873=0),"-",121734.90873)</f>
        <v>121734.90873</v>
      </c>
      <c r="C24" s="27">
        <f>IF(OR(156494.84894="",156494.84894=0),"-",156494.84894)</f>
        <v>156494.84894</v>
      </c>
      <c r="D24" s="27">
        <f>IF(OR(121734.90873="",156494.84894="",121734.90873=0,156494.84894=0),"-",156494.84894/121734.90873*100)</f>
        <v>128.55379822651796</v>
      </c>
    </row>
    <row r="25" spans="1:4" ht="15.75">
      <c r="A25" s="8" t="s">
        <v>53</v>
      </c>
      <c r="B25" s="27">
        <f>IF(OR(-418.45627="",-418.45627=0),"-",-418.45627)</f>
        <v>-418.45627</v>
      </c>
      <c r="C25" s="27">
        <f>IF(OR(-611.07044="",-611.07044=0),"-",-611.07044)</f>
        <v>-611.07044</v>
      </c>
      <c r="D25" s="27">
        <f>IF(OR(-418.45627="",-611.07044="",-418.45627=0,-611.07044=0),"-",-611.07044/-418.45627*100)</f>
        <v>146.02970102467336</v>
      </c>
    </row>
    <row r="26" spans="1:4" ht="15.75">
      <c r="A26" s="8" t="s">
        <v>54</v>
      </c>
      <c r="B26" s="27">
        <f>IF(OR(-20999.29137="",-20999.29137=0),"-",-20999.29137)</f>
        <v>-20999.29137</v>
      </c>
      <c r="C26" s="27">
        <f>IF(OR(-27395.91556="",-27395.91556=0),"-",-27395.91556)</f>
        <v>-27395.91556</v>
      </c>
      <c r="D26" s="27">
        <f>IF(OR(-20999.29137="",-27395.91556="",-20999.29137=0,-27395.91556=0),"-",-27395.91556/-20999.29137*100)</f>
        <v>130.46114307999147</v>
      </c>
    </row>
    <row r="27" spans="1:4" ht="15.75">
      <c r="A27" s="8" t="s">
        <v>55</v>
      </c>
      <c r="B27" s="27">
        <f>IF(OR(1619.76057="",1619.76057=0),"-",1619.76057)</f>
        <v>1619.76057</v>
      </c>
      <c r="C27" s="27">
        <f>IF(OR(1942.27792="",1942.27792=0),"-",1942.27792)</f>
        <v>1942.27792</v>
      </c>
      <c r="D27" s="27">
        <f>IF(OR(1619.76057="",1942.27792="",1619.76057=0,1942.27792=0),"-",1942.27792/1619.76057*100)</f>
        <v>119.91142122937345</v>
      </c>
    </row>
    <row r="28" spans="1:4" ht="25.5">
      <c r="A28" s="8" t="s">
        <v>56</v>
      </c>
      <c r="B28" s="27">
        <f>IF(OR(-5605.81233="",-5605.81233=0),"-",-5605.81233)</f>
        <v>-5605.81233</v>
      </c>
      <c r="C28" s="27">
        <f>IF(OR(-7037.13259="",-7037.13259=0),"-",-7037.13259)</f>
        <v>-7037.13259</v>
      </c>
      <c r="D28" s="27">
        <f>IF(OR(-5605.81233="",-7037.13259="",-5605.81233=0,-7037.13259=0),"-",-7037.13259/-5605.81233*100)</f>
        <v>125.53278946460915</v>
      </c>
    </row>
    <row r="29" spans="1:4" ht="25.5">
      <c r="A29" s="8" t="s">
        <v>57</v>
      </c>
      <c r="B29" s="27">
        <f>IF(OR(-3040.71868="",-3040.71868=0),"-",-3040.71868)</f>
        <v>-3040.71868</v>
      </c>
      <c r="C29" s="27">
        <f>IF(OR(183.16191="",183.16191=0),"-",183.16191)</f>
        <v>183.16191</v>
      </c>
      <c r="D29" s="27" t="s">
        <v>33</v>
      </c>
    </row>
    <row r="30" spans="1:4" ht="15.75">
      <c r="A30" s="8" t="s">
        <v>58</v>
      </c>
      <c r="B30" s="27">
        <f>IF(OR(8302.18564="",8302.18564=0),"-",8302.18564)</f>
        <v>8302.18564</v>
      </c>
      <c r="C30" s="27">
        <f>IF(OR(11868.51209="",11868.51209=0),"-",11868.51209)</f>
        <v>11868.51209</v>
      </c>
      <c r="D30" s="27">
        <f>IF(OR(8302.18564="",11868.51209="",8302.18564=0,11868.51209=0),"-",11868.51209/8302.18564*100)</f>
        <v>142.95647682000038</v>
      </c>
    </row>
    <row r="31" spans="1:4" ht="15.75">
      <c r="A31" s="8" t="s">
        <v>59</v>
      </c>
      <c r="B31" s="27">
        <f>IF(OR(-16741.03594="",-16741.03594=0),"-",-16741.03594)</f>
        <v>-16741.03594</v>
      </c>
      <c r="C31" s="27">
        <f>IF(OR(-20433.04972="",-20433.04972=0),"-",-20433.04972)</f>
        <v>-20433.04972</v>
      </c>
      <c r="D31" s="27">
        <f>IF(OR(-16741.03594="",-20433.04972="",-16741.03594=0,-20433.04972=0),"-",-20433.04972/-16741.03594*100)</f>
        <v>122.05367572969918</v>
      </c>
    </row>
    <row r="32" spans="1:4" ht="15.75">
      <c r="A32" s="9" t="s">
        <v>60</v>
      </c>
      <c r="B32" s="26">
        <f>IF(-476461.38312="","-",-476461.38312)</f>
        <v>-476461.38312</v>
      </c>
      <c r="C32" s="26">
        <f>IF(-589655.38016="","-",-589655.38016)</f>
        <v>-589655.38016</v>
      </c>
      <c r="D32" s="26">
        <f>IF(-476461.38312="","-",-589655.38016/-476461.38312*100)</f>
        <v>123.75722378564544</v>
      </c>
    </row>
    <row r="33" spans="1:4" ht="15.75">
      <c r="A33" s="8" t="s">
        <v>61</v>
      </c>
      <c r="B33" s="27">
        <f>IF(OR(-7316.74369="",-7316.74369=0),"-",-7316.74369)</f>
        <v>-7316.74369</v>
      </c>
      <c r="C33" s="27">
        <f>IF(OR(-19884.78663="",-19884.78663=0),"-",-19884.78663)</f>
        <v>-19884.78663</v>
      </c>
      <c r="D33" s="27" t="s">
        <v>269</v>
      </c>
    </row>
    <row r="34" spans="1:4" ht="15.75">
      <c r="A34" s="8" t="s">
        <v>62</v>
      </c>
      <c r="B34" s="27">
        <f>IF(OR(-298341.70174="",-298341.70174=0),"-",-298341.70174)</f>
        <v>-298341.70174</v>
      </c>
      <c r="C34" s="27">
        <f>IF(OR(-371202.53981="",-371202.53981=0),"-",-371202.53981)</f>
        <v>-371202.53981</v>
      </c>
      <c r="D34" s="27">
        <f>IF(OR(-298341.70174="",-371202.53981="",-298341.70174=0,-371202.53981=0),"-",-371202.53981/-298341.70174*100)</f>
        <v>124.42194223772883</v>
      </c>
    </row>
    <row r="35" spans="1:4" ht="15.75">
      <c r="A35" s="8" t="s">
        <v>63</v>
      </c>
      <c r="B35" s="27">
        <f>IF(OR(-170555.4747="",-170555.4747=0),"-",-170555.4747)</f>
        <v>-170555.4747</v>
      </c>
      <c r="C35" s="27">
        <f>IF(OR(-146926.85955="",-146926.85955=0),"-",-146926.85955)</f>
        <v>-146926.85955</v>
      </c>
      <c r="D35" s="27">
        <f>IF(OR(-170555.4747="",-146926.85955="",-170555.4747=0,-146926.85955=0),"-",-146926.85955/-170555.4747*100)</f>
        <v>86.14608226938375</v>
      </c>
    </row>
    <row r="36" spans="1:4" ht="15.75">
      <c r="A36" s="8" t="s">
        <v>64</v>
      </c>
      <c r="B36" s="27">
        <f>IF(OR(-247.46299="",-247.46299=0),"-",-247.46299)</f>
        <v>-247.46299</v>
      </c>
      <c r="C36" s="27">
        <f>IF(OR(-51641.19417="",-51641.19417=0),"-",-51641.19417)</f>
        <v>-51641.19417</v>
      </c>
      <c r="D36" s="27" t="s">
        <v>288</v>
      </c>
    </row>
    <row r="37" spans="1:4" ht="15.75">
      <c r="A37" s="9" t="s">
        <v>65</v>
      </c>
      <c r="B37" s="26">
        <f>IF(26979.66205="","-",26979.66205)</f>
        <v>26979.66205</v>
      </c>
      <c r="C37" s="26">
        <f>IF(22083.70169="","-",22083.70169)</f>
        <v>22083.70169</v>
      </c>
      <c r="D37" s="26">
        <f>IF(26979.66205="","-",22083.70169/26979.66205*100)</f>
        <v>81.85314422795004</v>
      </c>
    </row>
    <row r="38" spans="1:4" ht="15.75">
      <c r="A38" s="8" t="s">
        <v>66</v>
      </c>
      <c r="B38" s="27">
        <f>IF(OR(-738.16357="",-738.16357=0),"-",-738.16357)</f>
        <v>-738.16357</v>
      </c>
      <c r="C38" s="27">
        <f>IF(OR(-1055.03996="",-1055.03996=0),"-",-1055.03996)</f>
        <v>-1055.03996</v>
      </c>
      <c r="D38" s="27">
        <f>IF(OR(-738.16357="",-1055.03996="",-738.16357=0,-1055.03996=0),"-",-1055.03996/-738.16357*100)</f>
        <v>142.92766574757948</v>
      </c>
    </row>
    <row r="39" spans="1:4" ht="15.75">
      <c r="A39" s="8" t="s">
        <v>67</v>
      </c>
      <c r="B39" s="27">
        <f>IF(OR(29084.57725="",29084.57725=0),"-",29084.57725)</f>
        <v>29084.57725</v>
      </c>
      <c r="C39" s="27">
        <f>IF(OR(24934.42019="",24934.42019=0),"-",24934.42019)</f>
        <v>24934.42019</v>
      </c>
      <c r="D39" s="27">
        <f>IF(OR(29084.57725="",24934.42019="",29084.57725=0,24934.42019=0),"-",24934.42019/29084.57725*100)</f>
        <v>85.73072929915115</v>
      </c>
    </row>
    <row r="40" spans="1:4" ht="25.5">
      <c r="A40" s="8" t="s">
        <v>68</v>
      </c>
      <c r="B40" s="27">
        <f>IF(OR(-1366.75163="",-1366.75163=0),"-",-1366.75163)</f>
        <v>-1366.75163</v>
      </c>
      <c r="C40" s="27">
        <f>IF(OR(-1795.67854="",-1795.67854=0),"-",-1795.67854)</f>
        <v>-1795.67854</v>
      </c>
      <c r="D40" s="27">
        <f>IF(OR(-1366.75163="",-1795.67854="",-1366.75163=0,-1795.67854=0),"-",-1795.67854/-1366.75163*100)</f>
        <v>131.38294482955914</v>
      </c>
    </row>
    <row r="41" spans="1:4" ht="25.5">
      <c r="A41" s="9" t="s">
        <v>69</v>
      </c>
      <c r="B41" s="26">
        <f>IF(-428173.98385="","-",-428173.98385)</f>
        <v>-428173.98385</v>
      </c>
      <c r="C41" s="26">
        <f>IF(-493544.98392="","-",-493544.98392)</f>
        <v>-493544.98392</v>
      </c>
      <c r="D41" s="26">
        <f>IF(-428173.98385="","-",-493544.98392/-428173.98385*100)</f>
        <v>115.26739188640221</v>
      </c>
    </row>
    <row r="42" spans="1:4" ht="15.75">
      <c r="A42" s="8" t="s">
        <v>70</v>
      </c>
      <c r="B42" s="27">
        <f>IF(OR(-983.2237="",-983.2237=0),"-",-983.2237)</f>
        <v>-983.2237</v>
      </c>
      <c r="C42" s="27">
        <f>IF(OR(1153.53007="",1153.53007=0),"-",1153.53007)</f>
        <v>1153.53007</v>
      </c>
      <c r="D42" s="27" t="s">
        <v>33</v>
      </c>
    </row>
    <row r="43" spans="1:4" ht="15.75">
      <c r="A43" s="8" t="s">
        <v>71</v>
      </c>
      <c r="B43" s="27">
        <f>IF(OR(-10309.96102="",-10309.96102=0),"-",-10309.96102)</f>
        <v>-10309.96102</v>
      </c>
      <c r="C43" s="27">
        <f>IF(OR(-10062.35489="",-10062.35489=0),"-",-10062.35489)</f>
        <v>-10062.35489</v>
      </c>
      <c r="D43" s="27">
        <f>IF(OR(-10309.96102="",-10062.35489="",-10309.96102=0,-10062.35489=0),"-",-10062.35489/-10309.96102*100)</f>
        <v>97.59837957175904</v>
      </c>
    </row>
    <row r="44" spans="1:4" ht="15.75">
      <c r="A44" s="8" t="s">
        <v>72</v>
      </c>
      <c r="B44" s="27">
        <f>IF(OR(-23928.78683="",-23928.78683=0),"-",-23928.78683)</f>
        <v>-23928.78683</v>
      </c>
      <c r="C44" s="27">
        <f>IF(OR(-27200.37078="",-27200.37078=0),"-",-27200.37078)</f>
        <v>-27200.37078</v>
      </c>
      <c r="D44" s="27">
        <f>IF(OR(-23928.78683="",-27200.37078="",-23928.78683=0,-27200.37078=0),"-",-27200.37078/-23928.78683*100)</f>
        <v>113.6721680595121</v>
      </c>
    </row>
    <row r="45" spans="1:4" ht="15.75">
      <c r="A45" s="8" t="s">
        <v>73</v>
      </c>
      <c r="B45" s="27">
        <f>IF(OR(-103934.42194="",-103934.42194=0),"-",-103934.42194)</f>
        <v>-103934.42194</v>
      </c>
      <c r="C45" s="27">
        <f>IF(OR(-127197.97101="",-127197.97101=0),"-",-127197.97101)</f>
        <v>-127197.97101</v>
      </c>
      <c r="D45" s="27">
        <f>IF(OR(-103934.42194="",-127197.97101="",-103934.42194=0,-127197.97101=0),"-",-127197.97101/-103934.42194*100)</f>
        <v>122.38291091225749</v>
      </c>
    </row>
    <row r="46" spans="1:4" ht="25.5">
      <c r="A46" s="8" t="s">
        <v>74</v>
      </c>
      <c r="B46" s="27">
        <f>IF(OR(-60491.82271="",-60491.82271=0),"-",-60491.82271)</f>
        <v>-60491.82271</v>
      </c>
      <c r="C46" s="27">
        <f>IF(OR(-66070.75481="",-66070.75481=0),"-",-66070.75481)</f>
        <v>-66070.75481</v>
      </c>
      <c r="D46" s="27">
        <f>IF(OR(-60491.82271="",-66070.75481="",-60491.82271=0,-66070.75481=0),"-",-66070.75481/-60491.82271*100)</f>
        <v>109.2226219182477</v>
      </c>
    </row>
    <row r="47" spans="1:4" ht="15.75">
      <c r="A47" s="8" t="s">
        <v>75</v>
      </c>
      <c r="B47" s="27">
        <f>IF(OR(-44559.43238="",-44559.43238=0),"-",-44559.43238)</f>
        <v>-44559.43238</v>
      </c>
      <c r="C47" s="27">
        <f>IF(OR(-55755.16446="",-55755.16446=0),"-",-55755.16446)</f>
        <v>-55755.16446</v>
      </c>
      <c r="D47" s="27">
        <f>IF(OR(-44559.43238="",-55755.16446="",-44559.43238=0,-55755.16446=0),"-",-55755.16446/-44559.43238*100)</f>
        <v>125.12539204836253</v>
      </c>
    </row>
    <row r="48" spans="1:4" ht="15.75">
      <c r="A48" s="8" t="s">
        <v>76</v>
      </c>
      <c r="B48" s="27">
        <f>IF(OR(-35334.18281="",-35334.18281=0),"-",-35334.18281)</f>
        <v>-35334.18281</v>
      </c>
      <c r="C48" s="27">
        <f>IF(OR(-40181.84376="",-40181.84376=0),"-",-40181.84376)</f>
        <v>-40181.84376</v>
      </c>
      <c r="D48" s="27">
        <f>IF(OR(-35334.18281="",-40181.84376="",-35334.18281=0,-40181.84376=0),"-",-40181.84376/-35334.18281*100)</f>
        <v>113.71946530097212</v>
      </c>
    </row>
    <row r="49" spans="1:4" ht="15.75">
      <c r="A49" s="8" t="s">
        <v>77</v>
      </c>
      <c r="B49" s="27">
        <f>IF(OR(-68813.71785="",-68813.71785=0),"-",-68813.71785)</f>
        <v>-68813.71785</v>
      </c>
      <c r="C49" s="27">
        <f>IF(OR(-78699.29876="",-78699.29876=0),"-",-78699.29876)</f>
        <v>-78699.29876</v>
      </c>
      <c r="D49" s="27">
        <f>IF(OR(-68813.71785="",-78699.29876="",-68813.71785=0,-78699.29876=0),"-",-78699.29876/-68813.71785*100)</f>
        <v>114.36571256264423</v>
      </c>
    </row>
    <row r="50" spans="1:4" ht="15.75">
      <c r="A50" s="8" t="s">
        <v>78</v>
      </c>
      <c r="B50" s="27">
        <f>IF(OR(-79818.43461="",-79818.43461=0),"-",-79818.43461)</f>
        <v>-79818.43461</v>
      </c>
      <c r="C50" s="27">
        <f>IF(OR(-89530.75552="",-89530.75552=0),"-",-89530.75552)</f>
        <v>-89530.75552</v>
      </c>
      <c r="D50" s="27">
        <f>IF(OR(-79818.43461="",-89530.75552="",-79818.43461=0,-89530.75552=0),"-",-89530.75552/-79818.43461*100)</f>
        <v>112.16801727252017</v>
      </c>
    </row>
    <row r="51" spans="1:4" ht="15.75" customHeight="1">
      <c r="A51" s="9" t="s">
        <v>79</v>
      </c>
      <c r="B51" s="26">
        <f>IF(-571474.20001="","-",-571474.20001)</f>
        <v>-571474.20001</v>
      </c>
      <c r="C51" s="26">
        <f>IF(-674776.47183="","-",-674776.47183)</f>
        <v>-674776.47183</v>
      </c>
      <c r="D51" s="26">
        <f>IF(-571474.20001="","-",-674776.47183/-571474.20001*100)</f>
        <v>118.07645416331873</v>
      </c>
    </row>
    <row r="52" spans="1:4" ht="15.75">
      <c r="A52" s="8" t="s">
        <v>80</v>
      </c>
      <c r="B52" s="27">
        <f>IF(OR(-31397.50955="",-31397.50955=0),"-",-31397.50955)</f>
        <v>-31397.50955</v>
      </c>
      <c r="C52" s="27">
        <f>IF(OR(-34428.76884="",-34428.76884=0),"-",-34428.76884)</f>
        <v>-34428.76884</v>
      </c>
      <c r="D52" s="27">
        <f>IF(OR(-31397.50955="",-34428.76884="",-31397.50955=0,-34428.76884=0),"-",-34428.76884/-31397.50955*100)</f>
        <v>109.65445773707869</v>
      </c>
    </row>
    <row r="53" spans="1:4" ht="15.75">
      <c r="A53" s="8" t="s">
        <v>81</v>
      </c>
      <c r="B53" s="27">
        <f>IF(OR(-39241.21306="",-39241.21306=0),"-",-39241.21306)</f>
        <v>-39241.21306</v>
      </c>
      <c r="C53" s="27">
        <f>IF(OR(-45552.99506="",-45552.99506=0),"-",-45552.99506)</f>
        <v>-45552.99506</v>
      </c>
      <c r="D53" s="27">
        <f>IF(OR(-39241.21306="",-45552.99506="",-39241.21306=0,-45552.99506=0),"-",-45552.99506/-39241.21306*100)</f>
        <v>116.08457411943218</v>
      </c>
    </row>
    <row r="54" spans="1:4" ht="15.75">
      <c r="A54" s="8" t="s">
        <v>82</v>
      </c>
      <c r="B54" s="27">
        <f>IF(OR(-41399.97032="",-41399.97032=0),"-",-41399.97032)</f>
        <v>-41399.97032</v>
      </c>
      <c r="C54" s="27">
        <f>IF(OR(-49917.7018="",-49917.7018=0),"-",-49917.7018)</f>
        <v>-49917.7018</v>
      </c>
      <c r="D54" s="27">
        <f>IF(OR(-41399.97032="",-49917.7018="",-41399.97032=0,-49917.7018=0),"-",-49917.7018/-41399.97032*100)</f>
        <v>120.57424537786481</v>
      </c>
    </row>
    <row r="55" spans="1:4" ht="25.5">
      <c r="A55" s="8" t="s">
        <v>83</v>
      </c>
      <c r="B55" s="27">
        <f>IF(OR(-61013.28025="",-61013.28025=0),"-",-61013.28025)</f>
        <v>-61013.28025</v>
      </c>
      <c r="C55" s="27">
        <f>IF(OR(-65832.28429="",-65832.28429=0),"-",-65832.28429)</f>
        <v>-65832.28429</v>
      </c>
      <c r="D55" s="27">
        <f>IF(OR(-61013.28025="",-65832.28429="",-61013.28025=0,-65832.28429=0),"-",-65832.28429/-61013.28025*100)</f>
        <v>107.89828709463625</v>
      </c>
    </row>
    <row r="56" spans="1:4" ht="25.5">
      <c r="A56" s="8" t="s">
        <v>84</v>
      </c>
      <c r="B56" s="27">
        <f>IF(OR(-145972.04562="",-145972.04562=0),"-",-145972.04562)</f>
        <v>-145972.04562</v>
      </c>
      <c r="C56" s="27">
        <f>IF(OR(-160055.46032="",-160055.46032=0),"-",-160055.46032)</f>
        <v>-160055.46032</v>
      </c>
      <c r="D56" s="27">
        <f>IF(OR(-145972.04562="",-160055.46032="",-145972.04562=0,-160055.46032=0),"-",-160055.46032/-145972.04562*100)</f>
        <v>109.64802174291816</v>
      </c>
    </row>
    <row r="57" spans="1:4" ht="15.75">
      <c r="A57" s="8" t="s">
        <v>85</v>
      </c>
      <c r="B57" s="27">
        <f>IF(OR(-55056.95139="",-55056.95139=0),"-",-55056.95139)</f>
        <v>-55056.95139</v>
      </c>
      <c r="C57" s="27">
        <f>IF(OR(-70010.62063="",-70010.62063=0),"-",-70010.62063)</f>
        <v>-70010.62063</v>
      </c>
      <c r="D57" s="27">
        <f>IF(OR(-55056.95139="",-70010.62063="",-55056.95139=0,-70010.62063=0),"-",-70010.62063/-55056.95139*100)</f>
        <v>127.16036551692551</v>
      </c>
    </row>
    <row r="58" spans="1:4" ht="15.75">
      <c r="A58" s="8" t="s">
        <v>86</v>
      </c>
      <c r="B58" s="27">
        <f>IF(OR(-76950.85701="",-76950.85701=0),"-",-76950.85701)</f>
        <v>-76950.85701</v>
      </c>
      <c r="C58" s="27">
        <f>IF(OR(-91453.22666="",-91453.22666=0),"-",-91453.22666)</f>
        <v>-91453.22666</v>
      </c>
      <c r="D58" s="27">
        <f>IF(OR(-76950.85701="",-91453.22666="",-76950.85701=0,-91453.22666=0),"-",-91453.22666/-76950.85701*100)</f>
        <v>118.84627438017404</v>
      </c>
    </row>
    <row r="59" spans="1:4" ht="15.75">
      <c r="A59" s="8" t="s">
        <v>87</v>
      </c>
      <c r="B59" s="27">
        <f>IF(OR(-42850.73466="",-42850.73466=0),"-",-42850.73466)</f>
        <v>-42850.73466</v>
      </c>
      <c r="C59" s="27">
        <f>IF(OR(-65697.15963="",-65697.15963=0),"-",-65697.15963)</f>
        <v>-65697.15963</v>
      </c>
      <c r="D59" s="27">
        <f>IF(OR(-42850.73466="",-65697.15963="",-42850.73466=0,-65697.15963=0),"-",-65697.15963/-42850.73466*100)</f>
        <v>153.31629702798656</v>
      </c>
    </row>
    <row r="60" spans="1:4" ht="15.75">
      <c r="A60" s="8" t="s">
        <v>88</v>
      </c>
      <c r="B60" s="27">
        <f>IF(OR(-77591.63815="",-77591.63815=0),"-",-77591.63815)</f>
        <v>-77591.63815</v>
      </c>
      <c r="C60" s="27">
        <f>IF(OR(-91828.2546="",-91828.2546=0),"-",-91828.2546)</f>
        <v>-91828.2546</v>
      </c>
      <c r="D60" s="27">
        <f>IF(OR(-77591.63815="",-91828.2546="",-77591.63815=0,-91828.2546=0),"-",-91828.2546/-77591.63815*100)</f>
        <v>118.3481323367317</v>
      </c>
    </row>
    <row r="61" spans="1:4" ht="15.75">
      <c r="A61" s="9" t="s">
        <v>89</v>
      </c>
      <c r="B61" s="26">
        <f>IF(-432729.13474="","-",-432729.13474)</f>
        <v>-432729.13474</v>
      </c>
      <c r="C61" s="26">
        <f>IF(-507407.6676="","-",-507407.6676)</f>
        <v>-507407.6676</v>
      </c>
      <c r="D61" s="26">
        <f>IF(-432729.13474="","-",-507407.6676/-432729.13474*100)</f>
        <v>117.25756988950367</v>
      </c>
    </row>
    <row r="62" spans="1:4" ht="15.75">
      <c r="A62" s="8" t="s">
        <v>90</v>
      </c>
      <c r="B62" s="27">
        <f>IF(OR(-7683.79781="",-7683.79781=0),"-",-7683.79781)</f>
        <v>-7683.79781</v>
      </c>
      <c r="C62" s="27">
        <f>IF(OR(-11055.58641="",-11055.58641=0),"-",-11055.58641)</f>
        <v>-11055.58641</v>
      </c>
      <c r="D62" s="27">
        <f>IF(OR(-7683.79781="",-11055.58641="",-7683.79781=0,-11055.58641=0),"-",-11055.58641/-7683.79781*100)</f>
        <v>143.8817975612505</v>
      </c>
    </row>
    <row r="63" spans="1:4" ht="15.75">
      <c r="A63" s="8" t="s">
        <v>91</v>
      </c>
      <c r="B63" s="27">
        <f>IF(OR(-99888.40938="",-99888.40938=0),"-",-99888.40938)</f>
        <v>-99888.40938</v>
      </c>
      <c r="C63" s="27">
        <f>IF(OR(-123863.76805="",-123863.76805=0),"-",-123863.76805)</f>
        <v>-123863.76805</v>
      </c>
      <c r="D63" s="27">
        <f>IF(OR(-99888.40938="",-123863.76805="",-99888.40938=0,-123863.76805=0),"-",-123863.76805/-99888.40938*100)</f>
        <v>124.00214280997494</v>
      </c>
    </row>
    <row r="64" spans="1:4" ht="15.75">
      <c r="A64" s="8" t="s">
        <v>92</v>
      </c>
      <c r="B64" s="27">
        <f>IF(OR(-3842.93182="",-3842.93182=0),"-",-3842.93182)</f>
        <v>-3842.93182</v>
      </c>
      <c r="C64" s="27">
        <f>IF(OR(-6692.65664="",-6692.65664=0),"-",-6692.65664)</f>
        <v>-6692.65664</v>
      </c>
      <c r="D64" s="27" t="s">
        <v>214</v>
      </c>
    </row>
    <row r="65" spans="1:4" ht="25.5">
      <c r="A65" s="8" t="s">
        <v>93</v>
      </c>
      <c r="B65" s="27">
        <f>IF(OR(-70944.51818="",-70944.51818=0),"-",-70944.51818)</f>
        <v>-70944.51818</v>
      </c>
      <c r="C65" s="27">
        <f>IF(OR(-98955.64137="",-98955.64137=0),"-",-98955.64137)</f>
        <v>-98955.64137</v>
      </c>
      <c r="D65" s="27">
        <f>IF(OR(-70944.51818="",-98955.64137="",-70944.51818=0,-98955.64137=0),"-",-98955.64137/-70944.51818*100)</f>
        <v>139.48313965418774</v>
      </c>
    </row>
    <row r="66" spans="1:4" ht="25.5">
      <c r="A66" s="8" t="s">
        <v>94</v>
      </c>
      <c r="B66" s="27">
        <f>IF(OR(-24493.6413="",-24493.6413=0),"-",-24493.6413)</f>
        <v>-24493.6413</v>
      </c>
      <c r="C66" s="27">
        <f>IF(OR(-34575.74516="",-34575.74516=0),"-",-34575.74516)</f>
        <v>-34575.74516</v>
      </c>
      <c r="D66" s="27">
        <f>IF(OR(-24493.6413="",-34575.74516="",-24493.6413=0,-34575.74516=0),"-",-34575.74516/-24493.6413*100)</f>
        <v>141.16212749469798</v>
      </c>
    </row>
    <row r="67" spans="1:4" ht="25.5">
      <c r="A67" s="8" t="s">
        <v>95</v>
      </c>
      <c r="B67" s="27">
        <f>IF(OR(-59773.13865="",-59773.13865=0),"-",-59773.13865)</f>
        <v>-59773.13865</v>
      </c>
      <c r="C67" s="27">
        <f>IF(OR(-85619.43793="",-85619.43793=0),"-",-85619.43793)</f>
        <v>-85619.43793</v>
      </c>
      <c r="D67" s="27">
        <f>IF(OR(-59773.13865="",-85619.43793="",-59773.13865=0,-85619.43793=0),"-",-85619.43793/-59773.13865*100)</f>
        <v>143.24065937266957</v>
      </c>
    </row>
    <row r="68" spans="1:4" ht="25.5">
      <c r="A68" s="8" t="s">
        <v>96</v>
      </c>
      <c r="B68" s="27">
        <f>IF(OR(-15078.9527="",-15078.9527=0),"-",-15078.9527)</f>
        <v>-15078.9527</v>
      </c>
      <c r="C68" s="27">
        <f>IF(OR(22599.99262="",22599.99262=0),"-",22599.99262)</f>
        <v>22599.99262</v>
      </c>
      <c r="D68" s="27" t="s">
        <v>33</v>
      </c>
    </row>
    <row r="69" spans="1:4" ht="15.75">
      <c r="A69" s="8" t="s">
        <v>97</v>
      </c>
      <c r="B69" s="27">
        <f>IF(OR(-150417.1519="",-150417.1519=0),"-",-150417.1519)</f>
        <v>-150417.1519</v>
      </c>
      <c r="C69" s="27">
        <f>IF(OR(-182701.85537="",-182701.85537=0),"-",-182701.85537)</f>
        <v>-182701.85537</v>
      </c>
      <c r="D69" s="27">
        <f>IF(OR(-150417.1519="",-182701.85537="",-150417.1519=0,-182701.85537=0),"-",-182701.85537/-150417.1519*100)</f>
        <v>121.46344553276973</v>
      </c>
    </row>
    <row r="70" spans="1:4" ht="15.75">
      <c r="A70" s="8" t="s">
        <v>98</v>
      </c>
      <c r="B70" s="27">
        <f>IF(OR(-606.593="",-606.593=0),"-",-606.593)</f>
        <v>-606.593</v>
      </c>
      <c r="C70" s="27">
        <f>IF(OR(13457.03071="",13457.03071=0),"-",13457.03071)</f>
        <v>13457.03071</v>
      </c>
      <c r="D70" s="27" t="s">
        <v>33</v>
      </c>
    </row>
    <row r="71" spans="1:4" ht="15.75">
      <c r="A71" s="9" t="s">
        <v>99</v>
      </c>
      <c r="B71" s="26">
        <f>IF(68932.4265="","-",68932.4265)</f>
        <v>68932.4265</v>
      </c>
      <c r="C71" s="26">
        <f>IF(23692.79217="","-",23692.79217)</f>
        <v>23692.79217</v>
      </c>
      <c r="D71" s="26">
        <f>IF(68932.4265="","-",23692.79217/68932.4265*100)</f>
        <v>34.37104041303406</v>
      </c>
    </row>
    <row r="72" spans="1:4" ht="25.5">
      <c r="A72" s="8" t="s">
        <v>100</v>
      </c>
      <c r="B72" s="27">
        <f>IF(OR(-22599.35318="",-22599.35318=0),"-",-22599.35318)</f>
        <v>-22599.35318</v>
      </c>
      <c r="C72" s="27">
        <f>IF(OR(-24587.69988="",-24587.69988=0),"-",-24587.69988)</f>
        <v>-24587.69988</v>
      </c>
      <c r="D72" s="27">
        <f>IF(OR(-22599.35318="",-24587.69988="",-22599.35318=0,-24587.69988=0),"-",-24587.69988/-22599.35318*100)</f>
        <v>108.79824605670419</v>
      </c>
    </row>
    <row r="73" spans="1:4" ht="15.75">
      <c r="A73" s="8" t="s">
        <v>101</v>
      </c>
      <c r="B73" s="27">
        <f>IF(OR(67328.99532="",67328.99532=0),"-",67328.99532)</f>
        <v>67328.99532</v>
      </c>
      <c r="C73" s="27">
        <f>IF(OR(71814.3783="",71814.3783=0),"-",71814.3783)</f>
        <v>71814.3783</v>
      </c>
      <c r="D73" s="27">
        <f>IF(OR(67328.99532="",71814.3783="",67328.99532=0,71814.3783=0),"-",71814.3783/67328.99532*100)</f>
        <v>106.66188906975658</v>
      </c>
    </row>
    <row r="74" spans="1:4" ht="15.75">
      <c r="A74" s="8" t="s">
        <v>102</v>
      </c>
      <c r="B74" s="27">
        <f>IF(OR(8233.81768="",8233.81768=0),"-",8233.81768)</f>
        <v>8233.81768</v>
      </c>
      <c r="C74" s="27">
        <f>IF(OR(-1901.62472="",-1901.62472=0),"-",-1901.62472)</f>
        <v>-1901.62472</v>
      </c>
      <c r="D74" s="27" t="s">
        <v>33</v>
      </c>
    </row>
    <row r="75" spans="1:4" ht="15.75">
      <c r="A75" s="8" t="s">
        <v>103</v>
      </c>
      <c r="B75" s="27">
        <f>IF(OR(121051.63726="",121051.63726=0),"-",121051.63726)</f>
        <v>121051.63726</v>
      </c>
      <c r="C75" s="27">
        <f>IF(OR(123243.27278="",123243.27278=0),"-",123243.27278)</f>
        <v>123243.27278</v>
      </c>
      <c r="D75" s="27">
        <f>IF(OR(121051.63726="",123243.27278="",121051.63726=0,123243.27278=0),"-",123243.27278/121051.63726*100)</f>
        <v>101.81049638782886</v>
      </c>
    </row>
    <row r="76" spans="1:4" ht="15.75">
      <c r="A76" s="8" t="s">
        <v>104</v>
      </c>
      <c r="B76" s="27">
        <f>IF(OR(3295.56251="",3295.56251=0),"-",3295.56251)</f>
        <v>3295.56251</v>
      </c>
      <c r="C76" s="27">
        <f>IF(OR(-7837.69785="",-7837.69785=0),"-",-7837.69785)</f>
        <v>-7837.69785</v>
      </c>
      <c r="D76" s="27" t="s">
        <v>33</v>
      </c>
    </row>
    <row r="77" spans="1:4" ht="15.75">
      <c r="A77" s="8" t="s">
        <v>105</v>
      </c>
      <c r="B77" s="27">
        <f>IF(OR(-11590.99795="",-11590.99795=0),"-",-11590.99795)</f>
        <v>-11590.99795</v>
      </c>
      <c r="C77" s="27">
        <f>IF(OR(-20976.95796="",-20976.95796=0),"-",-20976.95796)</f>
        <v>-20976.95796</v>
      </c>
      <c r="D77" s="27" t="s">
        <v>213</v>
      </c>
    </row>
    <row r="78" spans="1:4" ht="25.5">
      <c r="A78" s="8" t="s">
        <v>106</v>
      </c>
      <c r="B78" s="27">
        <f>IF(OR(-4353.13499="",-4353.13499=0),"-",-4353.13499)</f>
        <v>-4353.13499</v>
      </c>
      <c r="C78" s="27">
        <f>IF(OR(-5782.96661="",-5782.96661=0),"-",-5782.96661)</f>
        <v>-5782.96661</v>
      </c>
      <c r="D78" s="27">
        <f>IF(OR(-4353.13499="",-5782.96661="",-4353.13499=0,-5782.96661=0),"-",-5782.96661/-4353.13499*100)</f>
        <v>132.84602070196775</v>
      </c>
    </row>
    <row r="79" spans="1:4" ht="15.75">
      <c r="A79" s="11" t="s">
        <v>107</v>
      </c>
      <c r="B79" s="27">
        <f>IF(OR(-92434.10015="",-92434.10015=0),"-",-92434.10015)</f>
        <v>-92434.10015</v>
      </c>
      <c r="C79" s="27">
        <f>IF(OR(-110277.91189="",-110277.91189=0),"-",-110277.91189)</f>
        <v>-110277.91189</v>
      </c>
      <c r="D79" s="27">
        <f>IF(OR(-92434.10015="",-110277.91189="",-92434.10015=0,-110277.91189=0),"-",-110277.91189/-92434.10015*100)</f>
        <v>119.30436030755259</v>
      </c>
    </row>
    <row r="80" spans="1:4" ht="15.75">
      <c r="A80" s="84" t="s">
        <v>27</v>
      </c>
      <c r="B80" s="84"/>
      <c r="C80" s="84"/>
      <c r="D80" s="84"/>
    </row>
    <row r="81" spans="2:4" ht="15.75">
      <c r="B81" s="21"/>
      <c r="C81" s="21"/>
      <c r="D81" s="22"/>
    </row>
    <row r="82" spans="2:4" ht="15.75">
      <c r="B82" s="21"/>
      <c r="C82" s="21"/>
      <c r="D82" s="22"/>
    </row>
    <row r="83" spans="2:4" ht="15.75">
      <c r="B83" s="21"/>
      <c r="C83" s="21"/>
      <c r="D83" s="22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2017-12-05T12:54:27Z</cp:lastPrinted>
  <dcterms:created xsi:type="dcterms:W3CDTF">2016-09-01T07:59:47Z</dcterms:created>
  <dcterms:modified xsi:type="dcterms:W3CDTF">2017-12-06T08:37:48Z</dcterms:modified>
  <cp:category/>
  <cp:version/>
  <cp:contentType/>
  <cp:contentStatus/>
</cp:coreProperties>
</file>