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<sst xmlns="http://schemas.openxmlformats.org/spreadsheetml/2006/main" count="713" uniqueCount="277">
  <si>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</si>
  <si>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</si>
  <si>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</si>
  <si>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</si>
  <si>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</si>
  <si>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</si>
  <si>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</si>
  <si>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</si>
  <si>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</si>
  <si>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</si>
  <si>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</si>
  <si>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</si>
  <si>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</si>
  <si>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</si>
  <si>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</si>
  <si>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</si>
  <si>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</si>
  <si>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</si>
  <si>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</si>
  <si>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</si>
  <si>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</si>
  <si>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</si>
  <si>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</si>
  <si>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</si>
  <si>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</si>
  <si>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</si>
  <si>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</si>
  <si>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</si>
  <si>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</si>
  <si>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</si>
  <si>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</si>
  <si>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</si>
  <si>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</si>
  <si>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</si>
  <si>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</si>
  <si>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</si>
  <si>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</si>
  <si>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</si>
  <si>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</si>
  <si>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</si>
  <si>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</si>
  <si>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</si>
  <si>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</si>
  <si>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</si>
  <si>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</si>
  <si>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</si>
  <si>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</si>
  <si>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</si>
  <si>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</si>
  <si>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</si>
  <si>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</si>
  <si>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</si>
  <si>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</si>
  <si>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</si>
  <si>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</si>
  <si>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</si>
  <si>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</si>
  <si>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</si>
  <si>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</si>
  <si>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</si>
  <si>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</si>
  <si>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</si>
  <si>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</si>
  <si>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</si>
  <si>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</si>
  <si>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</si>
  <si>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</si>
  <si>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</si>
  <si>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</si>
  <si>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</si>
  <si>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</si>
  <si>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</si>
  <si>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</si>
  <si>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</si>
  <si>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</si>
  <si>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</si>
  <si>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</si>
  <si>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</si>
  <si>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</si>
  <si>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</si>
  <si>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</si>
  <si>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</si>
  <si>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</si>
  <si>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</si>
  <si>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</si>
  <si>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</si>
  <si>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</si>
  <si>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</si>
  <si>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</si>
  <si>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</si>
  <si>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</si>
  <si>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</si>
  <si>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</si>
  <si>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</si>
  <si>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</si>
  <si>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</si>
  <si>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</si>
  <si>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</si>
  <si>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</si>
  <si>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</si>
  <si>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</si>
  <si>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</si>
  <si>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</si>
  <si>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</si>
  <si>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</si>
  <si>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</si>
  <si>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</si>
  <si>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</si>
  <si>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</si>
  <si>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</si>
  <si>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</si>
  <si>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</si>
  <si>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</si>
  <si>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</si>
  <si>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</si>
  <si>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</si>
  <si>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</si>
  <si>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</si>
  <si>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</si>
  <si>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</si>
  <si>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</si>
  <si>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</si>
  <si>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</si>
  <si>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</si>
  <si>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</si>
  <si>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</si>
  <si>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</si>
  <si>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</si>
  <si>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</si>
  <si>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</si>
  <si>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</si>
  <si>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</si>
  <si>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</si>
  <si>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</si>
  <si>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</si>
  <si>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</si>
  <si>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</si>
  <si>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</si>
  <si>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</si>
  <si>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</si>
  <si>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</si>
  <si>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</si>
  <si>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</si>
  <si>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</si>
  <si>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</si>
  <si>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</si>
  <si>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</si>
  <si>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</si>
  <si>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</si>
  <si>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</si>
  <si>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</si>
  <si>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</si>
  <si>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</si>
  <si>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</si>
  <si>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</si>
  <si>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</si>
  <si>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</si>
  <si>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</si>
  <si>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</si>
  <si>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</si>
  <si>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</si>
  <si>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</si>
  <si>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</si>
  <si>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</si>
  <si>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</si>
  <si>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</si>
  <si>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</si>
  <si>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</si>
  <si>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</si>
  <si>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</si>
  <si>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</si>
  <si>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</si>
  <si>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</si>
  <si>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</si>
  <si>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</si>
  <si>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</si>
  <si>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</si>
  <si>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</si>
  <si>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</si>
  <si>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</si>
  <si>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</si>
  <si>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</si>
  <si>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</si>
  <si>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</si>
  <si>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</si>
  <si>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</si>
  <si>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</si>
  <si>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</si>
  <si>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</si>
  <si>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</si>
  <si>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</si>
  <si>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</si>
  <si>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</si>
  <si>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</si>
  <si>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</si>
  <si>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</si>
  <si>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</si>
  <si>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</si>
  <si>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</si>
  <si>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</si>
  <si>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</si>
  <si>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</si>
  <si>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</si>
  <si>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</si>
  <si>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</si>
  <si>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</si>
  <si>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</si>
  <si>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</si>
  <si>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</si>
  <si>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</si>
  <si>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</si>
  <si>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</si>
  <si>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</si>
  <si>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</si>
  <si>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</si>
  <si>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</si>
  <si>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</si>
  <si>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</si>
  <si>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</si>
  <si>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</si>
  <si>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</si>
  <si>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</si>
  <si>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</si>
  <si>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</si>
  <si>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</si>
  <si>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</si>
  <si>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</si>
  <si>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</si>
  <si>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Gibraltar</t>
  </si>
  <si>
    <t>Jamaica</t>
  </si>
  <si>
    <t>de 3,4 ori</t>
  </si>
  <si>
    <t>Ponderea, %</t>
  </si>
  <si>
    <t>Libia</t>
  </si>
  <si>
    <t>Zambia</t>
  </si>
  <si>
    <t>Swaziland</t>
  </si>
  <si>
    <t>Senegal</t>
  </si>
  <si>
    <t>de 2,9 ori</t>
  </si>
  <si>
    <t>ins.Bahamas</t>
  </si>
  <si>
    <t>Bosnia si Hertegovina</t>
  </si>
  <si>
    <t>Guinea</t>
  </si>
  <si>
    <t>Somalia</t>
  </si>
  <si>
    <t>de 2,3 ori</t>
  </si>
  <si>
    <t>de 7,4 ori</t>
  </si>
  <si>
    <t>de 4,7 ori</t>
  </si>
  <si>
    <t>Etiopia</t>
  </si>
  <si>
    <t>Cuba</t>
  </si>
  <si>
    <t>Ianuarie-septembrie 2017</t>
  </si>
  <si>
    <t>în % faţă de ianuarie-septembrie 2016¹</t>
  </si>
  <si>
    <t>ianuarie-septembrie</t>
  </si>
  <si>
    <t>Ianuarie-septembrie</t>
  </si>
  <si>
    <t>Ianuarie-septembrie 2017 în % faţă de              ianuarie-septembrie 2016</t>
  </si>
  <si>
    <t>Arabia Saudita</t>
  </si>
  <si>
    <t>Sudan</t>
  </si>
  <si>
    <t>de 3,8 ori</t>
  </si>
  <si>
    <t>de 5,4 ori</t>
  </si>
  <si>
    <t>de 49,3 ori</t>
  </si>
  <si>
    <t>de 154,6 ori</t>
  </si>
  <si>
    <t>de 4,5 ori</t>
  </si>
  <si>
    <t>de 3,3 ori</t>
  </si>
  <si>
    <t>de 7,9 ori</t>
  </si>
  <si>
    <t>de 8,5 ori</t>
  </si>
  <si>
    <t>de 742,3 ori</t>
  </si>
  <si>
    <t>de 4,4 ori</t>
  </si>
  <si>
    <t>Rep.Dominicana</t>
  </si>
  <si>
    <t>Liechtenstein</t>
  </si>
  <si>
    <t>Trinidad Tobago</t>
  </si>
  <si>
    <t>de 12,3 ori</t>
  </si>
  <si>
    <t>de 4,6 ori</t>
  </si>
  <si>
    <t>de 4,3 ori</t>
  </si>
  <si>
    <t>de 47,3 ori</t>
  </si>
  <si>
    <t>de 244,5 ori</t>
  </si>
  <si>
    <t>de 5,8 ori</t>
  </si>
  <si>
    <t>de 42,7 ori</t>
  </si>
  <si>
    <t>de 192,6 ori</t>
  </si>
  <si>
    <t>de 3,2 ori</t>
  </si>
  <si>
    <t>de 196,5 ori</t>
  </si>
  <si>
    <t>Ianuarie-septembrie 2017    în % faţă de                          ianuarie-septembrie 2016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</si>
</sst>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15" fillId="0" borderId="14" xfId="0" applyNumberFormat="1" applyFont="1" applyFill="1" applyBorder="1" applyAlignment="1" applyProtection="1">
      <alignment horizontal="right" vertical="top"/>
      <protection/>
    </xf>
    <xf numFmtId="2" fontId="14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2" fontId="5" fillId="0" borderId="0" xfId="0" applyNumberFormat="1" applyFont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7"/>
  <sheetViews>
    <sheetView tabSelected="1" zoomScalePageLayoutView="0" workbookViewId="0" topLeftCell="A1">
      <selection activeCell="I52" sqref="I52"/>
    </sheetView>
  </sheetViews>
  <sheetFormatPr defaultColWidth="9.00390625" defaultRowHeight="15.75"/>
  <cols>
    <col min="1" max="1" width="33.7539062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51" t="s">
        <v>28</v>
      </c>
      <c r="B1" s="51"/>
      <c r="C1" s="51"/>
      <c r="D1" s="51"/>
      <c r="E1" s="51"/>
      <c r="F1" s="51"/>
      <c r="G1" s="51"/>
    </row>
    <row r="3" spans="1:7" ht="55.5" customHeight="1">
      <c r="A3" s="52"/>
      <c r="B3" s="55" t="s">
        <v>246</v>
      </c>
      <c r="C3" s="56"/>
      <c r="D3" s="55" t="s">
        <v>231</v>
      </c>
      <c r="E3" s="56"/>
      <c r="F3" s="57" t="s">
        <v>1</v>
      </c>
      <c r="G3" s="58"/>
    </row>
    <row r="4" spans="1:7" ht="27" customHeight="1">
      <c r="A4" s="53"/>
      <c r="B4" s="59" t="s">
        <v>194</v>
      </c>
      <c r="C4" s="61" t="s">
        <v>247</v>
      </c>
      <c r="D4" s="63" t="s">
        <v>248</v>
      </c>
      <c r="E4" s="63"/>
      <c r="F4" s="63" t="s">
        <v>248</v>
      </c>
      <c r="G4" s="55"/>
    </row>
    <row r="5" spans="1:7" ht="31.5" customHeight="1">
      <c r="A5" s="54"/>
      <c r="B5" s="60"/>
      <c r="C5" s="62"/>
      <c r="D5" s="43">
        <v>2016</v>
      </c>
      <c r="E5" s="43">
        <v>2017</v>
      </c>
      <c r="F5" s="43" t="s">
        <v>2</v>
      </c>
      <c r="G5" s="42" t="s">
        <v>186</v>
      </c>
    </row>
    <row r="6" spans="1:7" ht="15.75" customHeight="1">
      <c r="A6" s="33" t="s">
        <v>31</v>
      </c>
      <c r="B6" s="34">
        <f>IF(1651792.72482="","-",1651792.72482)</f>
        <v>1651792.72482</v>
      </c>
      <c r="C6" s="34">
        <f>IF(1432658.71897="","-",1651792.72482/1432658.71897*100)</f>
        <v>115.29561806649559</v>
      </c>
      <c r="D6" s="34">
        <v>100</v>
      </c>
      <c r="E6" s="34">
        <v>100</v>
      </c>
      <c r="F6" s="34">
        <f>IF(1447581.46785="","-",(1432658.71897-1447581.46785)/1447581.46785*100)</f>
        <v>-1.0308745456767734</v>
      </c>
      <c r="G6" s="34">
        <f>IF(1432658.71897="","-",(1651792.72482-1432658.71897)/1432658.71897*100)</f>
        <v>15.295618066495607</v>
      </c>
    </row>
    <row r="7" spans="1:7" ht="13.5" customHeight="1">
      <c r="A7" s="14" t="s">
        <v>3</v>
      </c>
      <c r="B7" s="35"/>
      <c r="C7" s="36"/>
      <c r="D7" s="37"/>
      <c r="E7" s="37"/>
      <c r="F7" s="37"/>
      <c r="G7" s="37"/>
    </row>
    <row r="8" spans="1:7" ht="15.75" customHeight="1">
      <c r="A8" s="15" t="s">
        <v>4</v>
      </c>
      <c r="B8" s="26">
        <f>IF(1066620.82067="","-",1066620.82067)</f>
        <v>1066620.82067</v>
      </c>
      <c r="C8" s="26">
        <f>IF(914488.23607="","-",1066620.82067/914488.23607*100)</f>
        <v>116.63581647083703</v>
      </c>
      <c r="D8" s="26">
        <f>IF(914488.23607="","-",914488.23607/1432658.71897*100)</f>
        <v>63.831547873974124</v>
      </c>
      <c r="E8" s="26">
        <f>IF(1066620.82067="","-",1066620.82067/1651792.72482*100)</f>
        <v>64.5735269712023</v>
      </c>
      <c r="F8" s="26">
        <f>IF(1447581.46785="","-",(914488.23607-898906.57562)/1447581.46785*100)</f>
        <v>1.0763926449778616</v>
      </c>
      <c r="G8" s="26">
        <f>IF(1432658.71897="","-",(1066620.82067-914488.23607)/1432658.71897*100)</f>
        <v>10.61889915480881</v>
      </c>
    </row>
    <row r="9" spans="1:7" s="29" customFormat="1" ht="15.75">
      <c r="A9" s="45" t="s">
        <v>5</v>
      </c>
      <c r="B9" s="27">
        <f>IF(411022.40416="","-",411022.40416)</f>
        <v>411022.40416</v>
      </c>
      <c r="C9" s="27">
        <f>IF(OR(355667.74983="",411022.40416=""),"-",411022.40416/355667.74983*100)</f>
        <v>115.56358549698646</v>
      </c>
      <c r="D9" s="27">
        <f>IF(355667.74983="","-",355667.74983/1432658.71897*100)</f>
        <v>24.82571355763673</v>
      </c>
      <c r="E9" s="27">
        <f>IF(411022.40416="","-",411022.40416/1651792.72482*100)</f>
        <v>24.883412911555848</v>
      </c>
      <c r="F9" s="27">
        <f>IF(OR(1447581.46785="",333137.33477="",355667.74983=""),"-",(355667.74983-333137.33477)/1447581.46785*100)</f>
        <v>1.5564177602703737</v>
      </c>
      <c r="G9" s="27">
        <f>IF(OR(1432658.71897="",411022.40416="",355667.74983=""),"-",(411022.40416-355667.74983)/1432658.71897*100)</f>
        <v>3.8637711547797533</v>
      </c>
    </row>
    <row r="10" spans="1:7" s="29" customFormat="1" ht="15.75">
      <c r="A10" s="45" t="s">
        <v>6</v>
      </c>
      <c r="B10" s="27">
        <f>IF(159258.85923="","-",159258.85923)</f>
        <v>159258.85923</v>
      </c>
      <c r="C10" s="27">
        <f>IF(OR(142309.51642="",159258.85923=""),"-",159258.85923/142309.51642*100)</f>
        <v>111.91019633569492</v>
      </c>
      <c r="D10" s="27">
        <f>IF(142309.51642="","-",142309.51642/1432658.71897*100)</f>
        <v>9.933246106393883</v>
      </c>
      <c r="E10" s="27">
        <f>IF(159258.85923="","-",159258.85923/1651792.72482*100)</f>
        <v>9.64157650272705</v>
      </c>
      <c r="F10" s="27">
        <f>IF(OR(1447581.46785="",149912.82391="",142309.51642=""),"-",(142309.51642-149912.82391)/1447581.46785*100)</f>
        <v>-0.5252421130599794</v>
      </c>
      <c r="G10" s="27">
        <f>IF(OR(1432658.71897="",159258.85923="",142309.51642=""),"-",(159258.85923-142309.51642)/1432658.71897*100)</f>
        <v>1.1830691137792826</v>
      </c>
    </row>
    <row r="11" spans="1:7" s="29" customFormat="1" ht="15.75">
      <c r="A11" s="45" t="s">
        <v>7</v>
      </c>
      <c r="B11" s="27">
        <f>IF(109737.74077="","-",109737.74077)</f>
        <v>109737.74077</v>
      </c>
      <c r="C11" s="27">
        <f>IF(OR(91009.18816="",109737.74077=""),"-",109737.74077/91009.18816*100)</f>
        <v>120.57874923252146</v>
      </c>
      <c r="D11" s="27">
        <f>IF(91009.18816="","-",91009.18816/1432658.71897*100)</f>
        <v>6.352468103878252</v>
      </c>
      <c r="E11" s="27">
        <f>IF(109737.74077="","-",109737.74077/1651792.72482*100)</f>
        <v>6.643553947239863</v>
      </c>
      <c r="F11" s="27">
        <f>IF(OR(1447581.46785="",86526.32527="",91009.18816=""),"-",(91009.18816-86526.32527)/1447581.46785*100)</f>
        <v>0.3096794888275347</v>
      </c>
      <c r="G11" s="27">
        <f>IF(OR(1432658.71897="",109737.74077="",91009.18816=""),"-",(109737.74077-91009.18816)/1432658.71897*100)</f>
        <v>1.3072584811730152</v>
      </c>
    </row>
    <row r="12" spans="1:7" s="29" customFormat="1" ht="15.75">
      <c r="A12" s="45" t="s">
        <v>209</v>
      </c>
      <c r="B12" s="27">
        <f>IF(95335.69919="","-",95335.69919)</f>
        <v>95335.69919</v>
      </c>
      <c r="C12" s="27">
        <f>IF(OR(89199.76153="",95335.69919=""),"-",95335.69919/89199.76153*100)</f>
        <v>106.87887226911063</v>
      </c>
      <c r="D12" s="27">
        <f>IF(89199.76153="","-",89199.76153/1432658.71897*100)</f>
        <v>6.226169592862252</v>
      </c>
      <c r="E12" s="27">
        <f>IF(95335.69919="","-",95335.69919/1651792.72482*100)</f>
        <v>5.771650265646313</v>
      </c>
      <c r="F12" s="27">
        <f>IF(OR(1447581.46785="",108690.64611="",89199.76153=""),"-",(89199.76153-108690.64611)/1447581.46785*100)</f>
        <v>-1.3464447433793527</v>
      </c>
      <c r="G12" s="27">
        <f>IF(OR(1432658.71897="",95335.69919="",89199.76153=""),"-",(95335.69919-89199.76153)/1432658.71897*100)</f>
        <v>0.4282902535512006</v>
      </c>
    </row>
    <row r="13" spans="1:7" s="29" customFormat="1" ht="15.75">
      <c r="A13" s="45" t="s">
        <v>8</v>
      </c>
      <c r="B13" s="27">
        <f>IF(58862.65347="","-",58862.65347)</f>
        <v>58862.65347</v>
      </c>
      <c r="C13" s="27">
        <f>IF(OR(49188.43102="",58862.65347=""),"-",58862.65347/49188.43102*100)</f>
        <v>119.66767845485143</v>
      </c>
      <c r="D13" s="27">
        <f>IF(49188.43102="","-",49188.43102/1432658.71897*100)</f>
        <v>3.4333669539500433</v>
      </c>
      <c r="E13" s="27">
        <f>IF(58862.65347="","-",58862.65347/1651792.72482*100)</f>
        <v>3.5635617342009067</v>
      </c>
      <c r="F13" s="27">
        <f>IF(OR(1447581.46785="",44883.6377="",49188.43102=""),"-",(49188.43102-44883.6377)/1447581.46785*100)</f>
        <v>0.29737831103859313</v>
      </c>
      <c r="G13" s="27">
        <f>IF(OR(1432658.71897="",58862.65347="",49188.43102=""),"-",(58862.65347-49188.43102)/1432658.71897*100)</f>
        <v>0.6752635726780212</v>
      </c>
    </row>
    <row r="14" spans="1:7" s="29" customFormat="1" ht="15.75">
      <c r="A14" s="45" t="s">
        <v>9</v>
      </c>
      <c r="B14" s="27">
        <f>IF(58336.51363="","-",58336.51363)</f>
        <v>58336.51363</v>
      </c>
      <c r="C14" s="27">
        <f>IF(OR(44781.37739="",58336.51363=""),"-",58336.51363/44781.37739*100)</f>
        <v>130.26958309466147</v>
      </c>
      <c r="D14" s="27">
        <f>IF(44781.37739="","-",44781.37739/1432658.71897*100)</f>
        <v>3.1257533142432736</v>
      </c>
      <c r="E14" s="27">
        <f>IF(58336.51363="","-",58336.51363/1651792.72482*100)</f>
        <v>3.5317090790769208</v>
      </c>
      <c r="F14" s="27">
        <f>IF(OR(1447581.46785="",20719.79559="",44781.37739=""),"-",(44781.37739-20719.79559)/1447581.46785*100)</f>
        <v>1.6621918927808</v>
      </c>
      <c r="G14" s="27">
        <f>IF(OR(1432658.71897="",58336.51363="",44781.37739=""),"-",(58336.51363-44781.37739)/1432658.71897*100)</f>
        <v>0.9461524967890029</v>
      </c>
    </row>
    <row r="15" spans="1:7" s="31" customFormat="1" ht="15.75">
      <c r="A15" s="45" t="s">
        <v>200</v>
      </c>
      <c r="B15" s="27">
        <f>IF(28356.46788="","-",28356.46788)</f>
        <v>28356.46788</v>
      </c>
      <c r="C15" s="27">
        <f>IF(OR(29373.68326="",28356.46788=""),"-",28356.46788/29373.68326*100)</f>
        <v>96.53698390155515</v>
      </c>
      <c r="D15" s="27">
        <f>IF(29373.68326="","-",29373.68326/1432658.71897*100)</f>
        <v>2.050291731803231</v>
      </c>
      <c r="E15" s="27">
        <f>IF(28356.46788="","-",28356.46788/1651792.72482*100)</f>
        <v>1.7167086071946513</v>
      </c>
      <c r="F15" s="27">
        <f>IF(OR(1447581.46785="",28526.08481="",29373.68326=""),"-",(29373.68326-28526.08481)/1447581.46785*100)</f>
        <v>0.058552728728897385</v>
      </c>
      <c r="G15" s="27">
        <f>IF(OR(1432658.71897="",28356.46788="",29373.68326=""),"-",(28356.46788-29373.68326)/1432658.71897*100)</f>
        <v>-0.0710019327374297</v>
      </c>
    </row>
    <row r="16" spans="1:7" s="29" customFormat="1" ht="15.75">
      <c r="A16" s="45" t="s">
        <v>11</v>
      </c>
      <c r="B16" s="27">
        <f>IF(24114.95424="","-",24114.95424)</f>
        <v>24114.95424</v>
      </c>
      <c r="C16" s="27">
        <f>IF(OR(16833.03464="",24114.95424=""),"-",24114.95424/16833.03464*100)</f>
        <v>143.25969592372917</v>
      </c>
      <c r="D16" s="27">
        <f>IF(16833.03464="","-",16833.03464/1432658.71897*100)</f>
        <v>1.1749507693012886</v>
      </c>
      <c r="E16" s="27">
        <f>IF(24114.95424="","-",24114.95424/1651792.72482*100)</f>
        <v>1.4599261685589437</v>
      </c>
      <c r="F16" s="27">
        <f>IF(OR(1447581.46785="",14512.57095="",16833.03464=""),"-",(16833.03464-14512.57095)/1447581.46785*100)</f>
        <v>0.1602993504363135</v>
      </c>
      <c r="G16" s="27">
        <f>IF(OR(1432658.71897="",24114.95424="",16833.03464=""),"-",(24114.95424-16833.03464)/1432658.71897*100)</f>
        <v>0.5082801300532539</v>
      </c>
    </row>
    <row r="17" spans="1:7" s="29" customFormat="1" ht="15.75">
      <c r="A17" s="45" t="s">
        <v>10</v>
      </c>
      <c r="B17" s="27">
        <f>IF(21629.9586="","-",21629.9586)</f>
        <v>21629.9586</v>
      </c>
      <c r="C17" s="27">
        <f>IF(OR(21662.37368="",21629.9586=""),"-",21629.9586/21662.37368*100)</f>
        <v>99.8503622895679</v>
      </c>
      <c r="D17" s="27">
        <f>IF(21662.37368="","-",21662.37368/1432658.71897*100)</f>
        <v>1.5120400548411148</v>
      </c>
      <c r="E17" s="27">
        <f>IF(21629.9586="","-",21629.9586/1651792.72482*100)</f>
        <v>1.3094838277821494</v>
      </c>
      <c r="F17" s="27">
        <f>IF(OR(1447581.46785="",20609.6356="",21662.37368=""),"-",(21662.37368-20609.6356)/1447581.46785*100)</f>
        <v>0.07272392631300839</v>
      </c>
      <c r="G17" s="27">
        <f>IF(OR(1432658.71897="",21629.9586="",21662.37368=""),"-",(21629.9586-21662.37368)/1432658.71897*100)</f>
        <v>-0.0022625821188805837</v>
      </c>
    </row>
    <row r="18" spans="1:7" s="29" customFormat="1" ht="15.75">
      <c r="A18" s="45" t="s">
        <v>12</v>
      </c>
      <c r="B18" s="27">
        <f>IF(21488.27766="","-",21488.27766)</f>
        <v>21488.27766</v>
      </c>
      <c r="C18" s="27">
        <f>IF(OR(16766.54814="",21488.27766=""),"-",21488.27766/16766.54814*100)</f>
        <v>128.16160774760402</v>
      </c>
      <c r="D18" s="27">
        <f>IF(16766.54814="","-",16766.54814/1432658.71897*100)</f>
        <v>1.1703099920443154</v>
      </c>
      <c r="E18" s="27">
        <f>IF(21488.27766="","-",21488.27766/1651792.72482*100)</f>
        <v>1.3009064234946084</v>
      </c>
      <c r="F18" s="27">
        <f>IF(OR(1447581.46785="",17842.53154="",16766.54814=""),"-",(16766.54814-17842.53154)/1447581.46785*100)</f>
        <v>-0.07432973023605298</v>
      </c>
      <c r="G18" s="27">
        <f>IF(OR(1432658.71897="",21488.27766="",16766.54814=""),"-",(21488.27766-16766.54814)/1432658.71897*100)</f>
        <v>0.32957810939053617</v>
      </c>
    </row>
    <row r="19" spans="1:7" s="29" customFormat="1" ht="15.75">
      <c r="A19" s="45" t="s">
        <v>13</v>
      </c>
      <c r="B19" s="27">
        <f>IF(16330.86671="","-",16330.86671)</f>
        <v>16330.86671</v>
      </c>
      <c r="C19" s="27">
        <f>IF(OR(18886.02446="",16330.86671=""),"-",16330.86671/18886.02446*100)</f>
        <v>86.47064258858849</v>
      </c>
      <c r="D19" s="27">
        <f>IF(18886.02446="","-",18886.02446/1432658.71897*100)</f>
        <v>1.3182500626232865</v>
      </c>
      <c r="E19" s="27">
        <f>IF(16330.86671="","-",16330.86671/1651792.72482*100)</f>
        <v>0.9886753019680249</v>
      </c>
      <c r="F19" s="27">
        <f>IF(OR(1447581.46785="",19240.36985="",18886.02446=""),"-",(18886.02446-19240.36985)/1447581.46785*100)</f>
        <v>-0.024478441999280714</v>
      </c>
      <c r="G19" s="27">
        <f>IF(OR(1432658.71897="",16330.86671="",18886.02446=""),"-",(16330.86671-18886.02446)/1432658.71897*100)</f>
        <v>-0.17835076254846047</v>
      </c>
    </row>
    <row r="20" spans="1:7" s="29" customFormat="1" ht="15.75">
      <c r="A20" s="45" t="s">
        <v>123</v>
      </c>
      <c r="B20" s="27">
        <f>IF(15945.00279="","-",15945.00279)</f>
        <v>15945.00279</v>
      </c>
      <c r="C20" s="27" t="s">
        <v>253</v>
      </c>
      <c r="D20" s="27">
        <f>IF(4180.52292="","-",4180.52292/1432658.71897*100)</f>
        <v>0.29180172951486716</v>
      </c>
      <c r="E20" s="27">
        <f>IF(15945.00279="","-",15945.00279/1651792.72482*100)</f>
        <v>0.9653149908223241</v>
      </c>
      <c r="F20" s="27">
        <f>IF(OR(1447581.46785="",7914.54391="",4180.52292=""),"-",(4180.52292-7914.54391)/1447581.46785*100)</f>
        <v>-0.2579489357200671</v>
      </c>
      <c r="G20" s="27">
        <f>IF(OR(1432658.71897="",15945.00279="",4180.52292=""),"-",(15945.00279-4180.52292)/1432658.71897*100)</f>
        <v>0.8211641554422668</v>
      </c>
    </row>
    <row r="21" spans="1:7" s="29" customFormat="1" ht="15.75">
      <c r="A21" s="45" t="s">
        <v>124</v>
      </c>
      <c r="B21" s="27">
        <f>IF(9250.25021="","-",9250.25021)</f>
        <v>9250.25021</v>
      </c>
      <c r="C21" s="27">
        <f>IF(OR(7008.64512="",9250.25021=""),"-",9250.25021/7008.64512*100)</f>
        <v>131.98342977308573</v>
      </c>
      <c r="D21" s="27">
        <f>IF(7008.64512="","-",7008.64512/1432658.71897*100)</f>
        <v>0.4892054909656932</v>
      </c>
      <c r="E21" s="27">
        <f>IF(9250.25021="","-",9250.25021/1651792.72482*100)</f>
        <v>0.5600127710338489</v>
      </c>
      <c r="F21" s="27">
        <f>IF(OR(1447581.46785="",6815.84267="",7008.64512=""),"-",(7008.64512-6815.84267)/1447581.46785*100)</f>
        <v>0.013318936051755157</v>
      </c>
      <c r="G21" s="27">
        <f>IF(OR(1432658.71897="",9250.25021="",7008.64512=""),"-",(9250.25021-7008.64512)/1432658.71897*100)</f>
        <v>0.15646469464909174</v>
      </c>
    </row>
    <row r="22" spans="1:7" s="16" customFormat="1" ht="15.75">
      <c r="A22" s="45" t="s">
        <v>125</v>
      </c>
      <c r="B22" s="27">
        <f>IF(7663.52449="","-",7663.52449)</f>
        <v>7663.52449</v>
      </c>
      <c r="C22" s="27" t="s">
        <v>215</v>
      </c>
      <c r="D22" s="27">
        <f>IF(4872.939="","-",4872.939/1432658.71897*100)</f>
        <v>0.34013257557273413</v>
      </c>
      <c r="E22" s="27">
        <f>IF(7663.52449="","-",7663.52449/1651792.72482*100)</f>
        <v>0.463951945958299</v>
      </c>
      <c r="F22" s="27">
        <f>IF(OR(1447581.46785="",3270.4936="",4872.939=""),"-",(4872.939-3270.4936)/1447581.46785*100)</f>
        <v>0.11069811513821119</v>
      </c>
      <c r="G22" s="27">
        <f>IF(OR(1432658.71897="",7663.52449="",4872.939=""),"-",(7663.52449-4872.939)/1432658.71897*100)</f>
        <v>0.19478368805142032</v>
      </c>
    </row>
    <row r="23" spans="1:7" s="16" customFormat="1" ht="15.75">
      <c r="A23" s="45" t="s">
        <v>127</v>
      </c>
      <c r="B23" s="27">
        <f>IF(7359.06623="","-",7359.06623)</f>
        <v>7359.06623</v>
      </c>
      <c r="C23" s="27">
        <f>IF(OR(5477.97843="",7359.06623=""),"-",7359.06623/5477.97843*100)</f>
        <v>134.33908738483296</v>
      </c>
      <c r="D23" s="27">
        <f>IF(5477.97843="","-",5477.97843/1432658.71897*100)</f>
        <v>0.38236450575880027</v>
      </c>
      <c r="E23" s="27">
        <f>IF(7359.06623="","-",7359.06623/1651792.72482*100)</f>
        <v>0.445519956555199</v>
      </c>
      <c r="F23" s="27">
        <f>IF(OR(1447581.46785="",6453.71634="",5477.97843=""),"-",(5477.97843-6453.71634)/1447581.46785*100)</f>
        <v>-0.06740469753658845</v>
      </c>
      <c r="G23" s="27">
        <f>IF(OR(1432658.71897="",7359.06623="",5477.97843=""),"-",(7359.06623-5477.97843)/1432658.71897*100)</f>
        <v>0.13130048176109907</v>
      </c>
    </row>
    <row r="24" spans="1:7" s="29" customFormat="1" ht="15.75">
      <c r="A24" s="45" t="s">
        <v>130</v>
      </c>
      <c r="B24" s="27">
        <f>IF(6286.38473="","-",6286.38473)</f>
        <v>6286.38473</v>
      </c>
      <c r="C24" s="27" t="s">
        <v>189</v>
      </c>
      <c r="D24" s="27">
        <f>IF(2489.8118="","-",2489.8118/1432658.71897*100)</f>
        <v>0.17378959601697974</v>
      </c>
      <c r="E24" s="27">
        <f>IF(6286.38473="","-",6286.38473/1651792.72482*100)</f>
        <v>0.3805795143385829</v>
      </c>
      <c r="F24" s="27">
        <f>IF(OR(1447581.46785="",6570.39093="",2489.8118=""),"-",(2489.8118-6570.39093)/1447581.46785*100)</f>
        <v>-0.2818894287214537</v>
      </c>
      <c r="G24" s="27">
        <f>IF(OR(1432658.71897="",6286.38473="",2489.8118=""),"-",(6286.38473-2489.8118)/1432658.71897*100)</f>
        <v>0.2650019072741566</v>
      </c>
    </row>
    <row r="25" spans="1:7" s="29" customFormat="1" ht="15.75">
      <c r="A25" s="45" t="s">
        <v>126</v>
      </c>
      <c r="B25" s="27">
        <f>IF(5715.85027="","-",5715.85027)</f>
        <v>5715.85027</v>
      </c>
      <c r="C25" s="27">
        <f>IF(OR(5285.80166="",5715.85027=""),"-",5715.85027/5285.80166*100)</f>
        <v>108.13592029482241</v>
      </c>
      <c r="D25" s="27">
        <f>IF(5285.80166="","-",5285.80166/1432658.71897*100)</f>
        <v>0.368950510684093</v>
      </c>
      <c r="E25" s="27">
        <f>IF(5715.85027="","-",5715.85027/1651792.72482*100)</f>
        <v>0.34603919632972535</v>
      </c>
      <c r="F25" s="27">
        <f>IF(OR(1447581.46785="",6285.53588="",5285.80166=""),"-",(5285.80166-6285.53588)/1447581.46785*100)</f>
        <v>-0.06906238040507948</v>
      </c>
      <c r="G25" s="27">
        <f>IF(OR(1432658.71897="",5715.85027="",5285.80166=""),"-",(5715.85027-5285.80166)/1432658.71897*100)</f>
        <v>0.030017519476598045</v>
      </c>
    </row>
    <row r="26" spans="1:7" s="16" customFormat="1" ht="15.75">
      <c r="A26" s="45" t="s">
        <v>128</v>
      </c>
      <c r="B26" s="27">
        <f>IF(3910.7244="","-",3910.7244)</f>
        <v>3910.7244</v>
      </c>
      <c r="C26" s="27">
        <f>IF(OR(3619.64953="",3910.7244=""),"-",3910.7244/3619.64953*100)</f>
        <v>108.04152080436363</v>
      </c>
      <c r="D26" s="27">
        <f>IF(3619.64953="","-",3619.64953/1432658.71897*100)</f>
        <v>0.25265260191222105</v>
      </c>
      <c r="E26" s="27">
        <f>IF(3910.7244="","-",3910.7244/1651792.72482*100)</f>
        <v>0.23675636423608545</v>
      </c>
      <c r="F26" s="27">
        <f>IF(OR(1447581.46785="",8998.60682="",3619.64953=""),"-",(3619.64953-8998.60682)/1447581.46785*100)</f>
        <v>-0.37158235370262244</v>
      </c>
      <c r="G26" s="27">
        <f>IF(OR(1432658.71897="",3910.7244="",3619.64953=""),"-",(3910.7244-3619.64953)/1432658.71897*100)</f>
        <v>0.02031711154553725</v>
      </c>
    </row>
    <row r="27" spans="1:7" s="16" customFormat="1" ht="15.75">
      <c r="A27" s="45" t="s">
        <v>129</v>
      </c>
      <c r="B27" s="27">
        <f>IF(2420.21537="","-",2420.21537)</f>
        <v>2420.21537</v>
      </c>
      <c r="C27" s="27">
        <f>IF(OR(2705.86243="",2420.21537=""),"-",2420.21537/2705.86243*100)</f>
        <v>89.44340049098504</v>
      </c>
      <c r="D27" s="27">
        <f>IF(2705.86243="","-",2705.86243/1432658.71897*100)</f>
        <v>0.1888699935421718</v>
      </c>
      <c r="E27" s="27">
        <f>IF(2420.21537="","-",2420.21537/1651792.72482*100)</f>
        <v>0.14652052485966344</v>
      </c>
      <c r="F27" s="27">
        <f>IF(OR(1447581.46785="",2778.38624="",2705.86243=""),"-",(2705.86243-2778.38624)/1447581.46785*100)</f>
        <v>-0.005009998512050217</v>
      </c>
      <c r="G27" s="27">
        <f>IF(OR(1432658.71897="",2420.21537="",2705.86243=""),"-",(2420.21537-2705.86243)/1432658.71897*100)</f>
        <v>-0.01993824881094949</v>
      </c>
    </row>
    <row r="28" spans="1:7" s="16" customFormat="1" ht="15.75">
      <c r="A28" s="45" t="s">
        <v>131</v>
      </c>
      <c r="B28" s="27">
        <f>IF(1116.43687="","-",1116.43687)</f>
        <v>1116.43687</v>
      </c>
      <c r="C28" s="27">
        <f>IF(OR(1043.18613="",1116.43687=""),"-",1116.43687/1043.18613*100)</f>
        <v>107.02182840563648</v>
      </c>
      <c r="D28" s="27">
        <f>IF(1043.18613="","-",1043.18613/1432658.71897*100)</f>
        <v>0.0728146987267136</v>
      </c>
      <c r="E28" s="27">
        <f>IF(1116.43687="","-",1116.43687/1651792.72482*100)</f>
        <v>0.06758940472520007</v>
      </c>
      <c r="F28" s="27">
        <f>IF(OR(1447581.46785="",1850.18683="",1043.18613=""),"-",(1043.18613-1850.18683)/1447581.46785*100)</f>
        <v>-0.055748206088779687</v>
      </c>
      <c r="G28" s="27">
        <f>IF(OR(1432658.71897="",1116.43687="",1043.18613=""),"-",(1116.43687-1043.18613)/1432658.71897*100)</f>
        <v>0.005112923198671004</v>
      </c>
    </row>
    <row r="29" spans="1:7" s="16" customFormat="1" ht="15.75">
      <c r="A29" s="45" t="s">
        <v>133</v>
      </c>
      <c r="B29" s="27">
        <f>IF(912.13157="","-",912.13157)</f>
        <v>912.13157</v>
      </c>
      <c r="C29" s="27" t="s">
        <v>215</v>
      </c>
      <c r="D29" s="27">
        <f>IF(575.12917="","-",575.12917/1432658.71897*100)</f>
        <v>0.04014418523997712</v>
      </c>
      <c r="E29" s="27">
        <f>IF(912.13157="","-",912.13157/1651792.72482*100)</f>
        <v>0.05522070392333259</v>
      </c>
      <c r="F29" s="27">
        <f>IF(OR(1447581.46785="",2049.6914="",575.12917=""),"-",(575.12917-2049.6914)/1447581.46785*100)</f>
        <v>-0.10186385103354996</v>
      </c>
      <c r="G29" s="27">
        <f>IF(OR(1432658.71897="",912.13157="",575.12917=""),"-",(912.13157-575.12917)/1432658.71897*100)</f>
        <v>0.02352286664909878</v>
      </c>
    </row>
    <row r="30" spans="1:7" s="16" customFormat="1" ht="15.75">
      <c r="A30" s="45" t="s">
        <v>136</v>
      </c>
      <c r="B30" s="27">
        <f>IF(613.91178="","-",613.91178)</f>
        <v>613.91178</v>
      </c>
      <c r="C30" s="27" t="s">
        <v>208</v>
      </c>
      <c r="D30" s="27">
        <f>IF(198.79953="","-",198.79953/1432658.71897*100)</f>
        <v>0.01387626567078903</v>
      </c>
      <c r="E30" s="27">
        <f>IF(613.91178="","-",613.91178/1651792.72482*100)</f>
        <v>0.03716639326322857</v>
      </c>
      <c r="F30" s="27">
        <f>IF(OR(1447581.46785="",42.8562="",198.79953=""),"-",(198.79953-42.8562)/1447581.46785*100)</f>
        <v>0.010772680741182232</v>
      </c>
      <c r="G30" s="27">
        <f>IF(OR(1432658.71897="",613.91178="",198.79953=""),"-",(613.91178-198.79953)/1432658.71897*100)</f>
        <v>0.028974957155074733</v>
      </c>
    </row>
    <row r="31" spans="1:7" s="16" customFormat="1" ht="15.75">
      <c r="A31" s="45" t="s">
        <v>201</v>
      </c>
      <c r="B31" s="27">
        <f>IF(457.62775="","-",457.62775)</f>
        <v>457.62775</v>
      </c>
      <c r="C31" s="27" t="s">
        <v>185</v>
      </c>
      <c r="D31" s="27">
        <f>IF(162.64384="","-",162.64384/1432658.71897*100)</f>
        <v>0.01135258787360968</v>
      </c>
      <c r="E31" s="27">
        <f>IF(457.62775="","-",457.62775/1651792.72482*100)</f>
        <v>0.02770491376573104</v>
      </c>
      <c r="F31" s="27">
        <f>IF(OR(1447581.46785="",174.40519="",162.64384=""),"-",(162.64384-174.40519)/1447581.46785*100)</f>
        <v>-0.0008124827694477448</v>
      </c>
      <c r="G31" s="27">
        <f>IF(OR(1432658.71897="",457.62775="",162.64384=""),"-",(457.62775-162.64384)/1432658.71897*100)</f>
        <v>0.020589963687379545</v>
      </c>
    </row>
    <row r="32" spans="1:7" s="16" customFormat="1" ht="15.75">
      <c r="A32" s="45" t="s">
        <v>135</v>
      </c>
      <c r="B32" s="27">
        <f>IF(247.44813="","-",247.44813)</f>
        <v>247.44813</v>
      </c>
      <c r="C32" s="27">
        <f>IF(OR(369.93565="",247.44813=""),"-",247.44813/369.93565*100)</f>
        <v>66.88950632359979</v>
      </c>
      <c r="D32" s="27">
        <f>IF(369.93565="","-",369.93565/1432658.71897*100)</f>
        <v>0.02582161718639891</v>
      </c>
      <c r="E32" s="27">
        <f>IF(247.44813="","-",247.44813/1651792.72482*100)</f>
        <v>0.014980579965138486</v>
      </c>
      <c r="F32" s="27">
        <f>IF(OR(1447581.46785="",288.98211="",369.93565=""),"-",(369.93565-288.98211)/1447581.46785*100)</f>
        <v>0.00559233050421923</v>
      </c>
      <c r="G32" s="27">
        <f>IF(OR(1432658.71897="",247.44813="",369.93565=""),"-",(247.44813-369.93565)/1432658.71897*100)</f>
        <v>-0.008549664925646882</v>
      </c>
    </row>
    <row r="33" spans="1:7" s="16" customFormat="1" ht="15.75">
      <c r="A33" s="45" t="s">
        <v>134</v>
      </c>
      <c r="B33" s="27">
        <f>IF(115.49706="","-",115.49706)</f>
        <v>115.49706</v>
      </c>
      <c r="C33" s="27">
        <f>IF(OR(284.00586="",115.49706=""),"-",115.49706/284.00586*100)</f>
        <v>40.6671397554966</v>
      </c>
      <c r="D33" s="27">
        <f>IF(284.00586="","-",284.00586/1432658.71897*100)</f>
        <v>0.01982369256819126</v>
      </c>
      <c r="E33" s="27">
        <f>IF(115.49706="","-",115.49706/1651792.72482*100)</f>
        <v>0.006992224766735549</v>
      </c>
      <c r="F33" s="27">
        <f>IF(OR(1447581.46785="",88.86172="",284.00586=""),"-",(284.00586-88.86172)/1447581.46785*100)</f>
        <v>0.013480701731408256</v>
      </c>
      <c r="G33" s="27">
        <f>IF(OR(1432658.71897="",115.49706="",284.00586=""),"-",(115.49706-284.00586)/1432658.71897*100)</f>
        <v>-0.011761963806784926</v>
      </c>
    </row>
    <row r="34" spans="1:7" s="16" customFormat="1" ht="15.75">
      <c r="A34" s="45" t="s">
        <v>132</v>
      </c>
      <c r="B34" s="27">
        <f>IF(86.62022="","-",86.62022)</f>
        <v>86.62022</v>
      </c>
      <c r="C34" s="27">
        <f>IF(OR(392.12717="",86.62022=""),"-",86.62022/392.12717*100)</f>
        <v>22.08982866451208</v>
      </c>
      <c r="D34" s="27">
        <f>IF(392.12717="","-",392.12717/1432658.71897*100)</f>
        <v>0.02737059181002417</v>
      </c>
      <c r="E34" s="27">
        <f>IF(86.62022="","-",86.62022/1651792.72482*100)</f>
        <v>0.005244012683821406</v>
      </c>
      <c r="F34" s="27">
        <f>IF(OR(1447581.46785="",75.50102="",392.12717=""),"-",(392.12717-75.50102)/1447581.46785*100)</f>
        <v>0.021872768962030477</v>
      </c>
      <c r="G34" s="27">
        <f>IF(OR(1432658.71897="",86.62022="",392.12717=""),"-",(86.62022-392.12717)/1432658.71897*100)</f>
        <v>-0.02132447497472685</v>
      </c>
    </row>
    <row r="35" spans="1:7" s="16" customFormat="1" ht="15.75">
      <c r="A35" s="45" t="s">
        <v>137</v>
      </c>
      <c r="B35" s="27">
        <f>IF(29.47279="","-",29.47279)</f>
        <v>29.47279</v>
      </c>
      <c r="C35" s="27">
        <f>IF(OR(89.31444="",29.47279=""),"-",29.47279/89.31444*100)</f>
        <v>32.99890812728602</v>
      </c>
      <c r="D35" s="27">
        <f>IF(89.31444="","-",89.31444/1432658.71897*100)</f>
        <v>0.00623417418380087</v>
      </c>
      <c r="E35" s="27">
        <f>IF(29.47279="","-",29.47279/1651792.72482*100)</f>
        <v>0.001784291064922309</v>
      </c>
      <c r="F35" s="27">
        <f>IF(OR(1447581.46785="",353.50797="",89.31444=""),"-",(89.31444-353.50797)/1447581.46785*100)</f>
        <v>-0.018250684736410016</v>
      </c>
      <c r="G35" s="27">
        <f>IF(OR(1432658.71897="",29.47279="",89.31444=""),"-",(29.47279-89.31444)/1432658.71897*100)</f>
        <v>-0.004176964772393437</v>
      </c>
    </row>
    <row r="36" spans="1:7" s="16" customFormat="1" ht="15.75">
      <c r="A36" s="45" t="s">
        <v>138</v>
      </c>
      <c r="B36" s="27">
        <f>IF(16.26047="","-",16.26047)</f>
        <v>16.26047</v>
      </c>
      <c r="C36" s="27">
        <f>IF(OR(54.19486="",16.26047=""),"-",16.26047/54.19486*100)</f>
        <v>30.003712529195575</v>
      </c>
      <c r="D36" s="27">
        <f>IF(54.19486="","-",54.19486/1432658.71897*100)</f>
        <v>0.0037828171693927927</v>
      </c>
      <c r="E36" s="27">
        <f>IF(16.26047="","-",16.26047/1651792.72482*100)</f>
        <v>0.0009844134651805024</v>
      </c>
      <c r="F36" s="27">
        <f>IF(OR(1447581.46785="",293.31069="",54.19486=""),"-",(54.19486-293.31069)/1447581.46785*100)</f>
        <v>-0.01651829864575038</v>
      </c>
      <c r="G36" s="27">
        <f>IF(OR(1432658.71897="",16.26047="",54.19486=""),"-",(16.26047-54.19486)/1432658.71897*100)</f>
        <v>-0.0026478315803831255</v>
      </c>
    </row>
    <row r="37" spans="1:7" s="16" customFormat="1" ht="14.25" customHeight="1">
      <c r="A37" s="15" t="s">
        <v>14</v>
      </c>
      <c r="B37" s="26">
        <f>IF(336417.50228="","-",336417.50228)</f>
        <v>336417.50228</v>
      </c>
      <c r="C37" s="26">
        <f>IF(300904.74254="","-",336417.50228/300904.74254*100)</f>
        <v>111.80199402649136</v>
      </c>
      <c r="D37" s="26">
        <f>IF(300904.74254="","-",300904.74254/1432658.71897*100)</f>
        <v>21.003239540281676</v>
      </c>
      <c r="E37" s="26">
        <f>IF(336417.50228="","-",336417.50228/1651792.72482*100)</f>
        <v>20.366810994197852</v>
      </c>
      <c r="F37" s="26">
        <f>IF(1447581.46785="","-",(300904.74254-366677.68743)/1447581.46785*100)</f>
        <v>-4.543643749991379</v>
      </c>
      <c r="G37" s="26">
        <f>IF(1432658.71897="","-",(336417.50228-300904.74254)/1432658.71897*100)</f>
        <v>2.478801075913715</v>
      </c>
    </row>
    <row r="38" spans="1:7" s="30" customFormat="1" ht="14.25" customHeight="1">
      <c r="A38" s="45" t="s">
        <v>210</v>
      </c>
      <c r="B38" s="27">
        <f>IF(183029.41835="","-",183029.41835)</f>
        <v>183029.41835</v>
      </c>
      <c r="C38" s="27">
        <f>IF(OR(168218.18476="",183029.41835=""),"-",183029.41835/168218.18476*100)</f>
        <v>108.80477554262724</v>
      </c>
      <c r="D38" s="27">
        <f>IF(168218.18476="","-",168218.18476/1432658.71897*100)</f>
        <v>11.741678777548591</v>
      </c>
      <c r="E38" s="27">
        <f>IF(183029.41835="","-",183029.41835/1651792.72482*100)</f>
        <v>11.08065289305262</v>
      </c>
      <c r="F38" s="27">
        <f>IF(OR(1447581.46785="",174332.30488="",168218.18476=""),"-",(168218.18476-174332.30488)/1447581.46785*100)</f>
        <v>-0.4223679465226174</v>
      </c>
      <c r="G38" s="27">
        <f>IF(OR(1432658.71897="",183029.41835="",168218.18476=""),"-",(183029.41835-168218.18476)/1432658.71897*100)</f>
        <v>1.0338284612994517</v>
      </c>
    </row>
    <row r="39" spans="1:7" s="30" customFormat="1" ht="14.25" customHeight="1">
      <c r="A39" s="45" t="s">
        <v>15</v>
      </c>
      <c r="B39" s="27">
        <f>IF(82247.33197="","-",82247.33197)</f>
        <v>82247.33197</v>
      </c>
      <c r="C39" s="27">
        <f>IF(OR(77879.93316="",82247.33197=""),"-",82247.33197/77879.93316*100)</f>
        <v>105.60786152837012</v>
      </c>
      <c r="D39" s="27">
        <f>IF(77879.93316="","-",77879.93316/1432658.71897*100)</f>
        <v>5.436042242914016</v>
      </c>
      <c r="E39" s="27">
        <f>IF(82247.33197="","-",82247.33197/1651792.72482*100)</f>
        <v>4.979276802358038</v>
      </c>
      <c r="F39" s="27">
        <f>IF(OR(1447581.46785="",100783.94257="",77879.93316=""),"-",(77879.93316-100783.94257)/1447581.46785*100)</f>
        <v>-1.5822259346838599</v>
      </c>
      <c r="G39" s="27">
        <f>IF(OR(1432658.71897="",82247.33197="",77879.93316=""),"-",(82247.33197-77879.93316)/1432658.71897*100)</f>
        <v>0.30484572160632295</v>
      </c>
    </row>
    <row r="40" spans="1:7" s="30" customFormat="1" ht="14.25" customHeight="1">
      <c r="A40" s="45" t="s">
        <v>16</v>
      </c>
      <c r="B40" s="27">
        <f>IF(48846.50375="","-",48846.50375)</f>
        <v>48846.50375</v>
      </c>
      <c r="C40" s="27">
        <f>IF(OR(36193.18054="",48846.50375=""),"-",48846.50375/36193.18054*100)</f>
        <v>134.96051748205934</v>
      </c>
      <c r="D40" s="27">
        <f>IF(36193.18054="","-",36193.18054/1432658.71897*100)</f>
        <v>2.5262946478991752</v>
      </c>
      <c r="E40" s="27">
        <f>IF(48846.50375="","-",48846.50375/1651792.72482*100)</f>
        <v>2.9571811896267395</v>
      </c>
      <c r="F40" s="27">
        <f>IF(OR(1447581.46785="",31126.56115="",36193.18054=""),"-",(36193.18054-31126.56115)/1447581.46785*100)</f>
        <v>0.3500058202268315</v>
      </c>
      <c r="G40" s="27">
        <f>IF(OR(1432658.71897="",48846.50375="",36193.18054=""),"-",(48846.50375-36193.18054)/1432658.71897*100)</f>
        <v>0.883205682027121</v>
      </c>
    </row>
    <row r="41" spans="1:7" s="25" customFormat="1" ht="14.25" customHeight="1">
      <c r="A41" s="45" t="s">
        <v>17</v>
      </c>
      <c r="B41" s="27">
        <f>IF(12199.69708="","-",12199.69708)</f>
        <v>12199.69708</v>
      </c>
      <c r="C41" s="27">
        <f>IF(OR(9257.78442999999="",12199.69708=""),"-",12199.69708/9257.78442999999*100)</f>
        <v>131.77771822453218</v>
      </c>
      <c r="D41" s="27">
        <f>IF(9257.78442999999="","-",9257.78442999999/1432658.71897*100)</f>
        <v>0.6461960763869716</v>
      </c>
      <c r="E41" s="27">
        <f>IF(12199.69708="","-",12199.69708/1651792.72482*100)</f>
        <v>0.738573120990676</v>
      </c>
      <c r="F41" s="27">
        <f>IF(OR(1447581.46785="",49785.80163="",9257.78442999999=""),"-",(9257.78442999999-49785.80163)/1447581.46785*100)</f>
        <v>-2.799705446643613</v>
      </c>
      <c r="G41" s="27">
        <f>IF(OR(1432658.71897="",12199.69708="",9257.78442999999=""),"-",(12199.69708-9257.78442999999)/1432658.71897*100)</f>
        <v>0.20534636833223455</v>
      </c>
    </row>
    <row r="42" spans="1:7" s="30" customFormat="1" ht="14.25" customHeight="1">
      <c r="A42" s="45" t="s">
        <v>19</v>
      </c>
      <c r="B42" s="27">
        <f>IF(4309.7475="","-",4309.7475)</f>
        <v>4309.7475</v>
      </c>
      <c r="C42" s="27">
        <f>IF(OR(3289.44636="",4309.7475=""),"-",4309.7475/3289.44636*100)</f>
        <v>131.01741230399637</v>
      </c>
      <c r="D42" s="27">
        <f>IF(3289.44636="","-",3289.44636/1432658.71897*100)</f>
        <v>0.22960432351711257</v>
      </c>
      <c r="E42" s="27">
        <f>IF(4309.7475="","-",4309.7475/1651792.72482*100)</f>
        <v>0.2609133358708578</v>
      </c>
      <c r="F42" s="27">
        <f>IF(OR(1447581.46785="",4564.53084="",3289.44636=""),"-",(3289.44636-4564.53084)/1447581.46785*100)</f>
        <v>-0.0880837803135047</v>
      </c>
      <c r="G42" s="27">
        <f>IF(OR(1432658.71897="",4309.7475="",3289.44636=""),"-",(4309.7475-3289.44636)/1432658.71897*100)</f>
        <v>0.0712173196931045</v>
      </c>
    </row>
    <row r="43" spans="1:7" s="25" customFormat="1" ht="14.25" customHeight="1">
      <c r="A43" s="45" t="s">
        <v>18</v>
      </c>
      <c r="B43" s="27">
        <f>IF(3513.80939="","-",3513.80939)</f>
        <v>3513.80939</v>
      </c>
      <c r="C43" s="27">
        <f>IF(OR(2790.24782="",3513.80939=""),"-",3513.80939/2790.24782*100)</f>
        <v>125.93180307547019</v>
      </c>
      <c r="D43" s="27">
        <f>IF(2790.24782="","-",2790.24782/1432658.71897*100)</f>
        <v>0.1947601185860949</v>
      </c>
      <c r="E43" s="27">
        <f>IF(3513.80939="","-",3513.80939/1651792.72482*100)</f>
        <v>0.21272701696775598</v>
      </c>
      <c r="F43" s="27">
        <f>IF(OR(1447581.46785="",2251.2245="",2790.24782=""),"-",(2790.24782-2251.2245)/1447581.46785*100)</f>
        <v>0.037236130191731255</v>
      </c>
      <c r="G43" s="27">
        <f>IF(OR(1432658.71897="",3513.80939="",2790.24782=""),"-",(3513.80939-2790.24782)/1432658.71897*100)</f>
        <v>0.05050481042129834</v>
      </c>
    </row>
    <row r="44" spans="1:7" s="25" customFormat="1" ht="14.25" customHeight="1">
      <c r="A44" s="45" t="s">
        <v>22</v>
      </c>
      <c r="B44" s="27">
        <f>IF(773.31378="","-",773.31378)</f>
        <v>773.31378</v>
      </c>
      <c r="C44" s="27">
        <f>IF(OR(587.60671="",773.31378=""),"-",773.31378/587.60671*100)</f>
        <v>131.603973685052</v>
      </c>
      <c r="D44" s="27">
        <f>IF(587.60671="","-",587.60671/1432658.71897*100)</f>
        <v>0.04101512120223969</v>
      </c>
      <c r="E44" s="27">
        <f>IF(773.31378="","-",773.31378/1651792.72482*100)</f>
        <v>0.046816635548765355</v>
      </c>
      <c r="F44" s="27">
        <f>IF(OR(1447581.46785="",759.4897="",587.60671=""),"-",(587.60671-759.4897)/1447581.46785*100)</f>
        <v>-0.011873804260238752</v>
      </c>
      <c r="G44" s="27">
        <f>IF(OR(1432658.71897="",773.31378="",587.60671=""),"-",(773.31378-587.60671)/1432658.71897*100)</f>
        <v>0.012962408111648024</v>
      </c>
    </row>
    <row r="45" spans="1:7" s="25" customFormat="1" ht="14.25" customHeight="1">
      <c r="A45" s="45" t="s">
        <v>20</v>
      </c>
      <c r="B45" s="27">
        <f>IF(661.25925="","-",661.25925)</f>
        <v>661.25925</v>
      </c>
      <c r="C45" s="27">
        <f>IF(OR(1455.36387="",661.25925=""),"-",661.25925/1455.36387*100)</f>
        <v>45.4360083846248</v>
      </c>
      <c r="D45" s="27">
        <f>IF(1455.36387="","-",1455.36387/1432658.71897*100)</f>
        <v>0.10158482622060357</v>
      </c>
      <c r="E45" s="27">
        <f>IF(661.25925="","-",661.25925/1651792.72482*100)</f>
        <v>0.04003282252451251</v>
      </c>
      <c r="F45" s="27">
        <f>IF(OR(1447581.46785="",1307.32007="",1455.36387=""),"-",(1455.36387-1307.32007)/1447581.46785*100)</f>
        <v>0.010226975357724074</v>
      </c>
      <c r="G45" s="27">
        <f>IF(OR(1432658.71897="",661.25925="",1455.36387=""),"-",(661.25925-1455.36387)/1432658.71897*100)</f>
        <v>-0.0554287360615036</v>
      </c>
    </row>
    <row r="46" spans="1:7" s="25" customFormat="1" ht="14.25" customHeight="1">
      <c r="A46" s="45" t="s">
        <v>21</v>
      </c>
      <c r="B46" s="27">
        <f>IF(507.9163="","-",507.9163)</f>
        <v>507.9163</v>
      </c>
      <c r="C46" s="27">
        <f>IF(OR(913.85487="",507.9163=""),"-",507.9163/913.85487*100)</f>
        <v>55.57953638743535</v>
      </c>
      <c r="D46" s="27">
        <f>IF(913.85487="","-",913.85487/1432658.71897*100)</f>
        <v>0.0637873387359838</v>
      </c>
      <c r="E46" s="27">
        <f>IF(507.9163="","-",507.9163/1651792.72482*100)</f>
        <v>0.030749396844289224</v>
      </c>
      <c r="F46" s="27">
        <f>IF(OR(1447581.46785="",1235.16961="",913.85487=""),"-",(913.85487-1235.16961)/1447581.46785*100)</f>
        <v>-0.022196660231995655</v>
      </c>
      <c r="G46" s="27">
        <f>IF(OR(1432658.71897="",507.9163="",913.85487=""),"-",(507.9163-913.85487)/1432658.71897*100)</f>
        <v>-0.02833463159264104</v>
      </c>
    </row>
    <row r="47" spans="1:7" s="25" customFormat="1" ht="14.25" customHeight="1">
      <c r="A47" s="45" t="s">
        <v>23</v>
      </c>
      <c r="B47" s="27">
        <f>IF(328.50491="","-",328.50491)</f>
        <v>328.50491</v>
      </c>
      <c r="C47" s="27">
        <f>IF(OR(319.14002="",328.50491=""),"-",328.50491/319.14002*100)</f>
        <v>102.93441417970708</v>
      </c>
      <c r="D47" s="27">
        <f>IF(319.14002="","-",319.14002/1432658.71897*100)</f>
        <v>0.022276067270888038</v>
      </c>
      <c r="E47" s="27">
        <f>IF(328.50491="","-",328.50491/1651792.72482*100)</f>
        <v>0.019887780413598687</v>
      </c>
      <c r="F47" s="27">
        <f>IF(OR(1447581.46785="",531.34248="",319.14002=""),"-",(319.14002-531.34248)/1447581.46785*100)</f>
        <v>-0.014659103111838725</v>
      </c>
      <c r="G47" s="27">
        <f>IF(OR(1432658.71897="",328.50491="",319.14002=""),"-",(328.50491-319.14002)/1432658.71897*100)</f>
        <v>0.0006536720766780259</v>
      </c>
    </row>
    <row r="48" spans="1:7" s="16" customFormat="1" ht="15.75">
      <c r="A48" s="15" t="s">
        <v>24</v>
      </c>
      <c r="B48" s="26">
        <f>IF(248754.40187="","-",248754.40187)</f>
        <v>248754.40187</v>
      </c>
      <c r="C48" s="26">
        <f>IF(217265.74036="","-",248754.40187/217265.74036*100)</f>
        <v>114.49315545921996</v>
      </c>
      <c r="D48" s="26">
        <f>IF(217265.74036="","-",217265.74036/1432658.71897*100)</f>
        <v>15.165212585744195</v>
      </c>
      <c r="E48" s="26">
        <f>IF(248754.40187="","-",248754.40187/1651792.72482*100)</f>
        <v>15.059662034599855</v>
      </c>
      <c r="F48" s="26">
        <f>IF(1447581.46785="","-",(217265.74036-181997.2048)/1447581.46785*100)</f>
        <v>2.436376559336732</v>
      </c>
      <c r="G48" s="26">
        <f>IF(1432658.71897="","-",(248754.40187-217265.74036)/1432658.71897*100)</f>
        <v>2.1979178357730973</v>
      </c>
    </row>
    <row r="49" spans="1:7" s="16" customFormat="1" ht="15.75">
      <c r="A49" s="45" t="s">
        <v>139</v>
      </c>
      <c r="B49" s="27">
        <f>IF(65062.6123099999="","-",65062.6123099999)</f>
        <v>65062.6123099999</v>
      </c>
      <c r="C49" s="27">
        <f>IF(OR(44613.35852="",65062.6123099999=""),"-",65062.6123099999/44613.35852*100)</f>
        <v>145.83661591142612</v>
      </c>
      <c r="D49" s="27">
        <f>IF(44613.35852="","-",44613.35852/1432658.71897*100)</f>
        <v>3.114025547694601</v>
      </c>
      <c r="E49" s="27">
        <f>IF(65062.6123099999="","-",65062.6123099999/1651792.72482*100)</f>
        <v>3.9389090006489735</v>
      </c>
      <c r="F49" s="27">
        <f>IF(OR(1447581.46785="",44623.61273="",44613.35852=""),"-",(44613.35852-44623.61273)/1447581.46785*100)</f>
        <v>-0.0007083684219326923</v>
      </c>
      <c r="G49" s="27">
        <f>IF(OR(1432658.71897="",65062.6123099999="",44613.35852=""),"-",(65062.6123099999-44613.35852)/1432658.71897*100)</f>
        <v>1.4273639296804579</v>
      </c>
    </row>
    <row r="50" spans="1:7" s="29" customFormat="1" ht="15.75">
      <c r="A50" s="45" t="s">
        <v>206</v>
      </c>
      <c r="B50" s="27">
        <f>IF(23363.61564="","-",23363.61564)</f>
        <v>23363.61564</v>
      </c>
      <c r="C50" s="27">
        <f>IF(OR(25521.68995="",23363.61564=""),"-",23363.61564/25521.68995*100)</f>
        <v>91.54415591511408</v>
      </c>
      <c r="D50" s="27">
        <f>IF(25521.68995="","-",25521.68995/1432658.71897*100)</f>
        <v>1.7814214657031955</v>
      </c>
      <c r="E50" s="27">
        <f>IF(23363.61564="","-",23363.61564/1651792.72482*100)</f>
        <v>1.4144399166394195</v>
      </c>
      <c r="F50" s="27">
        <f>IF(OR(1447581.46785="",29182.44457="",25521.68995=""),"-",(25521.68995-29182.44457)/1447581.46785*100)</f>
        <v>-0.2528876406132143</v>
      </c>
      <c r="G50" s="27">
        <f>IF(OR(1432658.71897="",23363.61564="",25521.68995=""),"-",(23363.61564-25521.68995)/1432658.71897*100)</f>
        <v>-0.15063422163455176</v>
      </c>
    </row>
    <row r="51" spans="1:7" s="31" customFormat="1" ht="15.75">
      <c r="A51" s="45" t="s">
        <v>141</v>
      </c>
      <c r="B51" s="27">
        <f>IF(13440.54051="","-",13440.54051)</f>
        <v>13440.54051</v>
      </c>
      <c r="C51" s="27">
        <f>IF(OR(11676.66558="",13440.54051=""),"-",13440.54051/11676.66558*100)</f>
        <v>115.1059813943905</v>
      </c>
      <c r="D51" s="27">
        <f>IF(11676.66558="","-",11676.66558/1432658.71897*100)</f>
        <v>0.8150346921697345</v>
      </c>
      <c r="E51" s="27">
        <f>IF(13440.54051="","-",13440.54051/1651792.72482*100)</f>
        <v>0.8136941341392971</v>
      </c>
      <c r="F51" s="27">
        <f>IF(OR(1447581.46785="",14311.91421="",11676.66558=""),"-",(11676.66558-14311.91421)/1447581.46785*100)</f>
        <v>-0.18204492724778842</v>
      </c>
      <c r="G51" s="27">
        <f>IF(OR(1432658.71897="",13440.54051="",11676.66558=""),"-",(13440.54051-11676.66558)/1432658.71897*100)</f>
        <v>0.12311898895698799</v>
      </c>
    </row>
    <row r="52" spans="1:7" s="16" customFormat="1" ht="15.75">
      <c r="A52" s="45" t="s">
        <v>25</v>
      </c>
      <c r="B52" s="27">
        <f>IF(13400.88028="","-",13400.88028)</f>
        <v>13400.88028</v>
      </c>
      <c r="C52" s="27">
        <f>IF(OR(12382.26423="",13400.88028=""),"-",13400.88028/12382.26423*100)</f>
        <v>108.22641183453408</v>
      </c>
      <c r="D52" s="27">
        <f>IF(12382.26423="","-",12382.26423/1432658.71897*100)</f>
        <v>0.8642856854912482</v>
      </c>
      <c r="E52" s="27">
        <f>IF(13400.88028="","-",13400.88028/1651792.72482*100)</f>
        <v>0.8112930925676723</v>
      </c>
      <c r="F52" s="27">
        <f>IF(OR(1447581.46785="",17168.21913="",12382.26423=""),"-",(12382.26423-17168.21913)/1447581.46785*100)</f>
        <v>-0.3306173093738395</v>
      </c>
      <c r="G52" s="27">
        <f>IF(OR(1432658.71897="",13400.88028="",12382.26423=""),"-",(13400.88028-12382.26423)/1432658.71897*100)</f>
        <v>0.07109969991543594</v>
      </c>
    </row>
    <row r="53" spans="1:7" s="31" customFormat="1" ht="15.75">
      <c r="A53" s="45" t="s">
        <v>140</v>
      </c>
      <c r="B53" s="27">
        <f>IF(11695.96959="","-",11695.96959)</f>
        <v>11695.96959</v>
      </c>
      <c r="C53" s="27">
        <f>IF(OR(24673.4952="",11695.96959=""),"-",11695.96959/24673.4952*100)</f>
        <v>47.402970252872805</v>
      </c>
      <c r="D53" s="27">
        <f>IF(24673.4952="","-",24673.4952/1432658.71897*100)</f>
        <v>1.7222172226571055</v>
      </c>
      <c r="E53" s="27">
        <f>IF(11695.96959="","-",11695.96959/1651792.72482*100)</f>
        <v>0.7080773158917104</v>
      </c>
      <c r="F53" s="27">
        <f>IF(OR(1447581.46785="",9525.4034="",24673.4952=""),"-",(24673.4952-9525.4034)/1447581.46785*100)</f>
        <v>1.0464414014983552</v>
      </c>
      <c r="G53" s="27">
        <f>IF(OR(1432658.71897="",11695.96959="",24673.4952=""),"-",(11695.96959-24673.4952)/1432658.71897*100)</f>
        <v>-0.9058351049111055</v>
      </c>
    </row>
    <row r="54" spans="1:7" s="29" customFormat="1" ht="15.75">
      <c r="A54" s="45" t="s">
        <v>142</v>
      </c>
      <c r="B54" s="27">
        <f>IF(11605.43013="","-",11605.43013)</f>
        <v>11605.43013</v>
      </c>
      <c r="C54" s="27">
        <f>IF(OR(10655.41142="",11605.43013=""),"-",11605.43013/10655.41142*100)</f>
        <v>108.91583320956369</v>
      </c>
      <c r="D54" s="27">
        <f>IF(10655.41142="","-",10655.41142/1432658.71897*100)</f>
        <v>0.7437508514002995</v>
      </c>
      <c r="E54" s="27">
        <f>IF(11605.43013="","-",11605.43013/1651792.72482*100)</f>
        <v>0.7025960313068138</v>
      </c>
      <c r="F54" s="27">
        <f>IF(OR(1447581.46785="",5725.08247="",10655.41142=""),"-",(10655.41142-5725.08247)/1447581.46785*100)</f>
        <v>0.34059077568343715</v>
      </c>
      <c r="G54" s="27">
        <f>IF(OR(1432658.71897="",11605.43013="",10655.41142=""),"-",(11605.43013-10655.41142)/1432658.71897*100)</f>
        <v>0.06631158540556048</v>
      </c>
    </row>
    <row r="55" spans="1:7" s="16" customFormat="1" ht="15.75">
      <c r="A55" s="45" t="s">
        <v>202</v>
      </c>
      <c r="B55" s="27">
        <f>IF(11514.30684="","-",11514.30684)</f>
        <v>11514.30684</v>
      </c>
      <c r="C55" s="27" t="str">
        <f>IF(OR(""="",11514.30684=""),"-",11514.30684/""*100)</f>
        <v>-</v>
      </c>
      <c r="D55" s="27" t="str">
        <f>IF(""="","-",""/1432658.71897*100)</f>
        <v>-</v>
      </c>
      <c r="E55" s="27">
        <f>IF(11514.30684="","-",11514.30684/1651792.72482*100)</f>
        <v>0.6970794014881463</v>
      </c>
      <c r="F55" s="27" t="str">
        <f>IF(OR(1447581.46785="",0.16492="",""=""),"-",(""-0.16492)/1447581.46785*100)</f>
        <v>-</v>
      </c>
      <c r="G55" s="27" t="str">
        <f>IF(OR(1432658.71897="",11514.30684="",""=""),"-",(11514.30684-"")/1432658.71897*100)</f>
        <v>-</v>
      </c>
    </row>
    <row r="56" spans="1:7" s="16" customFormat="1" ht="15.75">
      <c r="A56" s="45" t="s">
        <v>143</v>
      </c>
      <c r="B56" s="27">
        <f>IF(6596.28058="","-",6596.28058)</f>
        <v>6596.28058</v>
      </c>
      <c r="C56" s="27">
        <f>IF(OR(8713.61699="",6596.28058=""),"-",6596.28058/8713.61699*100)</f>
        <v>75.70083224417694</v>
      </c>
      <c r="D56" s="27">
        <f>IF(8713.61699="","-",8713.61699/1432658.71897*100)</f>
        <v>0.6082130290083736</v>
      </c>
      <c r="E56" s="27">
        <f>IF(6596.28058="","-",6596.28058/1651792.72482*100)</f>
        <v>0.3993406969823537</v>
      </c>
      <c r="F56" s="27">
        <f>IF(OR(1447581.46785="",5622.35805="",8713.61699=""),"-",(8713.61699-5622.35805)/1447581.46785*100)</f>
        <v>0.2135464572222833</v>
      </c>
      <c r="G56" s="27">
        <f>IF(OR(1432658.71897="",6596.28058="",8713.61699=""),"-",(6596.28058-8713.61699)/1432658.71897*100)</f>
        <v>-0.14779070423151752</v>
      </c>
    </row>
    <row r="57" spans="1:7" s="31" customFormat="1" ht="15.75">
      <c r="A57" s="45" t="s">
        <v>151</v>
      </c>
      <c r="B57" s="27">
        <f>IF(6343.01989="","-",6343.01989)</f>
        <v>6343.01989</v>
      </c>
      <c r="C57" s="27" t="s">
        <v>212</v>
      </c>
      <c r="D57" s="27">
        <f>IF(2081.38585="","-",2081.38585/1432658.71897*100)</f>
        <v>0.14528134456867703</v>
      </c>
      <c r="E57" s="27">
        <f>IF(6343.01989="","-",6343.01989/1651792.72482*100)</f>
        <v>0.38400822298640497</v>
      </c>
      <c r="F57" s="27">
        <f>IF(OR(1447581.46785="",1900.71032="",2081.38585=""),"-",(2081.38585-1900.71032)/1447581.46785*100)</f>
        <v>0.012481199435935444</v>
      </c>
      <c r="G57" s="27">
        <f>IF(OR(1432658.71897="",6343.01989="",2081.38585=""),"-",(6343.01989-2081.38585)/1432658.71897*100)</f>
        <v>0.29746330954966516</v>
      </c>
    </row>
    <row r="58" spans="1:7" s="16" customFormat="1" ht="15.75">
      <c r="A58" s="45" t="s">
        <v>144</v>
      </c>
      <c r="B58" s="27">
        <f>IF(5779.61834="","-",5779.61834)</f>
        <v>5779.61834</v>
      </c>
      <c r="C58" s="27">
        <f>IF(OR(7984.40683="",5779.61834=""),"-",5779.61834/7984.40683*100)</f>
        <v>72.38632077569123</v>
      </c>
      <c r="D58" s="27">
        <f>IF(7984.40683="","-",7984.40683/1432658.71897*100)</f>
        <v>0.5573139453435451</v>
      </c>
      <c r="E58" s="27">
        <f>IF(5779.61834="","-",5779.61834/1651792.72482*100)</f>
        <v>0.3498997333718018</v>
      </c>
      <c r="F58" s="27">
        <f>IF(OR(1447581.46785="",2303.20058="",7984.40683=""),"-",(7984.40683-2303.20058)/1447581.46785*100)</f>
        <v>0.39246193573049337</v>
      </c>
      <c r="G58" s="27">
        <f>IF(OR(1432658.71897="",5779.61834="",7984.40683=""),"-",(5779.61834-7984.40683)/1432658.71897*100)</f>
        <v>-0.15389488513950603</v>
      </c>
    </row>
    <row r="59" spans="1:7" s="29" customFormat="1" ht="15.75">
      <c r="A59" s="45" t="s">
        <v>146</v>
      </c>
      <c r="B59" s="27">
        <f>IF(4377.58049="","-",4377.58049)</f>
        <v>4377.58049</v>
      </c>
      <c r="C59" s="27">
        <f>IF(OR(3259.28604="",4377.58049=""),"-",4377.58049/3259.28604*100)</f>
        <v>134.31102506118182</v>
      </c>
      <c r="D59" s="27">
        <f>IF(3259.28604="","-",3259.28604/1432658.71897*100)</f>
        <v>0.22749912430946856</v>
      </c>
      <c r="E59" s="27">
        <f>IF(4377.58049="","-",4377.58049/1651792.72482*100)</f>
        <v>0.2650199643225234</v>
      </c>
      <c r="F59" s="27">
        <f>IF(OR(1447581.46785="",2919.217="",3259.28604=""),"-",(3259.28604-2919.217)/1447581.46785*100)</f>
        <v>0.023492221167011943</v>
      </c>
      <c r="G59" s="27">
        <f>IF(OR(1432658.71897="",4377.58049="",3259.28604=""),"-",(4377.58049-3259.28604)/1432658.71897*100)</f>
        <v>0.07805728155579092</v>
      </c>
    </row>
    <row r="60" spans="1:7" s="16" customFormat="1" ht="15.75">
      <c r="A60" s="45" t="s">
        <v>150</v>
      </c>
      <c r="B60" s="27">
        <f>IF(4009.60434="","-",4009.60434)</f>
        <v>4009.60434</v>
      </c>
      <c r="C60" s="27">
        <f>IF(OR(3359.00936="",4009.60434=""),"-",4009.60434/3359.00936*100)</f>
        <v>119.36865635884979</v>
      </c>
      <c r="D60" s="27">
        <f>IF(3359.00936="","-",3359.00936/1432658.71897*100)</f>
        <v>0.23445984137903658</v>
      </c>
      <c r="E60" s="27">
        <f>IF(4009.60434="","-",4009.60434/1651792.72482*100)</f>
        <v>0.24274258384549652</v>
      </c>
      <c r="F60" s="27">
        <f>IF(OR(1447581.46785="",5646.07819="",3359.00936=""),"-",(3359.00936-5646.07819)/1447581.46785*100)</f>
        <v>-0.15799240877246357</v>
      </c>
      <c r="G60" s="27">
        <f>IF(OR(1432658.71897="",4009.60434="",3359.00936=""),"-",(4009.60434-3359.00936)/1432658.71897*100)</f>
        <v>0.04541172097620992</v>
      </c>
    </row>
    <row r="61" spans="1:7" s="29" customFormat="1" ht="15.75">
      <c r="A61" s="45" t="s">
        <v>153</v>
      </c>
      <c r="B61" s="27">
        <f>IF(3513.71001="","-",3513.71001)</f>
        <v>3513.71001</v>
      </c>
      <c r="C61" s="27" t="s">
        <v>216</v>
      </c>
      <c r="D61" s="27">
        <f>IF(1813.39584="","-",1813.39584/1432658.71897*100)</f>
        <v>0.12657556304154055</v>
      </c>
      <c r="E61" s="27">
        <f>IF(3513.71001="","-",3513.71001/1651792.72482*100)</f>
        <v>0.2127210004743723</v>
      </c>
      <c r="F61" s="27">
        <f>IF(OR(1447581.46785="",1852.9704="",1813.39584=""),"-",(1813.39584-1852.9704)/1447581.46785*100)</f>
        <v>-0.002733839917056798</v>
      </c>
      <c r="G61" s="27">
        <f>IF(OR(1432658.71897="",3513.71001="",1813.39584=""),"-",(3513.71001-1813.39584)/1432658.71897*100)</f>
        <v>0.11868242921262008</v>
      </c>
    </row>
    <row r="62" spans="1:7" s="16" customFormat="1" ht="15.75">
      <c r="A62" s="45" t="s">
        <v>119</v>
      </c>
      <c r="B62" s="27">
        <f>IF(3158.83143="","-",3158.83143)</f>
        <v>3158.83143</v>
      </c>
      <c r="C62" s="27" t="s">
        <v>236</v>
      </c>
      <c r="D62" s="27">
        <f>IF(1102.70093="","-",1102.70093/1432658.71897*100)</f>
        <v>0.07696884927296425</v>
      </c>
      <c r="E62" s="27">
        <f>IF(3158.83143="","-",3158.83143/1651792.72482*100)</f>
        <v>0.19123655059954486</v>
      </c>
      <c r="F62" s="27">
        <f>IF(OR(1447581.46785="",324.48977="",1102.70093=""),"-",(1102.70093-324.48977)/1447581.46785*100)</f>
        <v>0.053759403341618286</v>
      </c>
      <c r="G62" s="27">
        <f>IF(OR(1432658.71897="",3158.83143="",1102.70093=""),"-",(3158.83143-1102.70093)/1432658.71897*100)</f>
        <v>0.14351851370982763</v>
      </c>
    </row>
    <row r="63" spans="1:7" s="29" customFormat="1" ht="15.75">
      <c r="A63" s="45" t="s">
        <v>149</v>
      </c>
      <c r="B63" s="27">
        <f>IF(3048.44699="","-",3048.44699)</f>
        <v>3048.44699</v>
      </c>
      <c r="C63" s="27">
        <f>IF(OR(2969.16837="",3048.44699=""),"-",3048.44699/2969.16837*100)</f>
        <v>102.67006144888981</v>
      </c>
      <c r="D63" s="27">
        <f>IF(2969.16837="","-",2969.16837/1432658.71897*100)</f>
        <v>0.2072488256054912</v>
      </c>
      <c r="E63" s="27">
        <f>IF(3048.44699="","-",3048.44699/1651792.72482*100)</f>
        <v>0.18455384529752042</v>
      </c>
      <c r="F63" s="27">
        <f>IF(OR(1447581.46785="",1282.4131="",2969.16837=""),"-",(2969.16837-1282.4131)/1447581.46785*100)</f>
        <v>0.11652230340481143</v>
      </c>
      <c r="G63" s="27">
        <f>IF(OR(1432658.71897="",3048.44699="",2969.16837=""),"-",(3048.44699-2969.16837)/1432658.71897*100)</f>
        <v>0.005533670995769101</v>
      </c>
    </row>
    <row r="64" spans="1:7" s="16" customFormat="1" ht="15.75">
      <c r="A64" s="45" t="s">
        <v>145</v>
      </c>
      <c r="B64" s="27">
        <f>IF(2595.92418="","-",2595.92418)</f>
        <v>2595.92418</v>
      </c>
      <c r="C64" s="27">
        <f>IF(OR(5650.91094="",2595.92418=""),"-",2595.92418/5650.91094*100)</f>
        <v>45.93815417660785</v>
      </c>
      <c r="D64" s="27">
        <f>IF(5650.91094="","-",5650.91094/1432658.71897*100)</f>
        <v>0.39443524582481737</v>
      </c>
      <c r="E64" s="27">
        <f>IF(2595.92418="","-",2595.92418/1651792.72482*100)</f>
        <v>0.1571579860471225</v>
      </c>
      <c r="F64" s="27">
        <f>IF(OR(1447581.46785="",1467.80996="",5650.91094=""),"-",(5650.91094-1467.80996)/1447581.46785*100)</f>
        <v>0.2889717140557824</v>
      </c>
      <c r="G64" s="27">
        <f>IF(OR(1432658.71897="",2595.92418="",5650.91094=""),"-",(2595.92418-5650.91094)/1432658.71897*100)</f>
        <v>-0.2132389744709306</v>
      </c>
    </row>
    <row r="65" spans="1:7" s="16" customFormat="1" ht="15.75">
      <c r="A65" s="45" t="s">
        <v>157</v>
      </c>
      <c r="B65" s="27">
        <f>IF(2528.26625="","-",2528.26625)</f>
        <v>2528.26625</v>
      </c>
      <c r="C65" s="27" t="s">
        <v>122</v>
      </c>
      <c r="D65" s="27">
        <f>IF(1050.32357="","-",1050.32357/1432658.71897*100)</f>
        <v>0.07331289413818824</v>
      </c>
      <c r="E65" s="27">
        <f>IF(2528.26625="","-",2528.26625/1651792.72482*100)</f>
        <v>0.153061955777503</v>
      </c>
      <c r="F65" s="27">
        <f>IF(OR(1447581.46785="",672.82012="",1050.32357=""),"-",(1050.32357-672.82012)/1447581.46785*100)</f>
        <v>0.026078217936893165</v>
      </c>
      <c r="G65" s="27">
        <f>IF(OR(1432658.71897="",2528.26625="",1050.32357=""),"-",(2528.26625-1050.32357)/1432658.71897*100)</f>
        <v>0.10316083380015004</v>
      </c>
    </row>
    <row r="66" spans="1:7" s="29" customFormat="1" ht="15.75">
      <c r="A66" s="45" t="s">
        <v>148</v>
      </c>
      <c r="B66" s="27">
        <f>IF(2238.32557="","-",2238.32557)</f>
        <v>2238.32557</v>
      </c>
      <c r="C66" s="27">
        <f>IF(OR(3099.97723="",2238.32557=""),"-",2238.32557/3099.97723*100)</f>
        <v>72.20458099945462</v>
      </c>
      <c r="D66" s="27">
        <f>IF(3099.97723="","-",3099.97723/1432658.71897*100)</f>
        <v>0.2163793225108564</v>
      </c>
      <c r="E66" s="27">
        <f>IF(2238.32557="","-",2238.32557/1651792.72482*100)</f>
        <v>0.13550886478470936</v>
      </c>
      <c r="F66" s="27">
        <f>IF(OR(1447581.46785="",456.54324="",3099.97723=""),"-",(3099.97723-456.54324)/1447581.46785*100)</f>
        <v>0.1826103779793564</v>
      </c>
      <c r="G66" s="27">
        <f>IF(OR(1432658.71897="",2238.32557="",3099.97723=""),"-",(2238.32557-3099.97723)/1432658.71897*100)</f>
        <v>-0.060143539322433916</v>
      </c>
    </row>
    <row r="67" spans="1:7" s="31" customFormat="1" ht="15.75">
      <c r="A67" s="45" t="s">
        <v>160</v>
      </c>
      <c r="B67" s="27">
        <f>IF(2049.20024="","-",2049.20024)</f>
        <v>2049.20024</v>
      </c>
      <c r="C67" s="27" t="s">
        <v>208</v>
      </c>
      <c r="D67" s="27">
        <f>IF(671.37604="","-",671.37604/1432658.71897*100)</f>
        <v>0.04686224507694904</v>
      </c>
      <c r="E67" s="27">
        <f>IF(2049.20024="","-",2049.20024/1651792.72482*100)</f>
        <v>0.1240591636715985</v>
      </c>
      <c r="F67" s="27">
        <f>IF(OR(1447581.46785="",734.0971="",671.37604=""),"-",(671.37604-734.0971)/1447581.46785*100)</f>
        <v>-0.004332817281306837</v>
      </c>
      <c r="G67" s="27">
        <f>IF(OR(1432658.71897="",2049.20024="",671.37604=""),"-",(2049.20024-671.37604)/1432658.71897*100)</f>
        <v>0.09617253444634581</v>
      </c>
    </row>
    <row r="68" spans="1:7" s="16" customFormat="1" ht="15.75">
      <c r="A68" s="45" t="s">
        <v>152</v>
      </c>
      <c r="B68" s="27">
        <f>IF(1419.29266="","-",1419.29266)</f>
        <v>1419.29266</v>
      </c>
      <c r="C68" s="27">
        <f>IF(OR(2565.7021="",1419.29266=""),"-",1419.29266/2565.7021*100)</f>
        <v>55.31790537958402</v>
      </c>
      <c r="D68" s="27">
        <f>IF(2565.7021="","-",2565.7021/1432658.71897*100)</f>
        <v>0.17908676128007606</v>
      </c>
      <c r="E68" s="27">
        <f>IF(1419.29266="","-",1419.29266/1651792.72482*100)</f>
        <v>0.08592438014004838</v>
      </c>
      <c r="F68" s="27">
        <f>IF(OR(1447581.46785="",536.10176="",2565.7021=""),"-",(2565.7021-536.10176)/1447581.46785*100)</f>
        <v>0.14020629478038532</v>
      </c>
      <c r="G68" s="27">
        <f>IF(OR(1432658.71897="",1419.29266="",2565.7021=""),"-",(1419.29266-2565.7021)/1432658.71897*100)</f>
        <v>-0.08001971612780209</v>
      </c>
    </row>
    <row r="69" spans="1:7" s="16" customFormat="1" ht="15.75">
      <c r="A69" s="45" t="s">
        <v>221</v>
      </c>
      <c r="B69" s="27">
        <f>IF(1332.68726="","-",1332.68726)</f>
        <v>1332.68726</v>
      </c>
      <c r="C69" s="27" t="s">
        <v>254</v>
      </c>
      <c r="D69" s="27">
        <f>IF(248.43082="","-",248.43082/1432658.71897*100)</f>
        <v>0.017340544311809834</v>
      </c>
      <c r="E69" s="27">
        <f>IF(1332.68726="","-",1332.68726/1651792.72482*100)</f>
        <v>0.08068126466322985</v>
      </c>
      <c r="F69" s="27">
        <f>IF(OR(1447581.46785="",483.5894="",248.43082=""),"-",(248.43082-483.5894)/1447581.46785*100)</f>
        <v>-0.01624492888467728</v>
      </c>
      <c r="G69" s="27">
        <f>IF(OR(1432658.71897="",1332.68726="",248.43082=""),"-",(1332.68726-248.43082)/1432658.71897*100)</f>
        <v>0.07568141844552613</v>
      </c>
    </row>
    <row r="70" spans="1:7" s="16" customFormat="1" ht="15.75">
      <c r="A70" s="45" t="s">
        <v>226</v>
      </c>
      <c r="B70" s="27">
        <f>IF(1251.1606="","-",1251.1606)</f>
        <v>1251.1606</v>
      </c>
      <c r="C70" s="27" t="s">
        <v>255</v>
      </c>
      <c r="D70" s="27">
        <f>IF(25.39222="","-",25.39222/1432658.71897*100)</f>
        <v>0.0017723844251096702</v>
      </c>
      <c r="E70" s="27">
        <f>IF(1251.1606="","-",1251.1606/1651792.72482*100)</f>
        <v>0.07574561754631423</v>
      </c>
      <c r="F70" s="27">
        <f>IF(OR(1447581.46785="",1.34="",25.39222=""),"-",(25.39222-1.34)/1447581.46785*100)</f>
        <v>0.0016615451727026614</v>
      </c>
      <c r="G70" s="27">
        <f>IF(OR(1432658.71897="",1251.1606="",25.39222=""),"-",(1251.1606-25.39222)/1432658.71897*100)</f>
        <v>0.08555899348319729</v>
      </c>
    </row>
    <row r="71" spans="1:7" s="16" customFormat="1" ht="15.75">
      <c r="A71" s="45" t="s">
        <v>252</v>
      </c>
      <c r="B71" s="27">
        <f>IF(1251.10916="","-",1251.10916)</f>
        <v>1251.10916</v>
      </c>
      <c r="C71" s="27" t="s">
        <v>256</v>
      </c>
      <c r="D71" s="27">
        <f>IF(8.0909="","-",8.0909/1432658.71897*100)</f>
        <v>0.0005647471999344614</v>
      </c>
      <c r="E71" s="27">
        <f>IF(1251.10916="","-",1251.10916/1651792.72482*100)</f>
        <v>0.07574250335412613</v>
      </c>
      <c r="F71" s="27">
        <f>IF(OR(1447581.46785="",1902.07736="",8.0909=""),"-",(8.0909-1902.07736)/1447581.46785*100)</f>
        <v>-0.13083798750290834</v>
      </c>
      <c r="G71" s="27">
        <f>IF(OR(1432658.71897="",1251.10916="",8.0909=""),"-",(1251.10916-8.0909)/1432658.71897*100)</f>
        <v>0.08676304018124144</v>
      </c>
    </row>
    <row r="72" spans="1:7" s="16" customFormat="1" ht="15.75">
      <c r="A72" s="45" t="s">
        <v>147</v>
      </c>
      <c r="B72" s="27">
        <f>IF(1210.90753="","-",1210.90753)</f>
        <v>1210.90753</v>
      </c>
      <c r="C72" s="27">
        <f>IF(OR(4121.94834="",1210.90753=""),"-",1210.90753/4121.94834*100)</f>
        <v>29.37706710802688</v>
      </c>
      <c r="D72" s="27">
        <f>IF(4121.94834="","-",4121.94834/1432658.71897*100)</f>
        <v>0.2877132066011817</v>
      </c>
      <c r="E72" s="27">
        <f>IF(1210.90753="","-",1210.90753/1651792.72482*100)</f>
        <v>0.07330868527296339</v>
      </c>
      <c r="F72" s="27">
        <f>IF(OR(1447581.46785="",510.01978="",4121.94834=""),"-",(4121.94834-510.01978)/1447581.46785*100)</f>
        <v>0.24951470022371633</v>
      </c>
      <c r="G72" s="27">
        <f>IF(OR(1432658.71897="",1210.90753="",4121.94834=""),"-",(1210.90753-4121.94834)/1432658.71897*100)</f>
        <v>-0.20319150481929657</v>
      </c>
    </row>
    <row r="73" spans="1:7" s="16" customFormat="1" ht="15.75">
      <c r="A73" s="45" t="s">
        <v>228</v>
      </c>
      <c r="B73" s="27">
        <f>IF(1034.90358="","-",1034.90358)</f>
        <v>1034.90358</v>
      </c>
      <c r="C73" s="27" t="s">
        <v>189</v>
      </c>
      <c r="D73" s="27">
        <f>IF(420.55127="","-",420.55127/1432658.71897*100)</f>
        <v>0.029354602350959928</v>
      </c>
      <c r="E73" s="27">
        <f>IF(1034.90358="","-",1034.90358/1651792.72482*100)</f>
        <v>0.06265335622620423</v>
      </c>
      <c r="F73" s="27" t="str">
        <f>IF(OR(1447581.46785="",""="",420.55127=""),"-",(420.55127-"")/1447581.46785*100)</f>
        <v>-</v>
      </c>
      <c r="G73" s="27">
        <f>IF(OR(1432658.71897="",1034.90358="",420.55127=""),"-",(1034.90358-420.55127)/1432658.71897*100)</f>
        <v>0.04288197194944545</v>
      </c>
    </row>
    <row r="74" spans="1:7" s="16" customFormat="1" ht="15.75">
      <c r="A74" s="45" t="s">
        <v>161</v>
      </c>
      <c r="B74" s="27">
        <f>IF(938.59637="","-",938.59637)</f>
        <v>938.59637</v>
      </c>
      <c r="C74" s="27">
        <f>IF(OR(614.82406="",938.59637=""),"-",938.59637/614.82406*100)</f>
        <v>152.660969383664</v>
      </c>
      <c r="D74" s="27">
        <f>IF(614.82406="","-",614.82406/1432658.71897*100)</f>
        <v>0.0429149002382105</v>
      </c>
      <c r="E74" s="27">
        <f>IF(938.59637="","-",938.59637/1651792.72482*100)</f>
        <v>0.056822890420605364</v>
      </c>
      <c r="F74" s="27">
        <f>IF(OR(1447581.46785="",1118.99666="",614.82406=""),"-",(614.82406-1118.99666)/1447581.46785*100)</f>
        <v>-0.034828616640748745</v>
      </c>
      <c r="G74" s="27">
        <f>IF(OR(1432658.71897="",938.59637="",614.82406=""),"-",(938.59637-614.82406)/1432658.71897*100)</f>
        <v>0.022599402475473977</v>
      </c>
    </row>
    <row r="75" spans="1:7" s="16" customFormat="1" ht="15.75">
      <c r="A75" s="45" t="s">
        <v>207</v>
      </c>
      <c r="B75" s="27">
        <f>IF(933.01592="","-",933.01592)</f>
        <v>933.01592</v>
      </c>
      <c r="C75" s="27">
        <f>IF(OR(836.65115="",933.01592=""),"-",933.01592/836.65115*100)</f>
        <v>111.51791520276998</v>
      </c>
      <c r="D75" s="27">
        <f>IF(836.65115="","-",836.65115/1432658.71897*100)</f>
        <v>0.05839849637054557</v>
      </c>
      <c r="E75" s="27">
        <f>IF(933.01592="","-",933.01592/1651792.72482*100)</f>
        <v>0.056485048395020214</v>
      </c>
      <c r="F75" s="27">
        <f>IF(OR(1447581.46785="",582.74433="",836.65115=""),"-",(836.65115-582.74433)/1447581.46785*100)</f>
        <v>0.017540071190405026</v>
      </c>
      <c r="G75" s="27">
        <f>IF(OR(1432658.71897="",933.01592="",836.65115=""),"-",(933.01592-836.65115)/1432658.71897*100)</f>
        <v>0.006726289291652153</v>
      </c>
    </row>
    <row r="76" spans="1:7" s="16" customFormat="1" ht="15.75">
      <c r="A76" s="45" t="s">
        <v>155</v>
      </c>
      <c r="B76" s="27">
        <f>IF(898.3762="","-",898.3762)</f>
        <v>898.3762</v>
      </c>
      <c r="C76" s="27">
        <f>IF(OR(1249.0632="",898.3762=""),"-",898.3762/1249.0632*100)</f>
        <v>71.92399872160192</v>
      </c>
      <c r="D76" s="27">
        <f>IF(1249.0632="","-",1249.0632/1432658.71897*100)</f>
        <v>0.08718497877135772</v>
      </c>
      <c r="E76" s="27">
        <f>IF(898.3762="","-",898.3762/1651792.72482*100)</f>
        <v>0.05438794992258478</v>
      </c>
      <c r="F76" s="27">
        <f>IF(OR(1447581.46785="",983.52771="",1249.0632=""),"-",(1249.0632-983.52771)/1447581.46785*100)</f>
        <v>0.01834338832717878</v>
      </c>
      <c r="G76" s="27">
        <f>IF(OR(1432658.71897="",898.3762="",1249.0632=""),"-",(898.3762-1249.0632)/1432658.71897*100)</f>
        <v>-0.02447805575441749</v>
      </c>
    </row>
    <row r="77" spans="1:7" ht="15.75">
      <c r="A77" s="45" t="s">
        <v>203</v>
      </c>
      <c r="B77" s="27">
        <f>IF(752.89647="","-",752.89647)</f>
        <v>752.89647</v>
      </c>
      <c r="C77" s="27" t="s">
        <v>257</v>
      </c>
      <c r="D77" s="27">
        <f>IF(166.85426="","-",166.85426/1432658.71897*100)</f>
        <v>0.01164647642810276</v>
      </c>
      <c r="E77" s="27">
        <f>IF(752.89647="","-",752.89647/1651792.72482*100)</f>
        <v>0.04558056581112773</v>
      </c>
      <c r="F77" s="27" t="str">
        <f>IF(OR(1447581.46785="",""="",166.85426=""),"-",(166.85426-"")/1447581.46785*100)</f>
        <v>-</v>
      </c>
      <c r="G77" s="27">
        <f>IF(OR(1432658.71897="",752.89647="",166.85426=""),"-",(752.89647-166.85426)/1432658.71897*100)</f>
        <v>0.040905918642042745</v>
      </c>
    </row>
    <row r="78" spans="1:7" ht="15.75">
      <c r="A78" s="45" t="s">
        <v>120</v>
      </c>
      <c r="B78" s="27">
        <f>IF(744.46323="","-",744.46323)</f>
        <v>744.46323</v>
      </c>
      <c r="C78" s="27" t="s">
        <v>258</v>
      </c>
      <c r="D78" s="27">
        <f>IF(224.24304="","-",224.24304/1432658.71897*100)</f>
        <v>0.015652230152985627</v>
      </c>
      <c r="E78" s="27">
        <f>IF(744.46323="","-",744.46323/1651792.72482*100)</f>
        <v>0.04507001506990691</v>
      </c>
      <c r="F78" s="27">
        <f>IF(OR(1447581.46785="",205.70317="",224.24304=""),"-",(224.24304-205.70317)/1447581.46785*100)</f>
        <v>0.0012807479517913483</v>
      </c>
      <c r="G78" s="27">
        <f>IF(OR(1432658.71897="",744.46323="",224.24304=""),"-",(744.46323-224.24304)/1432658.71897*100)</f>
        <v>0.03631152228452626</v>
      </c>
    </row>
    <row r="79" spans="1:7" ht="15.75">
      <c r="A79" s="45" t="s">
        <v>162</v>
      </c>
      <c r="B79" s="27">
        <f>IF(562.4783="","-",562.4783)</f>
        <v>562.4783</v>
      </c>
      <c r="C79" s="27">
        <f>IF(OR(554.29828="",562.4783=""),"-",562.4783/554.29828*100)</f>
        <v>101.47574334886986</v>
      </c>
      <c r="D79" s="27">
        <f>IF(554.29828="","-",554.29828/1432658.71897*100)</f>
        <v>0.03869018299058054</v>
      </c>
      <c r="E79" s="27">
        <f>IF(562.4783="","-",562.4783/1651792.72482*100)</f>
        <v>0.03405259579777449</v>
      </c>
      <c r="F79" s="27">
        <f>IF(OR(1447581.46785="",479.16968="",554.29828=""),"-",(554.29828-479.16968)/1447581.46785*100)</f>
        <v>0.005189939334577394</v>
      </c>
      <c r="G79" s="27">
        <f>IF(OR(1432658.71897="",562.4783="",554.29828=""),"-",(562.4783-554.29828)/1432658.71897*100)</f>
        <v>0.0005709678021490688</v>
      </c>
    </row>
    <row r="80" spans="1:7" ht="15.75">
      <c r="A80" s="45" t="s">
        <v>154</v>
      </c>
      <c r="B80" s="27">
        <f>IF(535.54501="","-",535.54501)</f>
        <v>535.54501</v>
      </c>
      <c r="C80" s="27">
        <f>IF(OR(1745.04753="",535.54501=""),"-",535.54501/1745.04753*100)</f>
        <v>30.68942253968292</v>
      </c>
      <c r="D80" s="27">
        <f>IF(1745.04753="","-",1745.04753/1432658.71897*100)</f>
        <v>0.12180483089891707</v>
      </c>
      <c r="E80" s="27">
        <f>IF(535.54501="","-",535.54501/1651792.72482*100)</f>
        <v>0.03242204678304052</v>
      </c>
      <c r="F80" s="27">
        <f>IF(OR(1447581.46785="",232.48961="",1745.04753=""),"-",(1745.04753-232.48961)/1447581.46785*100)</f>
        <v>0.10448862144156248</v>
      </c>
      <c r="G80" s="27">
        <f>IF(OR(1432658.71897="",535.54501="",1745.04753=""),"-",(535.54501-1745.04753)/1432658.71897*100)</f>
        <v>-0.08442363167060214</v>
      </c>
    </row>
    <row r="81" spans="1:7" ht="15.75">
      <c r="A81" s="45" t="s">
        <v>222</v>
      </c>
      <c r="B81" s="27">
        <f>IF(515.44601="","-",515.44601)</f>
        <v>515.44601</v>
      </c>
      <c r="C81" s="27" t="s">
        <v>189</v>
      </c>
      <c r="D81" s="27">
        <f>IF(204.26007="","-",204.26007/1432658.71897*100)</f>
        <v>0.014257412969004325</v>
      </c>
      <c r="E81" s="27">
        <f>IF(515.44601="","-",515.44601/1651792.72482*100)</f>
        <v>0.031205247623073862</v>
      </c>
      <c r="F81" s="27">
        <f>IF(OR(1447581.46785="",1071.95562="",204.26007=""),"-",(204.26007-1071.95562)/1447581.46785*100)</f>
        <v>-0.05994105128250451</v>
      </c>
      <c r="G81" s="27">
        <f>IF(OR(1432658.71897="",515.44601="",204.26007=""),"-",(515.44601-204.26007)/1432658.71897*100)</f>
        <v>0.021720870147199114</v>
      </c>
    </row>
    <row r="82" spans="1:7" ht="15.75">
      <c r="A82" s="45" t="s">
        <v>172</v>
      </c>
      <c r="B82" s="27">
        <f>IF(499.59891="","-",499.59891)</f>
        <v>499.59891</v>
      </c>
      <c r="C82" s="27" t="s">
        <v>259</v>
      </c>
      <c r="D82" s="27">
        <f>IF(63.56364="","-",63.56364/1432658.71897*100)</f>
        <v>0.00443676076921506</v>
      </c>
      <c r="E82" s="27">
        <f>IF(499.59891="","-",499.59891/1651792.72482*100)</f>
        <v>0.030245859694922834</v>
      </c>
      <c r="F82" s="27">
        <f>IF(OR(1447581.46785="",16.9251="",63.56364=""),"-",(63.56364-16.9251)/1447581.46785*100)</f>
        <v>0.00322182488763615</v>
      </c>
      <c r="G82" s="27">
        <f>IF(OR(1432658.71897="",499.59891="",63.56364=""),"-",(499.59891-63.56364)/1432658.71897*100)</f>
        <v>0.030435390105571305</v>
      </c>
    </row>
    <row r="83" spans="1:7" ht="15.75">
      <c r="A83" s="45" t="s">
        <v>164</v>
      </c>
      <c r="B83" s="27">
        <f>IF(458.6705="","-",458.6705)</f>
        <v>458.6705</v>
      </c>
      <c r="C83" s="27">
        <f>IF(OR(350.38982="",458.6705=""),"-",458.6705/350.38982*100)</f>
        <v>130.9029183553335</v>
      </c>
      <c r="D83" s="27">
        <f>IF(350.38982="","-",350.38982/1432658.71897*100)</f>
        <v>0.02445731250300213</v>
      </c>
      <c r="E83" s="27">
        <f>IF(458.6705="","-",458.6705/1651792.72482*100)</f>
        <v>0.02776804214644925</v>
      </c>
      <c r="F83" s="27">
        <f>IF(OR(1447581.46785="",354.50673="",350.38982=""),"-",(350.38982-354.50673)/1447581.46785*100)</f>
        <v>-0.0002843991921307615</v>
      </c>
      <c r="G83" s="27">
        <f>IF(OR(1432658.71897="",458.6705="",350.38982=""),"-",(458.6705-350.38982)/1432658.71897*100)</f>
        <v>0.007558023314711521</v>
      </c>
    </row>
    <row r="84" spans="1:7" ht="15.75">
      <c r="A84" s="45" t="s">
        <v>225</v>
      </c>
      <c r="B84" s="27">
        <f>IF(454.50358="","-",454.50358)</f>
        <v>454.50358</v>
      </c>
      <c r="C84" s="27" t="s">
        <v>260</v>
      </c>
      <c r="D84" s="27">
        <f>IF(53.21098="","-",53.21098/1432658.71897*100)</f>
        <v>0.0037141420559849495</v>
      </c>
      <c r="E84" s="27">
        <f>IF(454.50358="","-",454.50358/1651792.72482*100)</f>
        <v>0.02751577562793349</v>
      </c>
      <c r="F84" s="27">
        <f>IF(OR(1447581.46785="",32.60003="",53.21098=""),"-",(53.21098-32.60003)/1447581.46785*100)</f>
        <v>0.0014238196922078676</v>
      </c>
      <c r="G84" s="27">
        <f>IF(OR(1432658.71897="",454.50358="",53.21098=""),"-",(454.50358-53.21098)/1432658.71897*100)</f>
        <v>0.028010341520031127</v>
      </c>
    </row>
    <row r="85" spans="1:7" ht="15.75">
      <c r="A85" s="45" t="s">
        <v>205</v>
      </c>
      <c r="B85" s="27">
        <f>IF(380.05198="","-",380.05198)</f>
        <v>380.05198</v>
      </c>
      <c r="C85" s="27">
        <f>IF(OR(397.14378="",380.05198=""),"-",380.05198/397.14378*100)</f>
        <v>95.6963193531572</v>
      </c>
      <c r="D85" s="27">
        <f>IF(397.14378="","-",397.14378/1432658.71897*100)</f>
        <v>0.027720752663657658</v>
      </c>
      <c r="E85" s="27">
        <f>IF(380.05198="","-",380.05198/1651792.72482*100)</f>
        <v>0.02300845464986627</v>
      </c>
      <c r="F85" s="27">
        <f>IF(OR(1447581.46785="",332.68238="",397.14378=""),"-",(397.14378-332.68238)/1447581.46785*100)</f>
        <v>0.004453041257549418</v>
      </c>
      <c r="G85" s="27">
        <f>IF(OR(1432658.71897="",380.05198="",397.14378=""),"-",(380.05198-397.14378)/1432658.71897*100)</f>
        <v>-0.0011930126675449967</v>
      </c>
    </row>
    <row r="86" spans="1:7" ht="15.75">
      <c r="A86" s="45" t="s">
        <v>159</v>
      </c>
      <c r="B86" s="27">
        <f>IF(365.37647="","-",365.37647)</f>
        <v>365.37647</v>
      </c>
      <c r="C86" s="27">
        <f>IF(OR(832.77023="",365.37647=""),"-",365.37647/832.77023*100)</f>
        <v>43.8748236713505</v>
      </c>
      <c r="D86" s="27">
        <f>IF(832.77023="","-",832.77023/1432658.71897*100)</f>
        <v>0.05812760701297475</v>
      </c>
      <c r="E86" s="27">
        <f>IF(365.37647="","-",365.37647/1651792.72482*100)</f>
        <v>0.022119995112571768</v>
      </c>
      <c r="F86" s="27">
        <f>IF(OR(1447581.46785="",628.63605="",832.77023=""),"-",(832.77023-628.63605)/1447581.46785*100)</f>
        <v>0.014101740353390088</v>
      </c>
      <c r="G86" s="27">
        <f>IF(OR(1432658.71897="",365.37647="",832.77023=""),"-",(365.37647-832.77023)/1432658.71897*100)</f>
        <v>-0.03262422193165651</v>
      </c>
    </row>
    <row r="87" spans="1:7" ht="15.75">
      <c r="A87" s="45" t="s">
        <v>232</v>
      </c>
      <c r="B87" s="27">
        <f>IF(346.8895="","-",346.8895)</f>
        <v>346.8895</v>
      </c>
      <c r="C87" s="27">
        <f>IF(OR(751.24653="",346.8895=""),"-",346.8895/751.24653*100)</f>
        <v>46.17518832333242</v>
      </c>
      <c r="D87" s="27">
        <f>IF(751.24653="","-",751.24653/1432658.71897*100)</f>
        <v>0.05243722877281642</v>
      </c>
      <c r="E87" s="27">
        <f>IF(346.8895="","-",346.8895/1651792.72482*100)</f>
        <v>0.021000788705968023</v>
      </c>
      <c r="F87" s="27">
        <f>IF(OR(1447581.46785="",72.54842="",751.24653=""),"-",(751.24653-72.54842)/1447581.46785*100)</f>
        <v>0.046884968139860685</v>
      </c>
      <c r="G87" s="27">
        <f>IF(OR(1432658.71897="",346.8895="",751.24653=""),"-",(346.8895-751.24653)/1432658.71897*100)</f>
        <v>-0.028224239635431785</v>
      </c>
    </row>
    <row r="88" spans="1:7" ht="15.75">
      <c r="A88" s="45" t="s">
        <v>182</v>
      </c>
      <c r="B88" s="27">
        <f>IF(337.26865="","-",337.26865)</f>
        <v>337.26865</v>
      </c>
      <c r="C88" s="27" t="s">
        <v>241</v>
      </c>
      <c r="D88" s="27">
        <f>IF(149.29594="","-",149.29594/1432658.71897*100)</f>
        <v>0.01042090052733112</v>
      </c>
      <c r="E88" s="27">
        <f>IF(337.26865="","-",337.26865/1651792.72482*100)</f>
        <v>0.020418339718547496</v>
      </c>
      <c r="F88" s="27">
        <f>IF(OR(1447581.46785="",109.20243="",149.29594=""),"-",(149.29594-109.20243)/1447581.46785*100)</f>
        <v>0.002769689367434934</v>
      </c>
      <c r="G88" s="27">
        <f>IF(OR(1432658.71897="",337.26865="",149.29594=""),"-",(337.26865-149.29594)/1432658.71897*100)</f>
        <v>0.013120550450084974</v>
      </c>
    </row>
    <row r="89" spans="1:7" ht="15.75">
      <c r="A89" s="45" t="s">
        <v>156</v>
      </c>
      <c r="B89" s="27">
        <f>IF(278.30919="","-",278.30919)</f>
        <v>278.30919</v>
      </c>
      <c r="C89" s="27">
        <f>IF(OR(1377.12023="",278.30919=""),"-",278.30919/1377.12023*100)</f>
        <v>20.209505599957676</v>
      </c>
      <c r="D89" s="27">
        <f>IF(1377.12023="","-",1377.12023/1432658.71897*100)</f>
        <v>0.09612339713327336</v>
      </c>
      <c r="E89" s="27">
        <f>IF(278.30919="","-",278.30919/1651792.72482*100)</f>
        <v>0.016848917289566587</v>
      </c>
      <c r="F89" s="27">
        <f>IF(OR(1447581.46785="",527.76143="",1377.12023=""),"-",(1377.12023-527.76143)/1447581.46785*100)</f>
        <v>0.05867433501076096</v>
      </c>
      <c r="G89" s="27">
        <f>IF(OR(1432658.71897="",278.30919="",1377.12023=""),"-",(278.30919-1377.12023)/1432658.71897*100)</f>
        <v>-0.07669733380675493</v>
      </c>
    </row>
    <row r="90" spans="1:7" s="31" customFormat="1" ht="15.75">
      <c r="A90" s="45" t="s">
        <v>114</v>
      </c>
      <c r="B90" s="27">
        <f>IF(255.09108="","-",255.09108)</f>
        <v>255.09108</v>
      </c>
      <c r="C90" s="27">
        <f>IF(OR(302.67684="",255.09108=""),"-",255.09108/302.67684*100)</f>
        <v>84.27836104011129</v>
      </c>
      <c r="D90" s="27">
        <f>IF(302.67684="","-",302.67684/1432658.71897*100)</f>
        <v>0.02112693246425132</v>
      </c>
      <c r="E90" s="27">
        <f>IF(255.09108="","-",255.09108/1651792.72482*100)</f>
        <v>0.015443286325637372</v>
      </c>
      <c r="F90" s="27">
        <f>IF(OR(1447581.46785="",146.87889="",302.67684=""),"-",(302.67684-146.87889)/1447581.46785*100)</f>
        <v>0.010762637783101544</v>
      </c>
      <c r="G90" s="27">
        <f>IF(OR(1432658.71897="",255.09108="",302.67684=""),"-",(255.09108-302.67684)/1432658.71897*100)</f>
        <v>-0.003321500045329112</v>
      </c>
    </row>
    <row r="91" spans="1:7" ht="15.75">
      <c r="A91" s="45" t="s">
        <v>173</v>
      </c>
      <c r="B91" s="27">
        <f>IF(244.30009="","-",244.30009)</f>
        <v>244.30009</v>
      </c>
      <c r="C91" s="27">
        <f>IF(OR(232.2422="",244.30009=""),"-",244.30009/232.2422*100)</f>
        <v>105.19194616654511</v>
      </c>
      <c r="D91" s="27">
        <f>IF(232.2422="","-",232.2422/1432658.71897*100)</f>
        <v>0.016210573873934812</v>
      </c>
      <c r="E91" s="27">
        <f>IF(244.30009="","-",244.30009/1651792.72482*100)</f>
        <v>0.014789996730771532</v>
      </c>
      <c r="F91" s="27">
        <f>IF(OR(1447581.46785="",272.48801="",232.2422=""),"-",(232.2422-272.48801)/1447581.46785*100)</f>
        <v>-0.0027802103642411576</v>
      </c>
      <c r="G91" s="27">
        <f>IF(OR(1432658.71897="",244.30009="",232.2422=""),"-",(244.30009-232.2422)/1432658.71897*100)</f>
        <v>0.0008416442688227208</v>
      </c>
    </row>
    <row r="92" spans="1:7" ht="15.75">
      <c r="A92" s="45" t="s">
        <v>169</v>
      </c>
      <c r="B92" s="27">
        <f>IF(200.36525="","-",200.36525)</f>
        <v>200.36525</v>
      </c>
      <c r="C92" s="27">
        <f>IF(OR(283.55703="",200.36525=""),"-",200.36525/283.55703*100)</f>
        <v>70.66135866918906</v>
      </c>
      <c r="D92" s="27">
        <f>IF(283.55703="","-",283.55703/1432658.71897*100)</f>
        <v>0.019792364102168124</v>
      </c>
      <c r="E92" s="27">
        <f>IF(200.36525="","-",200.36525/1651792.72482*100)</f>
        <v>0.012130169057490812</v>
      </c>
      <c r="F92" s="27">
        <f>IF(OR(1447581.46785="",725.83131="",283.55703=""),"-",(283.55703-725.83131)/1447581.46785*100)</f>
        <v>-0.030552634848032542</v>
      </c>
      <c r="G92" s="27">
        <f>IF(OR(1432658.71897="",200.36525="",283.55703=""),"-",(200.36525-283.55703)/1432658.71897*100)</f>
        <v>-0.0058068107148232856</v>
      </c>
    </row>
    <row r="93" spans="1:7" ht="15.75">
      <c r="A93" s="45" t="s">
        <v>235</v>
      </c>
      <c r="B93" s="27">
        <f>IF(194.27518="","-",194.27518)</f>
        <v>194.27518</v>
      </c>
      <c r="C93" s="27">
        <f>IF(OR(211.84421="",194.27518=""),"-",194.27518/211.84421*100)</f>
        <v>91.7066272427271</v>
      </c>
      <c r="D93" s="27">
        <f>IF(211.84421="","-",211.84421/1432658.71897*100)</f>
        <v>0.01478678817187557</v>
      </c>
      <c r="E93" s="27">
        <f>IF(194.27518="","-",194.27518/1651792.72482*100)</f>
        <v>0.011761474492580215</v>
      </c>
      <c r="F93" s="27">
        <f>IF(OR(1447581.46785="",176.10052="",211.84421=""),"-",(211.84421-176.10052)/1447581.46785*100)</f>
        <v>0.002469200579991386</v>
      </c>
      <c r="G93" s="27">
        <f>IF(OR(1432658.71897="",194.27518="",211.84421=""),"-",(194.27518-211.84421)/1432658.71897*100)</f>
        <v>-0.0012263234619219801</v>
      </c>
    </row>
    <row r="94" spans="1:7" ht="15.75">
      <c r="A94" s="45" t="s">
        <v>187</v>
      </c>
      <c r="B94" s="27">
        <f>IF(186.33116="","-",186.33116)</f>
        <v>186.33116</v>
      </c>
      <c r="C94" s="27" t="str">
        <f>IF(OR(""="",186.33116=""),"-",186.33116/""*100)</f>
        <v>-</v>
      </c>
      <c r="D94" s="27" t="str">
        <f>IF(""="","-",""/1432658.71897*100)</f>
        <v>-</v>
      </c>
      <c r="E94" s="27">
        <f>IF(186.33116="","-",186.33116/1651792.72482*100)</f>
        <v>0.011280541268899522</v>
      </c>
      <c r="F94" s="27" t="str">
        <f>IF(OR(1447581.46785="",163.41066="",""=""),"-",(""-163.41066)/1447581.46785*100)</f>
        <v>-</v>
      </c>
      <c r="G94" s="27" t="str">
        <f>IF(OR(1432658.71897="",186.33116="",""=""),"-",(186.33116-"")/1432658.71897*100)</f>
        <v>-</v>
      </c>
    </row>
    <row r="95" spans="1:7" ht="15.75">
      <c r="A95" s="45" t="s">
        <v>188</v>
      </c>
      <c r="B95" s="27">
        <f>IF(179.59211="","-",179.59211)</f>
        <v>179.59211</v>
      </c>
      <c r="C95" s="27">
        <f>IF(OR(155.37056="",179.59211=""),"-",179.59211/155.37056*100)</f>
        <v>115.5895363960843</v>
      </c>
      <c r="D95" s="27">
        <f>IF(155.37056="","-",155.37056/1432658.71897*100)</f>
        <v>0.010844910790177761</v>
      </c>
      <c r="E95" s="27">
        <f>IF(179.59211="","-",179.59211/1651792.72482*100)</f>
        <v>0.01087255727074174</v>
      </c>
      <c r="F95" s="27">
        <f>IF(OR(1447581.46785="",277.65965="",155.37056=""),"-",(155.37056-277.65965)/1447581.46785*100)</f>
        <v>-0.008447820914813737</v>
      </c>
      <c r="G95" s="27">
        <f>IF(OR(1432658.71897="",179.59211="",155.37056=""),"-",(179.59211-155.37056)/1432658.71897*100)</f>
        <v>0.0016906713147576342</v>
      </c>
    </row>
    <row r="96" spans="1:7" ht="15.75">
      <c r="A96" s="45" t="s">
        <v>233</v>
      </c>
      <c r="B96" s="27">
        <f>IF(177.95744="","-",177.95744)</f>
        <v>177.95744</v>
      </c>
      <c r="C96" s="27" t="str">
        <f>IF(OR(""="",177.95744=""),"-",177.95744/""*100)</f>
        <v>-</v>
      </c>
      <c r="D96" s="27" t="str">
        <f>IF(""="","-",""/1432658.71897*100)</f>
        <v>-</v>
      </c>
      <c r="E96" s="27">
        <f>IF(177.95744="","-",177.95744/1651792.72482*100)</f>
        <v>0.010773593885358253</v>
      </c>
      <c r="F96" s="27" t="str">
        <f>IF(OR(1447581.46785="",""="",""=""),"-",(""-"")/1447581.46785*100)</f>
        <v>-</v>
      </c>
      <c r="G96" s="27" t="str">
        <f>IF(OR(1432658.71897="",177.95744="",""=""),"-",(177.95744-"")/1432658.71897*100)</f>
        <v>-</v>
      </c>
    </row>
    <row r="97" spans="1:7" ht="15.75">
      <c r="A97" s="45" t="s">
        <v>234</v>
      </c>
      <c r="B97" s="27">
        <f>IF(175.37435="","-",175.37435)</f>
        <v>175.37435</v>
      </c>
      <c r="C97" s="27">
        <f>IF(OR(118.14958="",175.37435=""),"-",175.37435/118.14958*100)</f>
        <v>148.43417132756628</v>
      </c>
      <c r="D97" s="27">
        <f>IF(118.14958="","-",118.14958/1432658.71897*100)</f>
        <v>0.008246875437643852</v>
      </c>
      <c r="E97" s="27">
        <f>IF(175.37435="","-",175.37435/1651792.72482*100)</f>
        <v>0.010617212884208034</v>
      </c>
      <c r="F97" s="27" t="str">
        <f>IF(OR(1447581.46785="",""="",118.14958=""),"-",(118.14958-"")/1447581.46785*100)</f>
        <v>-</v>
      </c>
      <c r="G97" s="27">
        <f>IF(OR(1432658.71897="",175.37435="",118.14958=""),"-",(175.37435-118.14958)/1432658.71897*100)</f>
        <v>0.003994305778639406</v>
      </c>
    </row>
    <row r="98" spans="1:7" ht="15.75">
      <c r="A98" s="45" t="s">
        <v>204</v>
      </c>
      <c r="B98" s="27">
        <f>IF(157.43886="","-",157.43886)</f>
        <v>157.43886</v>
      </c>
      <c r="C98" s="27" t="s">
        <v>261</v>
      </c>
      <c r="D98" s="27">
        <f>IF(0.2121="","-",0.2121/1432658.71897*100)</f>
        <v>1.4804642389116077E-05</v>
      </c>
      <c r="E98" s="27">
        <f>IF(157.43886="","-",157.43886/1651792.72482*100)</f>
        <v>0.009531393233201006</v>
      </c>
      <c r="F98" s="27">
        <f>IF(OR(1447581.46785="",27.7076="",0.2121=""),"-",(0.2121-27.7076)/1447581.46785*100)</f>
        <v>-0.0018994095054862305</v>
      </c>
      <c r="G98" s="27">
        <f>IF(OR(1432658.71897="",157.43886="",0.2121=""),"-",(157.43886-0.2121)/1432658.71897*100)</f>
        <v>0.010974474096178124</v>
      </c>
    </row>
    <row r="99" spans="1:7" ht="15.75">
      <c r="A99" s="45" t="s">
        <v>167</v>
      </c>
      <c r="B99" s="27">
        <f>IF(119.63437="","-",119.63437)</f>
        <v>119.63437</v>
      </c>
      <c r="C99" s="27" t="s">
        <v>212</v>
      </c>
      <c r="D99" s="27">
        <f>IF(40.49776="","-",40.49776/1432658.71897*100)</f>
        <v>0.002826755560397216</v>
      </c>
      <c r="E99" s="27">
        <f>IF(119.63437="","-",119.63437/1651792.72482*100)</f>
        <v>0.007242698687454073</v>
      </c>
      <c r="F99" s="27" t="str">
        <f>IF(OR(1447581.46785="",""="",40.49776=""),"-",(40.49776-"")/1447581.46785*100)</f>
        <v>-</v>
      </c>
      <c r="G99" s="27">
        <f>IF(OR(1432658.71897="",119.63437="",40.49776=""),"-",(119.63437-40.49776)/1432658.71897*100)</f>
        <v>0.005523758655996923</v>
      </c>
    </row>
    <row r="100" spans="1:7" ht="15.75">
      <c r="A100" s="45" t="s">
        <v>179</v>
      </c>
      <c r="B100" s="27">
        <f>IF(65.64163="","-",65.64163)</f>
        <v>65.64163</v>
      </c>
      <c r="C100" s="27" t="str">
        <f>IF(OR(""="",65.64163=""),"-",65.64163/""*100)</f>
        <v>-</v>
      </c>
      <c r="D100" s="27" t="str">
        <f>IF(""="","-",""/1432658.71897*100)</f>
        <v>-</v>
      </c>
      <c r="E100" s="27">
        <f>IF(65.64163="","-",65.64163/1651792.72482*100)</f>
        <v>0.003973962895807835</v>
      </c>
      <c r="F100" s="27" t="str">
        <f>IF(OR(1447581.46785="",""="",""=""),"-",(""-"")/1447581.46785*100)</f>
        <v>-</v>
      </c>
      <c r="G100" s="27" t="str">
        <f>IF(OR(1432658.71897="",65.64163="",""=""),"-",(65.64163-"")/1432658.71897*100)</f>
        <v>-</v>
      </c>
    </row>
    <row r="101" spans="1:7" ht="15.75">
      <c r="A101" s="45" t="s">
        <v>223</v>
      </c>
      <c r="B101" s="27">
        <f>IF(64.1936="","-",64.1936)</f>
        <v>64.1936</v>
      </c>
      <c r="C101" s="27" t="s">
        <v>262</v>
      </c>
      <c r="D101" s="27">
        <f>IF(14.606="","-",14.606/1432658.71897*100)</f>
        <v>0.0010195030963480877</v>
      </c>
      <c r="E101" s="27">
        <f>IF(64.1936="","-",64.1936/1651792.72482*100)</f>
        <v>0.0038862987489544335</v>
      </c>
      <c r="F101" s="27" t="str">
        <f>IF(OR(1447581.46785="",""="",14.606=""),"-",(14.606-"")/1447581.46785*100)</f>
        <v>-</v>
      </c>
      <c r="G101" s="27">
        <f>IF(OR(1432658.71897="",64.1936="",14.606=""),"-",(64.1936-14.606)/1432658.71897*100)</f>
        <v>0.003461229066169413</v>
      </c>
    </row>
    <row r="102" spans="1:7" ht="15.75">
      <c r="A102" s="45" t="s">
        <v>211</v>
      </c>
      <c r="B102" s="27">
        <f>IF(61.158="","-",61.158)</f>
        <v>61.158</v>
      </c>
      <c r="C102" s="27">
        <f>IF(OR(317.7785="",61.158=""),"-",61.158/317.7785*100)</f>
        <v>19.24548073579553</v>
      </c>
      <c r="D102" s="27">
        <f>IF(317.7785="","-",317.7785/1432658.71897*100)</f>
        <v>0.022181032774397563</v>
      </c>
      <c r="E102" s="27">
        <f>IF(61.158="","-",61.158/1651792.72482*100)</f>
        <v>0.003702522664074849</v>
      </c>
      <c r="F102" s="27">
        <f>IF(OR(1447581.46785="",8.04462="",317.7785=""),"-",(317.7785-8.04462)/1447581.46785*100)</f>
        <v>0.021396645845434034</v>
      </c>
      <c r="G102" s="27">
        <f>IF(OR(1432658.71897="",61.158="",317.7785=""),"-",(61.158-317.7785)/1432658.71897*100)</f>
        <v>-0.017912186384800386</v>
      </c>
    </row>
    <row r="103" spans="1:7" ht="15.75">
      <c r="A103" s="45" t="s">
        <v>239</v>
      </c>
      <c r="B103" s="27">
        <f>IF(55.15="","-",55.15)</f>
        <v>55.15</v>
      </c>
      <c r="C103" s="27" t="str">
        <f>IF(OR(""="",55.15=""),"-",55.15/""*100)</f>
        <v>-</v>
      </c>
      <c r="D103" s="27" t="str">
        <f>IF(""="","-",""/1432658.71897*100)</f>
        <v>-</v>
      </c>
      <c r="E103" s="27">
        <f>IF(55.15="","-",55.15/1651792.72482*100)</f>
        <v>0.003338796640238855</v>
      </c>
      <c r="F103" s="27" t="str">
        <f>IF(OR(1447581.46785="",""="",""=""),"-",(""-"")/1447581.46785*100)</f>
        <v>-</v>
      </c>
      <c r="G103" s="27" t="str">
        <f>IF(OR(1432658.71897="",55.15="",""=""),"-",(55.15-"")/1432658.71897*100)</f>
        <v>-</v>
      </c>
    </row>
    <row r="104" spans="1:7" ht="15.75">
      <c r="A104" s="45" t="s">
        <v>121</v>
      </c>
      <c r="B104" s="27">
        <f>IF(53.04821="","-",53.04821)</f>
        <v>53.04821</v>
      </c>
      <c r="C104" s="27">
        <f>IF(OR(55.05138="",53.04821=""),"-",53.04821/55.05138*100)</f>
        <v>96.3612719608482</v>
      </c>
      <c r="D104" s="27">
        <f>IF(55.05138="","-",55.05138/1432658.71897*100)</f>
        <v>0.003842602517337751</v>
      </c>
      <c r="E104" s="27">
        <f>IF(53.04821="","-",53.04821/1651792.72482*100)</f>
        <v>0.0032115536775826877</v>
      </c>
      <c r="F104" s="27">
        <f>IF(OR(1447581.46785="",83.51252="",55.05138=""),"-",(55.05138-83.51252)/1447581.46785*100)</f>
        <v>-0.0019661166319206546</v>
      </c>
      <c r="G104" s="27">
        <f>IF(OR(1432658.71897="",53.04821="",55.05138=""),"-",(53.04821-55.05138)/1432658.71897*100)</f>
        <v>-0.00013982185523152152</v>
      </c>
    </row>
    <row r="105" spans="1:7" ht="15.75">
      <c r="A105" s="45" t="s">
        <v>168</v>
      </c>
      <c r="B105" s="27">
        <f>IF(50.98567="","-",50.98567)</f>
        <v>50.98567</v>
      </c>
      <c r="C105" s="27" t="str">
        <f>IF(OR(""="",50.98567=""),"-",50.98567/""*100)</f>
        <v>-</v>
      </c>
      <c r="D105" s="27" t="str">
        <f>IF(""="","-",""/1432658.71897*100)</f>
        <v>-</v>
      </c>
      <c r="E105" s="27">
        <f>IF(50.98567="","-",50.98567/1651792.72482*100)</f>
        <v>0.0030866869210576064</v>
      </c>
      <c r="F105" s="27" t="str">
        <f>IF(OR(1447581.46785="",""="",""=""),"-",(""-"")/1447581.46785*100)</f>
        <v>-</v>
      </c>
      <c r="G105" s="27" t="str">
        <f>IF(OR(1432658.71897="",50.98567="",""=""),"-",(50.98567-"")/1432658.71897*100)</f>
        <v>-</v>
      </c>
    </row>
    <row r="106" spans="1:7" ht="15.75">
      <c r="A106" s="45" t="s">
        <v>240</v>
      </c>
      <c r="B106" s="27">
        <f>IF(45.3129="","-",45.3129)</f>
        <v>45.3129</v>
      </c>
      <c r="C106" s="27">
        <f>IF(OR(50.13236="",45.3129=""),"-",45.3129/50.13236*100)</f>
        <v>90.38652878101091</v>
      </c>
      <c r="D106" s="27">
        <f>IF(50.13236="","-",50.13236/1432658.71897*100)</f>
        <v>0.003499253474410312</v>
      </c>
      <c r="E106" s="27">
        <f>IF(45.3129="","-",45.3129/1651792.72482*100)</f>
        <v>0.0027432558164910107</v>
      </c>
      <c r="F106" s="27" t="str">
        <f>IF(OR(1447581.46785="",""="",50.13236=""),"-",(50.13236-"")/1447581.46785*100)</f>
        <v>-</v>
      </c>
      <c r="G106" s="27">
        <f>IF(OR(1432658.71897="",45.3129="",50.13236=""),"-",(45.3129-50.13236)/1432658.71897*100)</f>
        <v>-0.00033639972564191117</v>
      </c>
    </row>
    <row r="107" spans="1:7" ht="15.75">
      <c r="A107" s="50" t="s">
        <v>27</v>
      </c>
      <c r="B107" s="50"/>
      <c r="C107" s="50"/>
      <c r="D107" s="50"/>
      <c r="E107" s="50"/>
      <c r="F107" s="50"/>
      <c r="G107" s="50"/>
    </row>
  </sheetData>
  <sheetProtection/>
  <mergeCells count="10">
    <mergeCell ref="A107:G107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4"/>
  <sheetViews>
    <sheetView zoomScalePageLayoutView="0" workbookViewId="0" topLeftCell="A1">
      <selection activeCell="A29" sqref="A29"/>
    </sheetView>
  </sheetViews>
  <sheetFormatPr defaultColWidth="9.00390625" defaultRowHeight="15.75"/>
  <cols>
    <col min="1" max="1" width="33.625" style="0" customWidth="1"/>
    <col min="2" max="2" width="11.125" style="0" customWidth="1"/>
    <col min="3" max="3" width="10.2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64" t="s">
        <v>30</v>
      </c>
      <c r="B1" s="64"/>
      <c r="C1" s="64"/>
      <c r="D1" s="64"/>
      <c r="E1" s="64"/>
      <c r="F1" s="64"/>
      <c r="G1" s="64"/>
    </row>
    <row r="2" ht="15.75">
      <c r="A2" s="2"/>
    </row>
    <row r="3" spans="1:7" ht="56.25" customHeight="1">
      <c r="A3" s="65"/>
      <c r="B3" s="68" t="s">
        <v>246</v>
      </c>
      <c r="C3" s="69"/>
      <c r="D3" s="68" t="s">
        <v>231</v>
      </c>
      <c r="E3" s="69"/>
      <c r="F3" s="70" t="s">
        <v>220</v>
      </c>
      <c r="G3" s="71"/>
    </row>
    <row r="4" spans="1:7" ht="30" customHeight="1">
      <c r="A4" s="66"/>
      <c r="B4" s="72" t="s">
        <v>217</v>
      </c>
      <c r="C4" s="74" t="s">
        <v>247</v>
      </c>
      <c r="D4" s="76" t="s">
        <v>248</v>
      </c>
      <c r="E4" s="76"/>
      <c r="F4" s="76" t="s">
        <v>248</v>
      </c>
      <c r="G4" s="68"/>
    </row>
    <row r="5" spans="1:7" ht="26.25" customHeight="1">
      <c r="A5" s="67"/>
      <c r="B5" s="73"/>
      <c r="C5" s="75"/>
      <c r="D5" s="18">
        <v>2016</v>
      </c>
      <c r="E5" s="18">
        <v>2017</v>
      </c>
      <c r="F5" s="18" t="s">
        <v>2</v>
      </c>
      <c r="G5" s="19" t="s">
        <v>186</v>
      </c>
    </row>
    <row r="6" spans="1:7" s="3" customFormat="1" ht="15">
      <c r="A6" s="7" t="s">
        <v>29</v>
      </c>
      <c r="B6" s="34">
        <f>IF(3438777.31382="","-",3438777.31382)</f>
        <v>3438777.31382</v>
      </c>
      <c r="C6" s="34">
        <f>IF(2895177.69157="","-",3438777.31382/2895177.69157*100)</f>
        <v>118.77603657394916</v>
      </c>
      <c r="D6" s="34">
        <v>100</v>
      </c>
      <c r="E6" s="34">
        <v>100</v>
      </c>
      <c r="F6" s="34">
        <f>IF(2962405.08414="","-",(2895177.69157-2962405.08414)/2962405.08414*100)</f>
        <v>-2.269351782101622</v>
      </c>
      <c r="G6" s="34">
        <f>IF(2895177.69157="","-",(3438777.31382-2895177.69157)/2895177.69157*100)</f>
        <v>18.776036573949153</v>
      </c>
    </row>
    <row r="7" spans="1:7" ht="12.75" customHeight="1">
      <c r="A7" s="8" t="s">
        <v>3</v>
      </c>
      <c r="B7" s="44"/>
      <c r="C7" s="38"/>
      <c r="D7" s="39"/>
      <c r="E7" s="39"/>
      <c r="F7" s="40"/>
      <c r="G7" s="40"/>
    </row>
    <row r="8" spans="1:7" ht="15.75">
      <c r="A8" s="9" t="s">
        <v>4</v>
      </c>
      <c r="B8" s="26">
        <f>IF(1713719.23075="","-",1713719.23075)</f>
        <v>1713719.23075</v>
      </c>
      <c r="C8" s="26">
        <f>IF(1435171.95702="","-",1713719.23075/1435171.95702*100)</f>
        <v>119.40863409206916</v>
      </c>
      <c r="D8" s="26">
        <f>IF(1435171.95702="","-",1435171.95702/2895177.69157*100)</f>
        <v>49.57111824945479</v>
      </c>
      <c r="E8" s="26">
        <f>IF(1713719.23075="","-",1713719.23075/3438777.31382*100)</f>
        <v>49.83513250081024</v>
      </c>
      <c r="F8" s="26">
        <f>IF(2962405.08414="","-",(1435171.95702-1461569.49845)/2962405.08414*100)</f>
        <v>-0.8910848003646104</v>
      </c>
      <c r="G8" s="26">
        <f>IF(2895177.69157="","-",(1713719.23075-1435171.95702)/2895177.69157*100)</f>
        <v>9.621076956383604</v>
      </c>
    </row>
    <row r="9" spans="1:7" s="16" customFormat="1" ht="15.75">
      <c r="A9" s="45" t="s">
        <v>5</v>
      </c>
      <c r="B9" s="27">
        <f>IF(494877.64807="","-",494877.64807)</f>
        <v>494877.64807</v>
      </c>
      <c r="C9" s="27">
        <f>IF(OR(395450.80901="",494877.64807=""),"-",494877.64807/395450.80901*100)</f>
        <v>125.14265663254356</v>
      </c>
      <c r="D9" s="27">
        <f>IF(395450.80901="","-",395450.80901/2895177.69157*100)</f>
        <v>13.658947779317634</v>
      </c>
      <c r="E9" s="27">
        <f>IF(494877.64807="","-",494877.64807/3438777.31382*100)</f>
        <v>14.39109319702532</v>
      </c>
      <c r="F9" s="27">
        <f>IF(OR(2962405.08414="",437488.75508="",395450.80901=""),"-",(395450.80901-437488.75508)/2962405.08414*100)</f>
        <v>-1.4190478640163338</v>
      </c>
      <c r="G9" s="27">
        <f>IF(OR(2895177.69157="",494877.64807="",395450.80901=""),"-",(494877.64807-395450.80901)/2895177.69157*100)</f>
        <v>3.4342223397722673</v>
      </c>
    </row>
    <row r="10" spans="1:7" s="16" customFormat="1" ht="15.75">
      <c r="A10" s="45" t="s">
        <v>7</v>
      </c>
      <c r="B10" s="27">
        <f>IF(279826.97386="","-",279826.97386)</f>
        <v>279826.97386</v>
      </c>
      <c r="C10" s="27">
        <f>IF(OR(230887.33485="",279826.97386=""),"-",279826.97386/230887.33485*100)</f>
        <v>121.19632895489676</v>
      </c>
      <c r="D10" s="27">
        <f>IF(230887.33485="","-",230887.33485/2895177.69157*100)</f>
        <v>7.974893407139865</v>
      </c>
      <c r="E10" s="27">
        <f>IF(279826.97386="","-",279826.97386/3438777.31382*100)</f>
        <v>8.137397345719705</v>
      </c>
      <c r="F10" s="27">
        <f>IF(OR(2962405.08414="",237229.72234="",230887.33485=""),"-",(230887.33485-237229.72234)/2962405.08414*100)</f>
        <v>-0.2140958886397948</v>
      </c>
      <c r="G10" s="27">
        <f>IF(OR(2895177.69157="",279826.97386="",230887.33485=""),"-",(279826.97386-230887.33485)/2895177.69157*100)</f>
        <v>1.6903846403797405</v>
      </c>
    </row>
    <row r="11" spans="1:7" s="16" customFormat="1" ht="15.75">
      <c r="A11" s="45" t="s">
        <v>6</v>
      </c>
      <c r="B11" s="27">
        <f>IF(242544.57774="","-",242544.57774)</f>
        <v>242544.57774</v>
      </c>
      <c r="C11" s="27">
        <f>IF(OR(207405.5096="",242544.57774=""),"-",242544.57774/207405.5096*100)</f>
        <v>116.94220573395992</v>
      </c>
      <c r="D11" s="27">
        <f>IF(207405.5096="","-",207405.5096/2895177.69157*100)</f>
        <v>7.163826600485026</v>
      </c>
      <c r="E11" s="27">
        <f>IF(242544.57774="","-",242544.57774/3438777.31382*100)</f>
        <v>7.053221409983276</v>
      </c>
      <c r="F11" s="27">
        <f>IF(OR(2962405.08414="",202747.98409="",207405.5096=""),"-",(207405.5096-202747.98409)/2962405.08414*100)</f>
        <v>0.15722108819402322</v>
      </c>
      <c r="G11" s="27">
        <f>IF(OR(2895177.69157="",242544.57774="",207405.5096=""),"-",(242544.57774-207405.5096)/2895177.69157*100)</f>
        <v>1.2137102410783212</v>
      </c>
    </row>
    <row r="12" spans="1:7" s="16" customFormat="1" ht="15.75">
      <c r="A12" s="45" t="s">
        <v>8</v>
      </c>
      <c r="B12" s="27">
        <f>IF(115914.84308="","-",115914.84308)</f>
        <v>115914.84308</v>
      </c>
      <c r="C12" s="27">
        <f>IF(OR(93334.16899="",115914.84308=""),"-",115914.84308/93334.16899*100)</f>
        <v>124.19336276773336</v>
      </c>
      <c r="D12" s="27">
        <f>IF(93334.16899="","-",93334.16899/2895177.69157*100)</f>
        <v>3.2237803317483653</v>
      </c>
      <c r="E12" s="27">
        <f>IF(115914.84308="","-",115914.84308/3438777.31382*100)</f>
        <v>3.3708156272333567</v>
      </c>
      <c r="F12" s="27">
        <f>IF(OR(2962405.08414="",88599.9519="",93334.16899=""),"-",(93334.16899-88599.9519)/2962405.08414*100)</f>
        <v>0.15980991645423034</v>
      </c>
      <c r="G12" s="27">
        <f>IF(OR(2895177.69157="",115914.84308="",93334.16899=""),"-",(115914.84308-93334.16899)/2895177.69157*100)</f>
        <v>0.7799408704947202</v>
      </c>
    </row>
    <row r="13" spans="1:7" s="16" customFormat="1" ht="15.75">
      <c r="A13" s="45" t="s">
        <v>200</v>
      </c>
      <c r="B13" s="27">
        <f>IF(84716.14381="","-",84716.14381)</f>
        <v>84716.14381</v>
      </c>
      <c r="C13" s="27">
        <f>IF(OR(68515.79681="",84716.14381=""),"-",84716.14381/68515.79681*100)</f>
        <v>123.64468889550378</v>
      </c>
      <c r="D13" s="27">
        <f>IF(68515.79681="","-",68515.79681/2895177.69157*100)</f>
        <v>2.3665489344401927</v>
      </c>
      <c r="E13" s="27">
        <f>IF(84716.14381="","-",84716.14381/3438777.31382*100)</f>
        <v>2.463554225204895</v>
      </c>
      <c r="F13" s="27">
        <f>IF(OR(2962405.08414="",61083.85491="",68515.79681=""),"-",(68515.79681-61083.85491)/2962405.08414*100)</f>
        <v>0.2508752749510463</v>
      </c>
      <c r="G13" s="27">
        <f>IF(OR(2895177.69157="",84716.14381="",68515.79681=""),"-",(84716.14381-68515.79681)/2895177.69157*100)</f>
        <v>0.559563133108243</v>
      </c>
    </row>
    <row r="14" spans="1:7" s="16" customFormat="1" ht="15.75">
      <c r="A14" s="45" t="s">
        <v>125</v>
      </c>
      <c r="B14" s="27">
        <f>IF(72442.19775="","-",72442.19775)</f>
        <v>72442.19775</v>
      </c>
      <c r="C14" s="27">
        <f>IF(OR(59121.07178="",72442.19775=""),"-",72442.19775/59121.07178*100)</f>
        <v>122.53194262034064</v>
      </c>
      <c r="D14" s="27">
        <f>IF(59121.07178="","-",59121.07178/2895177.69157*100)</f>
        <v>2.042053306508443</v>
      </c>
      <c r="E14" s="27">
        <f>IF(72442.19775="","-",72442.19775/3438777.31382*100)</f>
        <v>2.106626604138169</v>
      </c>
      <c r="F14" s="27">
        <f>IF(OR(2962405.08414="",51133.57564="",59121.07178=""),"-",(59121.07178-51133.57564)/2962405.08414*100)</f>
        <v>0.26962876153444093</v>
      </c>
      <c r="G14" s="27">
        <f>IF(OR(2895177.69157="",72442.19775="",59121.07178=""),"-",(72442.19775-59121.07178)/2895177.69157*100)</f>
        <v>0.4601142792992514</v>
      </c>
    </row>
    <row r="15" spans="1:7" s="16" customFormat="1" ht="15.75">
      <c r="A15" s="45" t="s">
        <v>11</v>
      </c>
      <c r="B15" s="27">
        <f>IF(58070.61337="","-",58070.61337)</f>
        <v>58070.61337</v>
      </c>
      <c r="C15" s="27">
        <f>IF(OR(56841.85012="",58070.61337=""),"-",58070.61337/56841.85012*100)</f>
        <v>102.16172282817313</v>
      </c>
      <c r="D15" s="27">
        <f>IF(56841.85012="","-",56841.85012/2895177.69157*100)</f>
        <v>1.9633285475191595</v>
      </c>
      <c r="E15" s="27">
        <f>IF(58070.61337="","-",58070.61337/3438777.31382*100)</f>
        <v>1.6886994437418712</v>
      </c>
      <c r="F15" s="27">
        <f>IF(OR(2962405.08414="",69777.62221="",56841.85012=""),"-",(56841.85012-69777.62221)/2962405.08414*100)</f>
        <v>-0.4366645250257972</v>
      </c>
      <c r="G15" s="27">
        <f>IF(OR(2895177.69157="",58070.61337="",56841.85012=""),"-",(58070.61337-56841.85012)/2895177.69157*100)</f>
        <v>0.04244172140376162</v>
      </c>
    </row>
    <row r="16" spans="1:7" s="16" customFormat="1" ht="15.75">
      <c r="A16" s="45" t="s">
        <v>9</v>
      </c>
      <c r="B16" s="27">
        <f>IF(52928.73587="","-",52928.73587)</f>
        <v>52928.73587</v>
      </c>
      <c r="C16" s="27">
        <f>IF(OR(42412.26981="",52928.73587=""),"-",52928.73587/42412.26981*100)</f>
        <v>124.79581052160623</v>
      </c>
      <c r="D16" s="27">
        <f>IF(42412.26981="","-",42412.26981/2895177.69157*100)</f>
        <v>1.4649280399435736</v>
      </c>
      <c r="E16" s="27">
        <f>IF(52928.73587="","-",52928.73587/3438777.31382*100)</f>
        <v>1.5391731141556122</v>
      </c>
      <c r="F16" s="27">
        <f>IF(OR(2962405.08414="",47721.02158="",42412.26981=""),"-",(42412.26981-47721.02158)/2962405.08414*100)</f>
        <v>-0.1792041135232239</v>
      </c>
      <c r="G16" s="27">
        <f>IF(OR(2895177.69157="",52928.73587="",42412.26981=""),"-",(52928.73587-42412.26981)/2895177.69157*100)</f>
        <v>0.3632407810622884</v>
      </c>
    </row>
    <row r="17" spans="1:7" s="16" customFormat="1" ht="15.75">
      <c r="A17" s="45" t="s">
        <v>10</v>
      </c>
      <c r="B17" s="27">
        <f>IF(47613.54264="","-",47613.54264)</f>
        <v>47613.54264</v>
      </c>
      <c r="C17" s="27">
        <f>IF(OR(39108.73215="",47613.54264=""),"-",47613.54264/39108.73215*100)</f>
        <v>121.74657684473158</v>
      </c>
      <c r="D17" s="27">
        <f>IF(39108.73215="","-",39108.73215/2895177.69157*100)</f>
        <v>1.3508232072896391</v>
      </c>
      <c r="E17" s="27">
        <f>IF(47613.54264="","-",47613.54264/3438777.31382*100)</f>
        <v>1.3846067452128217</v>
      </c>
      <c r="F17" s="27">
        <f>IF(OR(2962405.08414="",36811.46315="",39108.73215=""),"-",(39108.73215-36811.46315)/2962405.08414*100)</f>
        <v>0.07754742969822132</v>
      </c>
      <c r="G17" s="27">
        <f>IF(OR(2895177.69157="",47613.54264="",39108.73215=""),"-",(47613.54264-39108.73215)/2895177.69157*100)</f>
        <v>0.2937578068097091</v>
      </c>
    </row>
    <row r="18" spans="1:7" s="16" customFormat="1" ht="15.75">
      <c r="A18" s="45" t="s">
        <v>123</v>
      </c>
      <c r="B18" s="27">
        <f>IF(43553.38389="","-",43553.38389)</f>
        <v>43553.38389</v>
      </c>
      <c r="C18" s="27">
        <f>IF(OR(36156.31556="",43553.38389=""),"-",43553.38389/36156.31556*100)</f>
        <v>120.45857885526208</v>
      </c>
      <c r="D18" s="27">
        <f>IF(36156.31556="","-",36156.31556/2895177.69157*100)</f>
        <v>1.2488461646163458</v>
      </c>
      <c r="E18" s="27">
        <f>IF(43553.38389="","-",43553.38389/3438777.31382*100)</f>
        <v>1.2665369087717486</v>
      </c>
      <c r="F18" s="27">
        <f>IF(OR(2962405.08414="",32496.7314699999="",36156.31556=""),"-",(36156.31556-32496.7314699999)/2962405.08414*100)</f>
        <v>0.12353422256775853</v>
      </c>
      <c r="G18" s="27">
        <f>IF(OR(2895177.69157="",43553.38389="",36156.31556=""),"-",(43553.38389-36156.31556)/2895177.69157*100)</f>
        <v>0.25549617736895125</v>
      </c>
    </row>
    <row r="19" spans="1:7" s="16" customFormat="1" ht="15.75">
      <c r="A19" s="45" t="s">
        <v>209</v>
      </c>
      <c r="B19" s="27">
        <f>IF(42216.51206="","-",42216.51206)</f>
        <v>42216.51206</v>
      </c>
      <c r="C19" s="27">
        <f>IF(OR(46176.7158="",42216.51206=""),"-",42216.51206/46176.7158*100)</f>
        <v>91.42380814358391</v>
      </c>
      <c r="D19" s="27">
        <f>IF(46176.7158="","-",46176.7158/2895177.69157*100)</f>
        <v>1.5949527358702202</v>
      </c>
      <c r="E19" s="27">
        <f>IF(42216.51206="","-",42216.51206/3438777.31382*100)</f>
        <v>1.2276605376666094</v>
      </c>
      <c r="F19" s="27">
        <f>IF(OR(2962405.08414="",38982.66511="",46176.7158=""),"-",(46176.7158-38982.66511)/2962405.08414*100)</f>
        <v>0.24284493462812373</v>
      </c>
      <c r="G19" s="27">
        <f>IF(OR(2895177.69157="",42216.51206="",46176.7158=""),"-",(42216.51206-46176.7158)/2895177.69157*100)</f>
        <v>-0.1367862066473873</v>
      </c>
    </row>
    <row r="20" spans="1:7" s="16" customFormat="1" ht="15.75">
      <c r="A20" s="45" t="s">
        <v>13</v>
      </c>
      <c r="B20" s="27">
        <f>IF(33886.44372="","-",33886.44372)</f>
        <v>33886.44372</v>
      </c>
      <c r="C20" s="27">
        <f>IF(OR(30838.25679="",33886.44372=""),"-",33886.44372/30838.25679*100)</f>
        <v>109.88443332175781</v>
      </c>
      <c r="D20" s="27">
        <f>IF(30838.25679="","-",30838.25679/2895177.69157*100)</f>
        <v>1.0651593814014573</v>
      </c>
      <c r="E20" s="27">
        <f>IF(33886.44372="","-",33886.44372/3438777.31382*100)</f>
        <v>0.9854212886602102</v>
      </c>
      <c r="F20" s="27">
        <f>IF(OR(2962405.08414="",31272.46727="",30838.25679=""),"-",(30838.25679-31272.46727)/2962405.08414*100)</f>
        <v>-0.01465736344852564</v>
      </c>
      <c r="G20" s="27">
        <f>IF(OR(2895177.69157="",33886.44372="",30838.25679=""),"-",(33886.44372-30838.25679)/2895177.69157*100)</f>
        <v>0.10528496882507511</v>
      </c>
    </row>
    <row r="21" spans="1:7" s="16" customFormat="1" ht="15.75">
      <c r="A21" s="45" t="s">
        <v>124</v>
      </c>
      <c r="B21" s="27">
        <f>IF(27474.89429="","-",27474.89429)</f>
        <v>27474.89429</v>
      </c>
      <c r="C21" s="27">
        <f>IF(OR(22809.33125="",27474.89429=""),"-",27474.89429/22809.33125*100)</f>
        <v>120.45462442043319</v>
      </c>
      <c r="D21" s="27">
        <f>IF(22809.33125="","-",22809.33125/2895177.69157*100)</f>
        <v>0.7878387332292178</v>
      </c>
      <c r="E21" s="27">
        <f>IF(27474.89429="","-",27474.89429/3438777.31382*100)</f>
        <v>0.798972768012106</v>
      </c>
      <c r="F21" s="27">
        <f>IF(OR(2962405.08414="",25347.26892="",22809.33125=""),"-",(22809.33125-25347.26892)/2962405.08414*100)</f>
        <v>-0.08567152694908281</v>
      </c>
      <c r="G21" s="27">
        <f>IF(OR(2895177.69157="",27474.89429="",22809.33125=""),"-",(27474.89429-22809.33125)/2895177.69157*100)</f>
        <v>0.16114945392073518</v>
      </c>
    </row>
    <row r="22" spans="1:7" s="16" customFormat="1" ht="15.75">
      <c r="A22" s="45" t="s">
        <v>12</v>
      </c>
      <c r="B22" s="27">
        <f>IF(17820.42231="","-",17820.42231)</f>
        <v>17820.42231</v>
      </c>
      <c r="C22" s="27">
        <f>IF(OR(14094.85748="",17820.42231=""),"-",17820.42231/14094.85748*100)</f>
        <v>126.43208585320156</v>
      </c>
      <c r="D22" s="27">
        <f>IF(14094.85748="","-",14094.85748/2895177.69157*100)</f>
        <v>0.48683911599072277</v>
      </c>
      <c r="E22" s="27">
        <f>IF(17820.42231="","-",17820.42231/3438777.31382*100)</f>
        <v>0.5182197241555025</v>
      </c>
      <c r="F22" s="27">
        <f>IF(OR(2962405.08414="",14857.72185="",14094.85748=""),"-",(14094.85748-14857.72185)/2962405.08414*100)</f>
        <v>-0.02575152108954277</v>
      </c>
      <c r="G22" s="27">
        <f>IF(OR(2895177.69157="",17820.42231="",14094.85748=""),"-",(17820.42231-14094.85748)/2895177.69157*100)</f>
        <v>0.12868173310563533</v>
      </c>
    </row>
    <row r="23" spans="1:7" s="16" customFormat="1" ht="15.75">
      <c r="A23" s="45" t="s">
        <v>127</v>
      </c>
      <c r="B23" s="27">
        <f>IF(16887.41268="","-",16887.41268)</f>
        <v>16887.41268</v>
      </c>
      <c r="C23" s="27">
        <f>IF(OR(13392.48497="",16887.41268=""),"-",16887.41268/13392.48497*100)</f>
        <v>126.09618541912766</v>
      </c>
      <c r="D23" s="27">
        <f>IF(13392.48497="","-",13392.48497/2895177.69157*100)</f>
        <v>0.4625790330243084</v>
      </c>
      <c r="E23" s="27">
        <f>IF(16887.41268="","-",16887.41268/3438777.31382*100)</f>
        <v>0.4910877076026901</v>
      </c>
      <c r="F23" s="27">
        <f>IF(OR(2962405.08414="",10631.43262="",13392.48497=""),"-",(13392.48497-10631.43262)/2962405.08414*100)</f>
        <v>0.0932030654680552</v>
      </c>
      <c r="G23" s="27">
        <f>IF(OR(2895177.69157="",16887.41268="",13392.48497=""),"-",(16887.41268-13392.48497)/2895177.69157*100)</f>
        <v>0.12071548216803125</v>
      </c>
    </row>
    <row r="24" spans="1:7" s="16" customFormat="1" ht="15.75">
      <c r="A24" s="45" t="s">
        <v>133</v>
      </c>
      <c r="B24" s="27">
        <f>IF(13651.80365="","-",13651.80365)</f>
        <v>13651.80365</v>
      </c>
      <c r="C24" s="27">
        <f>IF(OR(12674.94659="",13651.80365=""),"-",13651.80365/12674.94659*100)</f>
        <v>107.70699152902704</v>
      </c>
      <c r="D24" s="27">
        <f>IF(12674.94659="","-",12674.94659/2895177.69157*100)</f>
        <v>0.43779511796136483</v>
      </c>
      <c r="E24" s="27">
        <f>IF(13651.80365="","-",13651.80365/3438777.31382*100)</f>
        <v>0.3969958623123158</v>
      </c>
      <c r="F24" s="27">
        <f>IF(OR(2962405.08414="",11205.20367="",12674.94659=""),"-",(12674.94659-11205.20367)/2962405.08414*100)</f>
        <v>0.04961316492024156</v>
      </c>
      <c r="G24" s="27">
        <f>IF(OR(2895177.69157="",13651.80365="",12674.94659=""),"-",(13651.80365-12674.94659)/2895177.69157*100)</f>
        <v>0.03374083265577628</v>
      </c>
    </row>
    <row r="25" spans="1:7" s="16" customFormat="1" ht="15.75">
      <c r="A25" s="45" t="s">
        <v>135</v>
      </c>
      <c r="B25" s="27">
        <f>IF(11908.63779="","-",11908.63779)</f>
        <v>11908.63779</v>
      </c>
      <c r="C25" s="27">
        <f>IF(OR(11431.20664="",11908.63779=""),"-",11908.63779/11431.20664*100)</f>
        <v>104.17655952722767</v>
      </c>
      <c r="D25" s="27">
        <f>IF(11431.20664="","-",11431.20664/2895177.69157*100)</f>
        <v>0.3948360984296295</v>
      </c>
      <c r="E25" s="27">
        <f>IF(11908.63779="","-",11908.63779/3438777.31382*100)</f>
        <v>0.34630441878689644</v>
      </c>
      <c r="F25" s="27">
        <f>IF(OR(2962405.08414="",11804.91966="",11431.20664=""),"-",(11431.20664-11804.91966)/2962405.08414*100)</f>
        <v>-0.012615189664667008</v>
      </c>
      <c r="G25" s="27">
        <f>IF(OR(2895177.69157="",11908.63779="",11431.20664=""),"-",(11908.63779-11431.20664)/2895177.69157*100)</f>
        <v>0.016490564685896655</v>
      </c>
    </row>
    <row r="26" spans="1:7" s="16" customFormat="1" ht="15.75">
      <c r="A26" s="45" t="s">
        <v>131</v>
      </c>
      <c r="B26" s="27">
        <f>IF(10973.44095="","-",10973.44095)</f>
        <v>10973.44095</v>
      </c>
      <c r="C26" s="27">
        <f>IF(OR(8338.19124="",10973.44095=""),"-",10973.44095/8338.19124*100)</f>
        <v>131.60457267228617</v>
      </c>
      <c r="D26" s="27">
        <f>IF(8338.19124="","-",8338.19124/2895177.69157*100)</f>
        <v>0.28800274554058053</v>
      </c>
      <c r="E26" s="27">
        <f>IF(10973.44095="","-",10973.44095/3438777.31382*100)</f>
        <v>0.3191087979410346</v>
      </c>
      <c r="F26" s="27">
        <f>IF(OR(2962405.08414="",11292.40897="",8338.19124=""),"-",(8338.19124-11292.40897)/2962405.08414*100)</f>
        <v>-0.09972362476071107</v>
      </c>
      <c r="G26" s="27">
        <f>IF(OR(2895177.69157="",10973.44095="",8338.19124=""),"-",(10973.44095-8338.19124)/2895177.69157*100)</f>
        <v>0.09102203701255221</v>
      </c>
    </row>
    <row r="27" spans="1:7" s="16" customFormat="1" ht="15.75">
      <c r="A27" s="45" t="s">
        <v>132</v>
      </c>
      <c r="B27" s="27">
        <f>IF(10119.31827="","-",10119.31827)</f>
        <v>10119.31827</v>
      </c>
      <c r="C27" s="27">
        <f>IF(OR(9311.04959="",10119.31827=""),"-",10119.31827/9311.04959*100)</f>
        <v>108.68074723678922</v>
      </c>
      <c r="D27" s="27">
        <f>IF(9311.04959="","-",9311.04959/2895177.69157*100)</f>
        <v>0.32160546197600726</v>
      </c>
      <c r="E27" s="27">
        <f>IF(10119.31827="","-",10119.31827/3438777.31382*100)</f>
        <v>0.29427082205444866</v>
      </c>
      <c r="F27" s="27">
        <f>IF(OR(2962405.08414="",10089.07259="",9311.04959=""),"-",(9311.04959-10089.07259)/2962405.08414*100)</f>
        <v>-0.026263221197038385</v>
      </c>
      <c r="G27" s="27">
        <f>IF(OR(2895177.69157="",10119.31827="",9311.04959=""),"-",(10119.31827-9311.04959)/2895177.69157*100)</f>
        <v>0.02791775725384546</v>
      </c>
    </row>
    <row r="28" spans="1:7" s="16" customFormat="1" ht="15.75">
      <c r="A28" s="45" t="s">
        <v>134</v>
      </c>
      <c r="B28" s="27">
        <f>IF(9317.26933="","-",9317.26933)</f>
        <v>9317.26933</v>
      </c>
      <c r="C28" s="27">
        <f>IF(OR(9604.40335="",9317.26933=""),"-",9317.26933/9604.40335*100)</f>
        <v>97.01039190529205</v>
      </c>
      <c r="D28" s="27">
        <f>IF(9604.40335="","-",9604.40335/2895177.69157*100)</f>
        <v>0.3317379578450577</v>
      </c>
      <c r="E28" s="27">
        <f>IF(9317.26933="","-",9317.26933/3438777.31382*100)</f>
        <v>0.27094715591367613</v>
      </c>
      <c r="F28" s="27">
        <f>IF(OR(2962405.08414="",5264.89821="",9604.40335=""),"-",(9604.40335-5264.89821)/2962405.08414*100)</f>
        <v>0.14648587943737543</v>
      </c>
      <c r="G28" s="27">
        <f>IF(OR(2895177.69157="",9317.26933="",9604.40335=""),"-",(9317.26933-9604.40335)/2895177.69157*100)</f>
        <v>-0.009917664840954684</v>
      </c>
    </row>
    <row r="29" spans="1:7" s="16" customFormat="1" ht="15.75">
      <c r="A29" s="45" t="s">
        <v>126</v>
      </c>
      <c r="B29" s="27">
        <f>IF(8022.71918="","-",8022.71918)</f>
        <v>8022.71918</v>
      </c>
      <c r="C29" s="27">
        <f>IF(OR(10337.73731="",8022.71918=""),"-",8022.71918/10337.73731*100)</f>
        <v>77.60614280882709</v>
      </c>
      <c r="D29" s="27">
        <f>IF(10337.73731="","-",10337.73731/2895177.69157*100)</f>
        <v>0.3570674553102833</v>
      </c>
      <c r="E29" s="27">
        <f>IF(8022.71918="","-",8022.71918/3438777.31382*100)</f>
        <v>0.23330150364077756</v>
      </c>
      <c r="F29" s="27">
        <f>IF(OR(2962405.08414="",7541.63422="",10337.73731=""),"-",(10337.73731-7541.63422)/2962405.08414*100)</f>
        <v>0.0943862507180284</v>
      </c>
      <c r="G29" s="27">
        <f>IF(OR(2895177.69157="",8022.71918="",10337.73731=""),"-",(8022.71918-10337.73731)/2895177.69157*100)</f>
        <v>-0.07996117601834</v>
      </c>
    </row>
    <row r="30" spans="1:7" s="16" customFormat="1" ht="15.75">
      <c r="A30" s="45" t="s">
        <v>128</v>
      </c>
      <c r="B30" s="27">
        <f>IF(5874.42142="","-",5874.42142)</f>
        <v>5874.42142</v>
      </c>
      <c r="C30" s="27">
        <f>IF(OR(6094.5248="",5874.42142=""),"-",5874.42142/6094.5248*100)</f>
        <v>96.3885062868232</v>
      </c>
      <c r="D30" s="27">
        <f>IF(6094.5248="","-",6094.5248/2895177.69157*100)</f>
        <v>0.21050607075847752</v>
      </c>
      <c r="E30" s="27">
        <f>IF(5874.42142="","-",5874.42142/3438777.31382*100)</f>
        <v>0.170828782555691</v>
      </c>
      <c r="F30" s="27">
        <f>IF(OR(2962405.08414="",5377.45076="",6094.5248=""),"-",(6094.5248-5377.45076)/2962405.08414*100)</f>
        <v>0.02420580641854287</v>
      </c>
      <c r="G30" s="27">
        <f>IF(OR(2895177.69157="",5874.42142="",6094.5248=""),"-",(5874.42142-6094.5248)/2895177.69157*100)</f>
        <v>-0.0076024135112979065</v>
      </c>
    </row>
    <row r="31" spans="1:7" s="16" customFormat="1" ht="15.75">
      <c r="A31" s="45" t="s">
        <v>136</v>
      </c>
      <c r="B31" s="27">
        <f>IF(5170.19454="","-",5170.19454)</f>
        <v>5170.19454</v>
      </c>
      <c r="C31" s="27">
        <f>IF(OR(3911.60855="",5170.19454=""),"-",5170.19454/3911.60855*100)</f>
        <v>132.17566312968614</v>
      </c>
      <c r="D31" s="27">
        <f>IF(3911.60855="","-",3911.60855/2895177.69157*100)</f>
        <v>0.13510771934273952</v>
      </c>
      <c r="E31" s="27">
        <f>IF(5170.19454="","-",5170.19454/3438777.31382*100)</f>
        <v>0.15034979203863127</v>
      </c>
      <c r="F31" s="27">
        <f>IF(OR(2962405.08414="",4784.58279="",3911.60855=""),"-",(3911.60855-4784.58279)/2962405.08414*100)</f>
        <v>-0.029468429036720648</v>
      </c>
      <c r="G31" s="27">
        <f>IF(OR(2895177.69157="",5170.19454="",3911.60855=""),"-",(5170.19454-3911.60855)/2895177.69157*100)</f>
        <v>0.04347180463792166</v>
      </c>
    </row>
    <row r="32" spans="1:7" s="16" customFormat="1" ht="15.75">
      <c r="A32" s="45" t="s">
        <v>129</v>
      </c>
      <c r="B32" s="27">
        <f>IF(3701.36246="","-",3701.36246)</f>
        <v>3701.36246</v>
      </c>
      <c r="C32" s="27">
        <f>IF(OR(3254.34513="",3701.36246=""),"-",3701.36246/3254.34513*100)</f>
        <v>113.73601483995029</v>
      </c>
      <c r="D32" s="27">
        <f>IF(3254.34513="","-",3254.34513/2895177.69157*100)</f>
        <v>0.1124057131096237</v>
      </c>
      <c r="E32" s="27">
        <f>IF(3701.36246="","-",3701.36246/3438777.31382*100)</f>
        <v>0.10763600321325562</v>
      </c>
      <c r="F32" s="27">
        <f>IF(OR(2962405.08414="",4549.28098="",3254.34513=""),"-",(3254.34513-4549.28098)/2962405.08414*100)</f>
        <v>-0.04371231527156004</v>
      </c>
      <c r="G32" s="27">
        <f>IF(OR(2895177.69157="",3701.36246="",3254.34513=""),"-",(3701.36246-3254.34513)/2895177.69157*100)</f>
        <v>0.015440065433689865</v>
      </c>
    </row>
    <row r="33" spans="1:7" s="16" customFormat="1" ht="15.75">
      <c r="A33" s="45" t="s">
        <v>137</v>
      </c>
      <c r="B33" s="27">
        <f>IF(1814.11825="","-",1814.11825)</f>
        <v>1814.11825</v>
      </c>
      <c r="C33" s="27">
        <f>IF(OR(1685.0608="",1814.11825=""),"-",1814.11825/1685.0608*100)</f>
        <v>107.65891948824635</v>
      </c>
      <c r="D33" s="27">
        <f>IF(1685.0608="","-",1685.0608/2895177.69157*100)</f>
        <v>0.05820232743939884</v>
      </c>
      <c r="E33" s="27">
        <f>IF(1814.11825="","-",1814.11825/3438777.31382*100)</f>
        <v>0.052754746366078846</v>
      </c>
      <c r="F33" s="27">
        <f>IF(OR(2962405.08414="",1702.81422="",1685.0608=""),"-",(1685.0608-1702.81422)/2962405.08414*100)</f>
        <v>-0.0005992907619233954</v>
      </c>
      <c r="G33" s="27">
        <f>IF(OR(2895177.69157="",1814.11825="",1685.0608=""),"-",(1814.11825-1685.0608)/2895177.69157*100)</f>
        <v>0.004457669398869077</v>
      </c>
    </row>
    <row r="34" spans="1:7" s="16" customFormat="1" ht="15.75">
      <c r="A34" s="45" t="s">
        <v>201</v>
      </c>
      <c r="B34" s="27">
        <f>IF(1471.12239="","-",1471.12239)</f>
        <v>1471.12239</v>
      </c>
      <c r="C34" s="27">
        <f>IF(OR(1256.97287="",1471.12239=""),"-",1471.12239/1256.97287*100)</f>
        <v>117.03692459169784</v>
      </c>
      <c r="D34" s="27">
        <f>IF(1256.97287="","-",1256.97287/2895177.69157*100)</f>
        <v>0.04341608715969235</v>
      </c>
      <c r="E34" s="27">
        <f>IF(1471.12239="","-",1471.12239/3438777.31382*100)</f>
        <v>0.04278039127708997</v>
      </c>
      <c r="F34" s="27">
        <f>IF(OR(2962405.08414="",1037.37861="",1256.97287=""),"-",(1256.97287-1037.37861)/2962405.08414*100)</f>
        <v>0.007412701968939178</v>
      </c>
      <c r="G34" s="27">
        <f>IF(OR(2895177.69157="",1471.12239="",1256.97287=""),"-",(1471.12239-1256.97287)/2895177.69157*100)</f>
        <v>0.007396766030062588</v>
      </c>
    </row>
    <row r="35" spans="1:7" s="16" customFormat="1" ht="15.75">
      <c r="A35" s="45" t="s">
        <v>130</v>
      </c>
      <c r="B35" s="27">
        <f>IF(685.37187="","-",685.37187)</f>
        <v>685.37187</v>
      </c>
      <c r="C35" s="27">
        <f>IF(OR(459.20292="",685.37187=""),"-",685.37187/459.20292*100)</f>
        <v>149.2525069309228</v>
      </c>
      <c r="D35" s="27">
        <f>IF(459.20292="","-",459.20292/2895177.69157*100)</f>
        <v>0.01586095807995063</v>
      </c>
      <c r="E35" s="27">
        <f>IF(685.37187="","-",685.37187/3438777.31382*100)</f>
        <v>0.0199306848758592</v>
      </c>
      <c r="F35" s="27">
        <f>IF(OR(2962405.08414="",591.59638="",459.20292=""),"-",(459.20292-591.59638)/2962405.08414*100)</f>
        <v>-0.004469120739388495</v>
      </c>
      <c r="G35" s="27">
        <f>IF(OR(2895177.69157="",685.37187="",459.20292=""),"-",(685.37187-459.20292)/2895177.69157*100)</f>
        <v>0.007811919477638447</v>
      </c>
    </row>
    <row r="36" spans="1:7" s="16" customFormat="1" ht="15.75">
      <c r="A36" s="45" t="s">
        <v>138</v>
      </c>
      <c r="B36" s="27">
        <f>IF(235.10551="","-",235.10551)</f>
        <v>235.10551</v>
      </c>
      <c r="C36" s="27">
        <f>IF(OR(267.20226="",235.10551=""),"-",235.10551/267.20226*100)</f>
        <v>87.9878448632882</v>
      </c>
      <c r="D36" s="27">
        <f>IF(267.20226="","-",267.20226/2895177.69157*100)</f>
        <v>0.00922921797781266</v>
      </c>
      <c r="E36" s="27">
        <f>IF(235.10551="","-",235.10551/3438777.31382*100)</f>
        <v>0.00683689255059179</v>
      </c>
      <c r="F36" s="27">
        <f>IF(OR(2962405.08414="",146.01925="",267.20226=""),"-",(267.20226-146.01925)/2962405.08414*100)</f>
        <v>0.004090696800676739</v>
      </c>
      <c r="G36" s="27">
        <f>IF(OR(2895177.69157="",235.10551="",267.20226=""),"-",(235.10551-267.20226)/2895177.69157*100)</f>
        <v>-0.0011086279814001522</v>
      </c>
    </row>
    <row r="37" spans="1:7" s="16" customFormat="1" ht="15.75">
      <c r="A37" s="15" t="s">
        <v>14</v>
      </c>
      <c r="B37" s="26">
        <f>IF(850565.92512="","-",850565.92512)</f>
        <v>850565.92512</v>
      </c>
      <c r="C37" s="26">
        <f>IF(729177.39568="","-",850565.92512/729177.39568*100)</f>
        <v>116.64732480177862</v>
      </c>
      <c r="D37" s="26">
        <f>IF(729177.39568="","-",729177.39568/2895177.69157*100)</f>
        <v>25.185928925992133</v>
      </c>
      <c r="E37" s="26">
        <f>IF(850565.92512="","-",850565.92512/3438777.31382*100)</f>
        <v>24.73454508675761</v>
      </c>
      <c r="F37" s="26">
        <f>IF(2962405.08414="","-",(729177.39568-742756.53273)/2962405.08414*100)</f>
        <v>-0.45838218151526383</v>
      </c>
      <c r="G37" s="26">
        <f>IF(2895177.69157="","-",(850565.92512-729177.39568)/2895177.69157*100)</f>
        <v>4.192783392655025</v>
      </c>
    </row>
    <row r="38" spans="1:7" s="16" customFormat="1" ht="15.75">
      <c r="A38" s="45" t="s">
        <v>210</v>
      </c>
      <c r="B38" s="27">
        <f>IF(385450.41016="","-",385450.41016)</f>
        <v>385450.41016</v>
      </c>
      <c r="C38" s="27">
        <f>IF(OR(371392.91648="",385450.41016=""),"-",385450.41016/371392.91648*100)</f>
        <v>103.78507318158748</v>
      </c>
      <c r="D38" s="27">
        <f>IF(371392.91648="","-",371392.91648/2895177.69157*100)</f>
        <v>12.827983496881695</v>
      </c>
      <c r="E38" s="27">
        <f>IF(385450.41016="","-",385450.41016/3438777.31382*100)</f>
        <v>11.208937799226627</v>
      </c>
      <c r="F38" s="27">
        <f>IF(OR(2962405.08414="",385061.02523="",371392.91648=""),"-",(371392.91648-385061.02523)/2962405.08414*100)</f>
        <v>-0.46138554187527425</v>
      </c>
      <c r="G38" s="27">
        <f>IF(OR(2895177.69157="",385450.41016="",371392.91648=""),"-",(385450.41016-371392.91648)/2895177.69157*100)</f>
        <v>0.485548563078935</v>
      </c>
    </row>
    <row r="39" spans="1:7" s="16" customFormat="1" ht="15.75">
      <c r="A39" s="45" t="s">
        <v>16</v>
      </c>
      <c r="B39" s="27">
        <f>IF(375091.50744="","-",375091.50744)</f>
        <v>375091.50744</v>
      </c>
      <c r="C39" s="27">
        <f>IF(OR(279290.36423="",375091.50744=""),"-",375091.50744/279290.36423*100)</f>
        <v>134.301628512721</v>
      </c>
      <c r="D39" s="27">
        <f>IF(279290.36423="","-",279290.36423/2895177.69157*100)</f>
        <v>9.646743446636124</v>
      </c>
      <c r="E39" s="27">
        <f>IF(375091.50744="","-",375091.50744/3438777.31382*100)</f>
        <v>10.907699836583076</v>
      </c>
      <c r="F39" s="27">
        <f>IF(OR(2962405.08414="",276261.39337="",279290.36423=""),"-",(279290.36423-276261.39337)/2962405.08414*100)</f>
        <v>0.1022470180130455</v>
      </c>
      <c r="G39" s="27">
        <f>IF(OR(2895177.69157="",375091.50744="",279290.36423=""),"-",(375091.50744-279290.36423)/2895177.69157*100)</f>
        <v>3.3089901006403815</v>
      </c>
    </row>
    <row r="40" spans="1:7" s="16" customFormat="1" ht="15.75">
      <c r="A40" s="45" t="s">
        <v>15</v>
      </c>
      <c r="B40" s="27">
        <f>IF(84160.14197="","-",84160.14197)</f>
        <v>84160.14197</v>
      </c>
      <c r="C40" s="27">
        <f>IF(OR(72855.01436="",84160.14197=""),"-",84160.14197/72855.01436*100)</f>
        <v>115.51729515025244</v>
      </c>
      <c r="D40" s="27">
        <f>IF(72855.01436="","-",72855.01436/2895177.69157*100)</f>
        <v>2.516426351727383</v>
      </c>
      <c r="E40" s="27">
        <f>IF(84160.14197="","-",84160.14197/3438777.31382*100)</f>
        <v>2.4473856341837346</v>
      </c>
      <c r="F40" s="27">
        <f>IF(OR(2962405.08414="",58980.90443="",72855.01436=""),"-",(72855.01436-58980.90443)/2962405.08414*100)</f>
        <v>0.46833939099951677</v>
      </c>
      <c r="G40" s="27">
        <f>IF(OR(2895177.69157="",84160.14197="",72855.01436=""),"-",(84160.14197-72855.01436)/2895177.69157*100)</f>
        <v>0.3904813042362675</v>
      </c>
    </row>
    <row r="41" spans="1:7" s="16" customFormat="1" ht="15.75">
      <c r="A41" s="45" t="s">
        <v>19</v>
      </c>
      <c r="B41" s="27">
        <f>IF(3855.10651="","-",3855.10651)</f>
        <v>3855.10651</v>
      </c>
      <c r="C41" s="27" t="s">
        <v>213</v>
      </c>
      <c r="D41" s="27">
        <f>IF(2153.61478="","-",2153.61478/2895177.69157*100)</f>
        <v>0.0743862729486609</v>
      </c>
      <c r="E41" s="27">
        <f>IF(3855.10651="","-",3855.10651/3438777.31382*100)</f>
        <v>0.11210689609085261</v>
      </c>
      <c r="F41" s="27">
        <f>IF(OR(2962405.08414="",10246.81021="",2153.61478=""),"-",(2153.61478-10246.81021)/2962405.08414*100)</f>
        <v>-0.27319678437392003</v>
      </c>
      <c r="G41" s="27">
        <f>IF(OR(2895177.69157="",3855.10651="",2153.61478=""),"-",(3855.10651-2153.61478)/2895177.69157*100)</f>
        <v>0.05876985495412939</v>
      </c>
    </row>
    <row r="42" spans="1:7" s="16" customFormat="1" ht="15.75">
      <c r="A42" s="45" t="s">
        <v>17</v>
      </c>
      <c r="B42" s="27">
        <f>IF(1353.49878="","-",1353.49878)</f>
        <v>1353.49878</v>
      </c>
      <c r="C42" s="27">
        <f>IF(OR(2592.96253="",1353.49878=""),"-",1353.49878/2592.96253*100)</f>
        <v>52.198933241044564</v>
      </c>
      <c r="D42" s="27">
        <f>IF(2592.96253="","-",2592.96253/2895177.69157*100)</f>
        <v>0.08956142959895098</v>
      </c>
      <c r="E42" s="27">
        <f>IF(1353.49878="","-",1353.49878/3438777.31382*100)</f>
        <v>0.03935988453106469</v>
      </c>
      <c r="F42" s="27">
        <f>IF(OR(2962405.08414="",9073.10012="",2592.96253=""),"-",(2592.96253-9073.10012)/2962405.08414*100)</f>
        <v>-0.2187458300248365</v>
      </c>
      <c r="G42" s="27">
        <f>IF(OR(2895177.69157="",1353.49878="",2592.96253=""),"-",(1353.49878-2592.96253)/2895177.69157*100)</f>
        <v>-0.04281131875286944</v>
      </c>
    </row>
    <row r="43" spans="1:7" s="16" customFormat="1" ht="15.75">
      <c r="A43" s="45" t="s">
        <v>22</v>
      </c>
      <c r="B43" s="27">
        <f>IF(463.2007="","-",463.2007)</f>
        <v>463.2007</v>
      </c>
      <c r="C43" s="27" t="s">
        <v>241</v>
      </c>
      <c r="D43" s="27">
        <f>IF(205.85222="","-",205.85222/2895177.69157*100)</f>
        <v>0.0071101756758967785</v>
      </c>
      <c r="E43" s="27">
        <f>IF(463.2007="","-",463.2007/3438777.31382*100)</f>
        <v>0.01346992427042183</v>
      </c>
      <c r="F43" s="27">
        <f>IF(OR(2962405.08414="",233.02456="",205.85222=""),"-",(205.85222-233.02456)/2962405.08414*100)</f>
        <v>-0.0009172391765553655</v>
      </c>
      <c r="G43" s="27">
        <f>IF(OR(2895177.69157="",463.2007="",205.85222=""),"-",(463.2007-205.85222)/2895177.69157*100)</f>
        <v>0.008888866502022707</v>
      </c>
    </row>
    <row r="44" spans="1:7" s="16" customFormat="1" ht="15.75">
      <c r="A44" s="45" t="s">
        <v>18</v>
      </c>
      <c r="B44" s="27">
        <f>IF(139.72369="","-",139.72369)</f>
        <v>139.72369</v>
      </c>
      <c r="C44" s="27">
        <f>IF(OR(590.97024="",139.72369=""),"-",139.72369/590.97024*100)</f>
        <v>23.64310087763472</v>
      </c>
      <c r="D44" s="27">
        <f>IF(590.97024="","-",590.97024/2895177.69157*100)</f>
        <v>0.020412226915147585</v>
      </c>
      <c r="E44" s="27">
        <f>IF(139.72369="","-",139.72369/3438777.31382*100)</f>
        <v>0.004063179358502472</v>
      </c>
      <c r="F44" s="27">
        <f>IF(OR(2962405.08414="",3.09187="",590.97024=""),"-",(590.97024-3.09187)/2962405.08414*100)</f>
        <v>0.01984463141612059</v>
      </c>
      <c r="G44" s="27">
        <f>IF(OR(2895177.69157="",139.72369="",590.97024=""),"-",(139.72369-590.97024)/2895177.69157*100)</f>
        <v>-0.015586143514227532</v>
      </c>
    </row>
    <row r="45" spans="1:7" s="16" customFormat="1" ht="15.75">
      <c r="A45" s="45" t="s">
        <v>20</v>
      </c>
      <c r="B45" s="27">
        <f>IF(45.27001="","-",45.27001)</f>
        <v>45.27001</v>
      </c>
      <c r="C45" s="27">
        <f>IF(OR(90.57511="",45.27001=""),"-",45.27001/90.57511*100)</f>
        <v>49.98062933624922</v>
      </c>
      <c r="D45" s="27">
        <f>IF(90.57511="","-",90.57511/2895177.69157*100)</f>
        <v>0.0031284818981484634</v>
      </c>
      <c r="E45" s="27">
        <f>IF(45.27001="","-",45.27001/3438777.31382*100)</f>
        <v>0.0013164565736218424</v>
      </c>
      <c r="F45" s="27">
        <f>IF(OR(2962405.08414="",129.49797="",90.57511=""),"-",(90.57511-129.49797)/2962405.08414*100)</f>
        <v>-0.0013138939103360169</v>
      </c>
      <c r="G45" s="27">
        <f>IF(OR(2895177.69157="",45.27001="",90.57511=""),"-",(45.27001-90.57511)/2895177.69157*100)</f>
        <v>-0.001564846956783226</v>
      </c>
    </row>
    <row r="46" spans="1:7" s="16" customFormat="1" ht="15.75">
      <c r="A46" s="45" t="s">
        <v>21</v>
      </c>
      <c r="B46" s="27">
        <f>IF(4.47522="","-",4.47522)</f>
        <v>4.47522</v>
      </c>
      <c r="C46" s="27">
        <f>IF(OR(4.91504="",4.47522=""),"-",4.47522/4.91504*100)</f>
        <v>91.05154790194993</v>
      </c>
      <c r="D46" s="27">
        <f>IF(4.91504="","-",4.91504/2895177.69157*100)</f>
        <v>0.00016976643659252113</v>
      </c>
      <c r="E46" s="27">
        <f>IF(4.47522="","-",4.47522/3438777.31382*100)</f>
        <v>0.00013013986052585235</v>
      </c>
      <c r="F46" s="27">
        <f>IF(OR(2962405.08414="",2674.09148="",4.91504=""),"-",(4.91504-2674.09148)/2962405.08414*100)</f>
        <v>-0.09010166956200977</v>
      </c>
      <c r="G46" s="27">
        <f>IF(OR(2895177.69157="",4.47522="",4.91504=""),"-",(4.47522-4.91504)/2895177.69157*100)</f>
        <v>-1.5191468257048295E-05</v>
      </c>
    </row>
    <row r="47" spans="1:7" s="16" customFormat="1" ht="15.75">
      <c r="A47" s="45" t="s">
        <v>23</v>
      </c>
      <c r="B47" s="27">
        <f>IF(2.59064="","-",2.59064)</f>
        <v>2.59064</v>
      </c>
      <c r="C47" s="27" t="s">
        <v>266</v>
      </c>
      <c r="D47" s="27">
        <f>IF(0.21069="","-",0.21069/2895177.69157*100)</f>
        <v>7.277273537077678E-06</v>
      </c>
      <c r="E47" s="27">
        <f>IF(2.59064="","-",2.59064/3438777.31382*100)</f>
        <v>7.53360791810669E-05</v>
      </c>
      <c r="F47" s="27">
        <f>IF(OR(2962405.08414="",93.59349="",0.21069=""),"-",(0.21069-93.59349)/2962405.08414*100)</f>
        <v>-0.0031522630210145436</v>
      </c>
      <c r="G47" s="27">
        <f>IF(OR(2895177.69157="",2.59064="",0.21069=""),"-",(2.59064-0.21069)/2895177.69157*100)</f>
        <v>8.220393542440562E-05</v>
      </c>
    </row>
    <row r="48" spans="1:7" s="16" customFormat="1" ht="15.75">
      <c r="A48" s="15" t="s">
        <v>24</v>
      </c>
      <c r="B48" s="26">
        <f>IF(874492.15795="","-",874492.15795)</f>
        <v>874492.15795</v>
      </c>
      <c r="C48" s="26">
        <f>IF(730828.33887="","-",874492.15795/730828.33887*100)</f>
        <v>119.65766944699104</v>
      </c>
      <c r="D48" s="26">
        <f>IF(730828.33887="","-",730828.33887/2895177.69157*100)</f>
        <v>25.242952824553083</v>
      </c>
      <c r="E48" s="26">
        <f>IF(874492.15795="","-",874492.15795/3438777.31382*100)</f>
        <v>25.43032241243216</v>
      </c>
      <c r="F48" s="26">
        <f>IF(2962405.08414="","-",(730828.33887-758079.05296)/2962405.08414*100)</f>
        <v>-0.9198848002217439</v>
      </c>
      <c r="G48" s="26">
        <f>IF(2895177.69157="","-",(874492.15795-730828.33887)/2895177.69157*100)</f>
        <v>4.96217622491053</v>
      </c>
    </row>
    <row r="49" spans="1:7" s="16" customFormat="1" ht="15.75">
      <c r="A49" s="45" t="s">
        <v>142</v>
      </c>
      <c r="B49" s="27">
        <f>IF(353218.24608="","-",353218.24608)</f>
        <v>353218.24608</v>
      </c>
      <c r="C49" s="27">
        <f>IF(OR(279700.78221="",353218.24608=""),"-",353218.24608/279700.78221*100)</f>
        <v>126.28432544561244</v>
      </c>
      <c r="D49" s="27">
        <f>IF(279700.78221="","-",279700.78221/2895177.69157*100)</f>
        <v>9.660919363409558</v>
      </c>
      <c r="E49" s="27">
        <f>IF(353218.24608="","-",353218.24608/3438777.31382*100)</f>
        <v>10.271623133619665</v>
      </c>
      <c r="F49" s="27">
        <f>IF(OR(2962405.08414="",268837.59582="",279700.78221=""),"-",(279700.78221-268837.59582)/2962405.08414*100)</f>
        <v>0.3667015847413596</v>
      </c>
      <c r="G49" s="27">
        <f>IF(OR(2895177.69157="",353218.24608="",279700.78221=""),"-",(353218.24608-279700.78221)/2895177.69157*100)</f>
        <v>2.539307486516757</v>
      </c>
    </row>
    <row r="50" spans="1:7" s="16" customFormat="1" ht="15.75">
      <c r="A50" s="45" t="s">
        <v>139</v>
      </c>
      <c r="B50" s="27">
        <f>IF(215774.66477="","-",215774.66477)</f>
        <v>215774.66477</v>
      </c>
      <c r="C50" s="27">
        <f>IF(OR(197207.15957="",215774.66477=""),"-",215774.66477/197207.15957*100)</f>
        <v>109.41522875766047</v>
      </c>
      <c r="D50" s="27">
        <f>IF(197207.15957="","-",197207.15957/2895177.69157*100)</f>
        <v>6.811573608908899</v>
      </c>
      <c r="E50" s="27">
        <f>IF(215774.66477="","-",215774.66477/3438777.31382*100)</f>
        <v>6.27474957168147</v>
      </c>
      <c r="F50" s="27">
        <f>IF(OR(2962405.08414="",217296.59901="",197207.15957=""),"-",(197207.15957-217296.59901)/2962405.08414*100)</f>
        <v>-0.6781462652610885</v>
      </c>
      <c r="G50" s="27">
        <f>IF(OR(2895177.69157="",215774.66477="",197207.15957=""),"-",(215774.66477-197207.15957)/2895177.69157*100)</f>
        <v>0.6413252372752019</v>
      </c>
    </row>
    <row r="51" spans="1:7" s="16" customFormat="1" ht="15.75">
      <c r="A51" s="45" t="s">
        <v>25</v>
      </c>
      <c r="B51" s="27">
        <f>IF(55302.33507="","-",55302.33507)</f>
        <v>55302.33507</v>
      </c>
      <c r="C51" s="27">
        <f>IF(OR(40667.74525="",55302.33507=""),"-",55302.33507/40667.74525*100)</f>
        <v>135.98574184537563</v>
      </c>
      <c r="D51" s="27">
        <f>IF(40667.74525="","-",40667.74525/2895177.69157*100)</f>
        <v>1.4046718226799633</v>
      </c>
      <c r="E51" s="27">
        <f>IF(55302.33507="","-",55302.33507/3438777.31382*100)</f>
        <v>1.6081976244215375</v>
      </c>
      <c r="F51" s="27">
        <f>IF(OR(2962405.08414="",36881.58644="",40667.74525=""),"-",(40667.74525-36881.58644)/2962405.08414*100)</f>
        <v>0.12780692384948225</v>
      </c>
      <c r="G51" s="27">
        <f>IF(OR(2895177.69157="",55302.33507="",40667.74525=""),"-",(55302.33507-40667.74525)/2895177.69157*100)</f>
        <v>0.5054815758843437</v>
      </c>
    </row>
    <row r="52" spans="1:7" s="16" customFormat="1" ht="15.75">
      <c r="A52" s="45" t="s">
        <v>157</v>
      </c>
      <c r="B52" s="27">
        <f>IF(26375.37692="","-",26375.37692)</f>
        <v>26375.37692</v>
      </c>
      <c r="C52" s="27" t="s">
        <v>213</v>
      </c>
      <c r="D52" s="27">
        <f>IF(14699.19926="","-",14699.19926/2895177.69157*100)</f>
        <v>0.5077131984955612</v>
      </c>
      <c r="E52" s="27">
        <f>IF(26375.37692="","-",26375.37692/3438777.31382*100)</f>
        <v>0.7669986891561946</v>
      </c>
      <c r="F52" s="27">
        <f>IF(OR(2962405.08414="",8223.90111="",14699.19926=""),"-",(14699.19926-8223.90111)/2962405.08414*100)</f>
        <v>0.21858246816639557</v>
      </c>
      <c r="G52" s="27">
        <f>IF(OR(2895177.69157="",26375.37692="",14699.19926=""),"-",(26375.37692-14699.19926)/2895177.69157*100)</f>
        <v>0.40329744505831105</v>
      </c>
    </row>
    <row r="53" spans="1:7" s="16" customFormat="1" ht="15.75">
      <c r="A53" s="45" t="s">
        <v>161</v>
      </c>
      <c r="B53" s="27">
        <f>IF(24695.60404="","-",24695.60404)</f>
        <v>24695.60404</v>
      </c>
      <c r="C53" s="27">
        <f>IF(OR(20770.81454="",24695.60404=""),"-",24695.60404/20770.81454*100)</f>
        <v>118.89569372660722</v>
      </c>
      <c r="D53" s="27">
        <f>IF(20770.81454="","-",20770.81454/2895177.69157*100)</f>
        <v>0.7174279699819178</v>
      </c>
      <c r="E53" s="27">
        <f>IF(24695.60404="","-",24695.60404/3438777.31382*100)</f>
        <v>0.7181507200466739</v>
      </c>
      <c r="F53" s="27">
        <f>IF(OR(2962405.08414="",36520.99233="",20770.81454=""),"-",(20770.81454-36520.99233)/2962405.08414*100)</f>
        <v>-0.5316686051587827</v>
      </c>
      <c r="G53" s="27">
        <f>IF(OR(2895177.69157="",24695.60404="",20770.81454=""),"-",(24695.60404-20770.81454)/2895177.69157*100)</f>
        <v>0.13556299191679874</v>
      </c>
    </row>
    <row r="54" spans="1:7" s="16" customFormat="1" ht="15.75">
      <c r="A54" s="45" t="s">
        <v>206</v>
      </c>
      <c r="B54" s="27">
        <f>IF(22220.51489="","-",22220.51489)</f>
        <v>22220.51489</v>
      </c>
      <c r="C54" s="27">
        <f>IF(OR(20402.12071="",22220.51489=""),"-",22220.51489/20402.12071*100)</f>
        <v>108.91277042150193</v>
      </c>
      <c r="D54" s="27">
        <f>IF(20402.12071="","-",20402.12071/2895177.69157*100)</f>
        <v>0.7046932134564879</v>
      </c>
      <c r="E54" s="27">
        <f>IF(22220.51489="","-",22220.51489/3438777.31382*100)</f>
        <v>0.6461748715364217</v>
      </c>
      <c r="F54" s="27">
        <f>IF(OR(2962405.08414="",23989.40922="",20402.12071=""),"-",(20402.12071-23989.40922)/2962405.08414*100)</f>
        <v>-0.12109378724758059</v>
      </c>
      <c r="G54" s="27">
        <f>IF(OR(2895177.69157="",22220.51489="",20402.12071=""),"-",(22220.51489-20402.12071)/2895177.69157*100)</f>
        <v>0.06280768829128132</v>
      </c>
    </row>
    <row r="55" spans="1:7" s="16" customFormat="1" ht="15.75">
      <c r="A55" s="45" t="s">
        <v>114</v>
      </c>
      <c r="B55" s="27">
        <f>IF(19904.49424="","-",19904.49424)</f>
        <v>19904.49424</v>
      </c>
      <c r="C55" s="27">
        <f>IF(OR(17097.1947="",19904.49424=""),"-",19904.49424/17097.1947*100)</f>
        <v>116.41965006107114</v>
      </c>
      <c r="D55" s="27">
        <f>IF(17097.1947="","-",17097.1947/2895177.69157*100)</f>
        <v>0.5905404269237967</v>
      </c>
      <c r="E55" s="27">
        <f>IF(19904.49424="","-",19904.49424/3438777.31382*100)</f>
        <v>0.5788247514605386</v>
      </c>
      <c r="F55" s="27">
        <f>IF(OR(2962405.08414="",19008.33343="",17097.1947=""),"-",(17097.1947-19008.33343)/2962405.08414*100)</f>
        <v>-0.06451307892468093</v>
      </c>
      <c r="G55" s="27">
        <f>IF(OR(2895177.69157="",19904.49424="",17097.1947=""),"-",(19904.49424-17097.1947)/2895177.69157*100)</f>
        <v>0.0969646715700429</v>
      </c>
    </row>
    <row r="56" spans="1:7" s="16" customFormat="1" ht="15.75">
      <c r="A56" s="45" t="s">
        <v>154</v>
      </c>
      <c r="B56" s="27">
        <f>IF(19763.94353="","-",19763.94353)</f>
        <v>19763.94353</v>
      </c>
      <c r="C56" s="27">
        <f>IF(OR(17108.44201="",19763.94353=""),"-",19763.94353/17108.44201*100)</f>
        <v>115.52158588402055</v>
      </c>
      <c r="D56" s="27">
        <f>IF(17108.44201="","-",17108.44201/2895177.69157*100)</f>
        <v>0.5909289111965496</v>
      </c>
      <c r="E56" s="27">
        <f>IF(19763.94353="","-",19763.94353/3438777.31382*100)</f>
        <v>0.5747375222748876</v>
      </c>
      <c r="F56" s="27">
        <f>IF(OR(2962405.08414="",20025.76702="",17108.44201=""),"-",(17108.44201-20025.76702)/2962405.08414*100)</f>
        <v>-0.09847826097850874</v>
      </c>
      <c r="G56" s="27">
        <f>IF(OR(2895177.69157="",19763.94353="",17108.44201=""),"-",(19763.94353-17108.44201)/2895177.69157*100)</f>
        <v>0.09172153846487997</v>
      </c>
    </row>
    <row r="57" spans="1:7" s="16" customFormat="1" ht="15.75">
      <c r="A57" s="45" t="s">
        <v>155</v>
      </c>
      <c r="B57" s="27">
        <f>IF(13425.00762="","-",13425.00762)</f>
        <v>13425.00762</v>
      </c>
      <c r="C57" s="27">
        <f>IF(OR(10716.92799="",13425.00762=""),"-",13425.00762/10716.92799*100)</f>
        <v>125.26917818732119</v>
      </c>
      <c r="D57" s="27">
        <f>IF(10716.92799="","-",10716.92799/2895177.69157*100)</f>
        <v>0.3701647750742516</v>
      </c>
      <c r="E57" s="27">
        <f>IF(13425.00762="","-",13425.00762/3438777.31382*100)</f>
        <v>0.39040061029967355</v>
      </c>
      <c r="F57" s="27">
        <f>IF(OR(2962405.08414="",8420.48625="",10716.92799=""),"-",(10716.92799-8420.48625)/2962405.08414*100)</f>
        <v>0.07751950441533448</v>
      </c>
      <c r="G57" s="27">
        <f>IF(OR(2895177.69157="",13425.00762="",10716.92799=""),"-",(13425.00762-10716.92799)/2895177.69157*100)</f>
        <v>0.09353759660020937</v>
      </c>
    </row>
    <row r="58" spans="1:7" s="16" customFormat="1" ht="15.75">
      <c r="A58" s="45" t="s">
        <v>151</v>
      </c>
      <c r="B58" s="27">
        <f>IF(12284.12874="","-",12284.12874)</f>
        <v>12284.12874</v>
      </c>
      <c r="C58" s="27">
        <f>IF(OR(13223.85946="",12284.12874=""),"-",12284.12874/13223.85946*100)</f>
        <v>92.89367281282344</v>
      </c>
      <c r="D58" s="27">
        <f>IF(13223.85946="","-",13223.85946/2895177.69157*100)</f>
        <v>0.4567546751449633</v>
      </c>
      <c r="E58" s="27">
        <f>IF(12284.12874="","-",12284.12874/3438777.31382*100)</f>
        <v>0.35722373445444344</v>
      </c>
      <c r="F58" s="27">
        <f>IF(OR(2962405.08414="",11412.17876="",13223.85946=""),"-",(13223.85946-11412.17876)/2962405.08414*100)</f>
        <v>0.06115573827830971</v>
      </c>
      <c r="G58" s="27">
        <f>IF(OR(2895177.69157="",12284.12874="",13223.85946=""),"-",(12284.12874-13223.85946)/2895177.69157*100)</f>
        <v>-0.03245848165852651</v>
      </c>
    </row>
    <row r="59" spans="1:7" s="16" customFormat="1" ht="15.75">
      <c r="A59" s="45" t="s">
        <v>166</v>
      </c>
      <c r="B59" s="27">
        <f>IF(8816.79595="","-",8816.79595)</f>
        <v>8816.79595</v>
      </c>
      <c r="C59" s="27">
        <f>IF(OR(6986.01214="",8816.79595=""),"-",8816.79595/6986.01214*100)</f>
        <v>126.20642182279403</v>
      </c>
      <c r="D59" s="27">
        <f>IF(6986.01214="","-",6986.01214/2895177.69157*100)</f>
        <v>0.24129821669811288</v>
      </c>
      <c r="E59" s="27">
        <f>IF(8816.79595="","-",8816.79595/3438777.31382*100)</f>
        <v>0.2563933382532925</v>
      </c>
      <c r="F59" s="27">
        <f>IF(OR(2962405.08414="",5620.59436="",6986.01214=""),"-",(6986.01214-5620.59436)/2962405.08414*100)</f>
        <v>0.046091528377064844</v>
      </c>
      <c r="G59" s="27">
        <f>IF(OR(2895177.69157="",8816.79595="",6986.01214=""),"-",(8816.79595-6986.01214)/2895177.69157*100)</f>
        <v>0.06323562851878707</v>
      </c>
    </row>
    <row r="60" spans="1:7" s="16" customFormat="1" ht="15.75">
      <c r="A60" s="45" t="s">
        <v>147</v>
      </c>
      <c r="B60" s="27">
        <f>IF(6846.94399="","-",6846.94399)</f>
        <v>6846.94399</v>
      </c>
      <c r="C60" s="27" t="s">
        <v>193</v>
      </c>
      <c r="D60" s="27">
        <f>IF(3172.95550999999="","-",3172.95550999999/2895177.69157*100)</f>
        <v>0.10959449982081607</v>
      </c>
      <c r="E60" s="27">
        <f>IF(6846.94399="","-",6846.94399/3438777.31382*100)</f>
        <v>0.19910983949100225</v>
      </c>
      <c r="F60" s="27">
        <f>IF(OR(2962405.08414="",4183.70361="",3172.95550999999=""),"-",(3172.95550999999-4183.70361)/2962405.08414*100)</f>
        <v>-0.034119172472775926</v>
      </c>
      <c r="G60" s="27">
        <f>IF(OR(2895177.69157="",6846.94399="",3172.95550999999=""),"-",(6846.94399-3172.95550999999)/2895177.69157*100)</f>
        <v>0.1269002759553482</v>
      </c>
    </row>
    <row r="61" spans="1:7" s="16" customFormat="1" ht="15.75">
      <c r="A61" s="45" t="s">
        <v>145</v>
      </c>
      <c r="B61" s="27">
        <f>IF(6745.21408="","-",6745.21408)</f>
        <v>6745.21408</v>
      </c>
      <c r="C61" s="27">
        <f>IF(OR(9282.89858="",6745.21408=""),"-",6745.21408/9282.89858*100)</f>
        <v>72.66280054521505</v>
      </c>
      <c r="D61" s="27">
        <f>IF(9282.89858="","-",9282.89858/2895177.69157*100)</f>
        <v>0.3206331206208645</v>
      </c>
      <c r="E61" s="27">
        <f>IF(6745.21408="","-",6745.21408/3438777.31382*100)</f>
        <v>0.19615152318505358</v>
      </c>
      <c r="F61" s="27">
        <f>IF(OR(2962405.08414="",20329.38795="",9282.89858=""),"-",(9282.89858-20329.38795)/2962405.08414*100)</f>
        <v>-0.3728892253507204</v>
      </c>
      <c r="G61" s="27">
        <f>IF(OR(2895177.69157="",6745.21408="",9282.89858=""),"-",(6745.21408-9282.89858)/2895177.69157*100)</f>
        <v>-0.08765211570222695</v>
      </c>
    </row>
    <row r="62" spans="1:7" s="16" customFormat="1" ht="15.75">
      <c r="A62" s="45" t="s">
        <v>156</v>
      </c>
      <c r="B62" s="27">
        <f>IF(6520.40826="","-",6520.40826)</f>
        <v>6520.40826</v>
      </c>
      <c r="C62" s="27">
        <f>IF(OR(4223.06679="",6520.40826=""),"-",6520.40826/4223.06679*100)</f>
        <v>154.39983746977396</v>
      </c>
      <c r="D62" s="27">
        <f>IF(4223.06679="","-",4223.06679/2895177.69157*100)</f>
        <v>0.14586554746869135</v>
      </c>
      <c r="E62" s="27">
        <f>IF(6520.40826="","-",6520.40826/3438777.31382*100)</f>
        <v>0.18961414668508267</v>
      </c>
      <c r="F62" s="27">
        <f>IF(OR(2962405.08414="",4260.03559="",4223.06679=""),"-",(4223.06679-4260.03559)/2962405.08414*100)</f>
        <v>-0.0012479319657504831</v>
      </c>
      <c r="G62" s="27">
        <f>IF(OR(2895177.69157="",6520.40826="",4223.06679=""),"-",(6520.40826-4223.06679)/2895177.69157*100)</f>
        <v>0.07935062074736406</v>
      </c>
    </row>
    <row r="63" spans="1:7" s="16" customFormat="1" ht="15.75">
      <c r="A63" s="45" t="s">
        <v>144</v>
      </c>
      <c r="B63" s="27">
        <f>IF(6429.62398="","-",6429.62398)</f>
        <v>6429.62398</v>
      </c>
      <c r="C63" s="27">
        <f>IF(OR(4757.62757="",6429.62398=""),"-",6429.62398/4757.62757*100)</f>
        <v>135.14349085546436</v>
      </c>
      <c r="D63" s="27">
        <f>IF(4757.62757="","-",4757.62757/2895177.69157*100)</f>
        <v>0.164329380675078</v>
      </c>
      <c r="E63" s="27">
        <f>IF(6429.62398="","-",6429.62398/3438777.31382*100)</f>
        <v>0.18697413043177225</v>
      </c>
      <c r="F63" s="27">
        <f>IF(OR(2962405.08414="",5668.87554="",4757.62757=""),"-",(4757.62757-5668.87554)/2962405.08414*100)</f>
        <v>-0.03076041068382584</v>
      </c>
      <c r="G63" s="27">
        <f>IF(OR(2895177.69157="",6429.62398="",4757.62757=""),"-",(6429.62398-4757.62757)/2895177.69157*100)</f>
        <v>0.057751080870387224</v>
      </c>
    </row>
    <row r="64" spans="1:7" s="16" customFormat="1" ht="15.75">
      <c r="A64" s="45" t="s">
        <v>149</v>
      </c>
      <c r="B64" s="27">
        <f>IF(6205.87069="","-",6205.87069)</f>
        <v>6205.87069</v>
      </c>
      <c r="C64" s="27">
        <f>IF(OR(4480.1944="",6205.87069=""),"-",6205.87069/4480.1944*100)</f>
        <v>138.5178886434035</v>
      </c>
      <c r="D64" s="27">
        <f>IF(4480.1944="","-",4480.1944/2895177.69157*100)</f>
        <v>0.154746785077999</v>
      </c>
      <c r="E64" s="27">
        <f>IF(6205.87069="","-",6205.87069/3438777.31382*100)</f>
        <v>0.18046736161307717</v>
      </c>
      <c r="F64" s="27">
        <f>IF(OR(2962405.08414="",1175.10737="",4480.1944=""),"-",(4480.1944-1175.10737)/2962405.08414*100)</f>
        <v>0.1115676936856015</v>
      </c>
      <c r="G64" s="27">
        <f>IF(OR(2895177.69157="",6205.87069="",4480.1944=""),"-",(6205.87069-4480.1944)/2895177.69157*100)</f>
        <v>0.05960519435559059</v>
      </c>
    </row>
    <row r="65" spans="1:7" s="16" customFormat="1" ht="15.75">
      <c r="A65" s="45" t="s">
        <v>163</v>
      </c>
      <c r="B65" s="27">
        <f>IF(5336.56736="","-",5336.56736)</f>
        <v>5336.56736</v>
      </c>
      <c r="C65" s="27">
        <f>IF(OR(4208.4457="",5336.56736=""),"-",5336.56736/4208.4457*100)</f>
        <v>126.80613557637206</v>
      </c>
      <c r="D65" s="27">
        <f>IF(4208.4457="","-",4208.4457/2895177.69157*100)</f>
        <v>0.1453605321792128</v>
      </c>
      <c r="E65" s="27">
        <f>IF(5336.56736="","-",5336.56736/3438777.31382*100)</f>
        <v>0.1551879308541739</v>
      </c>
      <c r="F65" s="27">
        <f>IF(OR(2962405.08414="",4378.38038="",4208.4457=""),"-",(4208.4457-4378.38038)/2962405.08414*100)</f>
        <v>-0.005736375518317483</v>
      </c>
      <c r="G65" s="27">
        <f>IF(OR(2895177.69157="",5336.56736="",4208.4457=""),"-",(5336.56736-4208.4457)/2895177.69157*100)</f>
        <v>0.03896554133049571</v>
      </c>
    </row>
    <row r="66" spans="1:7" s="16" customFormat="1" ht="15.75">
      <c r="A66" s="45" t="s">
        <v>169</v>
      </c>
      <c r="B66" s="27">
        <f>IF(5165.75836="","-",5165.75836)</f>
        <v>5165.75836</v>
      </c>
      <c r="C66" s="27">
        <f>IF(OR(3544.64777="",5165.75836=""),"-",5165.75836/3544.64777*100)</f>
        <v>145.73403890000614</v>
      </c>
      <c r="D66" s="27">
        <f>IF(3544.64777="","-",3544.64777/2895177.69157*100)</f>
        <v>0.12243282270104137</v>
      </c>
      <c r="E66" s="27">
        <f>IF(5165.75836="","-",5165.75836/3438777.31382*100)</f>
        <v>0.15022078746534379</v>
      </c>
      <c r="F66" s="27">
        <f>IF(OR(2962405.08414="",3810.32307="",3544.64777=""),"-",(3544.64777-3810.32307)/2962405.08414*100)</f>
        <v>-0.008968229950129412</v>
      </c>
      <c r="G66" s="27">
        <f>IF(OR(2895177.69157="",5165.75836="",3544.64777=""),"-",(5165.75836-3544.64777)/2895177.69157*100)</f>
        <v>0.055993474760469786</v>
      </c>
    </row>
    <row r="67" spans="1:7" s="16" customFormat="1" ht="15.75">
      <c r="A67" s="45" t="s">
        <v>167</v>
      </c>
      <c r="B67" s="27">
        <f>IF(4881.26929="","-",4881.26929)</f>
        <v>4881.26929</v>
      </c>
      <c r="C67" s="27">
        <f>IF(OR(3594.94059="",4881.26929=""),"-",4881.26929/3594.94059*100)</f>
        <v>135.78163999644846</v>
      </c>
      <c r="D67" s="27">
        <f>IF(3594.94059="","-",3594.94059/2895177.69157*100)</f>
        <v>0.12416994647573884</v>
      </c>
      <c r="E67" s="27">
        <f>IF(4881.26929="","-",4881.26929/3438777.31382*100)</f>
        <v>0.1419478158816162</v>
      </c>
      <c r="F67" s="27">
        <f>IF(OR(2962405.08414="",1952.82021="",3594.94059=""),"-",(3594.94059-1952.82021)/2962405.08414*100)</f>
        <v>0.05543199978934398</v>
      </c>
      <c r="G67" s="27">
        <f>IF(OR(2895177.69157="",4881.26929="",3594.94059=""),"-",(4881.26929-3594.94059)/2895177.69157*100)</f>
        <v>0.04443004323173161</v>
      </c>
    </row>
    <row r="68" spans="1:7" s="16" customFormat="1" ht="15.75">
      <c r="A68" s="45" t="s">
        <v>153</v>
      </c>
      <c r="B68" s="27">
        <f>IF(4227.45676="","-",4227.45676)</f>
        <v>4227.45676</v>
      </c>
      <c r="C68" s="27" t="s">
        <v>215</v>
      </c>
      <c r="D68" s="27">
        <f>IF(2582.10254="","-",2582.10254/2895177.69157*100)</f>
        <v>0.08918632343425438</v>
      </c>
      <c r="E68" s="27">
        <f>IF(4227.45676="","-",4227.45676/3438777.31382*100)</f>
        <v>0.12293487987751926</v>
      </c>
      <c r="F68" s="27">
        <f>IF(OR(2962405.08414="",2319.96171="",2582.10254=""),"-",(2582.10254-2319.96171)/2962405.08414*100)</f>
        <v>0.008848919123297432</v>
      </c>
      <c r="G68" s="27">
        <f>IF(OR(2895177.69157="",4227.45676="",2582.10254=""),"-",(4227.45676-2582.10254)/2895177.69157*100)</f>
        <v>0.05683085445120834</v>
      </c>
    </row>
    <row r="69" spans="1:7" s="16" customFormat="1" ht="15.75">
      <c r="A69" s="45" t="s">
        <v>168</v>
      </c>
      <c r="B69" s="27">
        <f>IF(4213.66389="","-",4213.66389)</f>
        <v>4213.66389</v>
      </c>
      <c r="C69" s="27">
        <f>IF(OR(4772.26819="",4213.66389=""),"-",4213.66389/4772.26819*100)</f>
        <v>88.29478399452651</v>
      </c>
      <c r="D69" s="27">
        <f>IF(4772.26819="","-",4772.26819/2895177.69157*100)</f>
        <v>0.16483507053455118</v>
      </c>
      <c r="E69" s="27">
        <f>IF(4213.66389="","-",4213.66389/3438777.31382*100)</f>
        <v>0.12253378179115675</v>
      </c>
      <c r="F69" s="27">
        <f>IF(OR(2962405.08414="",4135.63607="",4772.26819=""),"-",(4772.26819-4135.63607)/2962405.08414*100)</f>
        <v>0.021490380346981395</v>
      </c>
      <c r="G69" s="27">
        <f>IF(OR(2895177.69157="",4213.66389="",4772.26819=""),"-",(4213.66389-4772.26819)/2895177.69157*100)</f>
        <v>-0.0192943010588438</v>
      </c>
    </row>
    <row r="70" spans="1:7" s="16" customFormat="1" ht="15.75">
      <c r="A70" s="45" t="s">
        <v>150</v>
      </c>
      <c r="B70" s="27">
        <f>IF(3949.67139="","-",3949.67139)</f>
        <v>3949.67139</v>
      </c>
      <c r="C70" s="27">
        <f>IF(OR(3646.55269="",3949.67139=""),"-",3949.67139/3646.55269*100)</f>
        <v>108.31247278645519</v>
      </c>
      <c r="D70" s="27">
        <f>IF(3646.55269="","-",3646.55269/2895177.69157*100)</f>
        <v>0.1259526384379725</v>
      </c>
      <c r="E70" s="27">
        <f>IF(3949.67139="","-",3949.67139/3438777.31382*100)</f>
        <v>0.11485685258323601</v>
      </c>
      <c r="F70" s="27">
        <f>IF(OR(2962405.08414="",3364.62957="",3646.55269=""),"-",(3646.55269-3364.62957)/2962405.08414*100)</f>
        <v>0.00951669714278267</v>
      </c>
      <c r="G70" s="27">
        <f>IF(OR(2895177.69157="",3949.67139="",3646.55269=""),"-",(3949.67139-3646.55269)/2895177.69157*100)</f>
        <v>0.010469778793978772</v>
      </c>
    </row>
    <row r="71" spans="1:7" s="16" customFormat="1" ht="15.75">
      <c r="A71" s="45" t="s">
        <v>170</v>
      </c>
      <c r="B71" s="27">
        <f>IF(3847.41678="","-",3847.41678)</f>
        <v>3847.41678</v>
      </c>
      <c r="C71" s="27">
        <f>IF(OR(3057.02492="",3847.41678=""),"-",3847.41678/3057.02492*100)</f>
        <v>125.85493676642976</v>
      </c>
      <c r="D71" s="27">
        <f>IF(3057.02492="","-",3057.02492/2895177.69157*100)</f>
        <v>0.1055902347168969</v>
      </c>
      <c r="E71" s="27">
        <f>IF(3847.41678="","-",3847.41678/3438777.31382*100)</f>
        <v>0.11188327794701132</v>
      </c>
      <c r="F71" s="27">
        <f>IF(OR(2962405.08414="",4399.74825="",3057.02492=""),"-",(3057.02492-4399.74825)/2962405.08414*100)</f>
        <v>-0.04532544644851629</v>
      </c>
      <c r="G71" s="27">
        <f>IF(OR(2895177.69157="",3847.41678="",3057.02492=""),"-",(3847.41678-3057.02492)/2895177.69157*100)</f>
        <v>0.02730028841757846</v>
      </c>
    </row>
    <row r="72" spans="1:7" s="16" customFormat="1" ht="15.75">
      <c r="A72" s="45" t="s">
        <v>171</v>
      </c>
      <c r="B72" s="27">
        <f>IF(2977.00458="","-",2977.00458)</f>
        <v>2977.00458</v>
      </c>
      <c r="C72" s="27">
        <f>IF(OR(2578.9016="",2977.00458=""),"-",2977.00458/2578.9016*100)</f>
        <v>115.43692012134157</v>
      </c>
      <c r="D72" s="27">
        <f>IF(2578.9016="","-",2578.9016/2895177.69157*100)</f>
        <v>0.0890757623447116</v>
      </c>
      <c r="E72" s="27">
        <f>IF(2977.00458="","-",2977.00458/3438777.31382*100)</f>
        <v>0.08657160113380429</v>
      </c>
      <c r="F72" s="27">
        <f>IF(OR(2962405.08414="",2459.00084="",2578.9016=""),"-",(2578.9016-2459.00084)/2962405.08414*100)</f>
        <v>0.004047412713471215</v>
      </c>
      <c r="G72" s="27">
        <f>IF(OR(2895177.69157="",2977.00458="",2578.9016=""),"-",(2977.00458-2578.9016)/2895177.69157*100)</f>
        <v>0.013750554280629178</v>
      </c>
    </row>
    <row r="73" spans="1:7" s="16" customFormat="1" ht="15.75">
      <c r="A73" s="45" t="s">
        <v>174</v>
      </c>
      <c r="B73" s="27">
        <f>IF(2749.5368="","-",2749.5368)</f>
        <v>2749.5368</v>
      </c>
      <c r="C73" s="27" t="s">
        <v>241</v>
      </c>
      <c r="D73" s="27">
        <f>IF(1212.35565="","-",1212.35565/2895177.69157*100)</f>
        <v>0.04187499971176424</v>
      </c>
      <c r="E73" s="27">
        <f>IF(2749.5368="","-",2749.5368/3438777.31382*100)</f>
        <v>0.07995681456167482</v>
      </c>
      <c r="F73" s="27">
        <f>IF(OR(2962405.08414="",934.5103="",1212.35565=""),"-",(1212.35565-934.5103)/2962405.08414*100)</f>
        <v>0.009379046487852614</v>
      </c>
      <c r="G73" s="27">
        <f>IF(OR(2895177.69157="",2749.5368="",1212.35565=""),"-",(2749.5368-1212.35565)/2895177.69157*100)</f>
        <v>0.053094535595375345</v>
      </c>
    </row>
    <row r="74" spans="1:7" s="16" customFormat="1" ht="15.75">
      <c r="A74" s="45" t="s">
        <v>172</v>
      </c>
      <c r="B74" s="27">
        <f>IF(2686.20434="","-",2686.20434)</f>
        <v>2686.20434</v>
      </c>
      <c r="C74" s="27">
        <f>IF(OR(2336.04333="",2686.20434=""),"-",2686.20434/2336.04333*100)</f>
        <v>114.98949122660322</v>
      </c>
      <c r="D74" s="27">
        <f>IF(2336.04333="","-",2336.04333/2895177.69157*100)</f>
        <v>0.08068739051153742</v>
      </c>
      <c r="E74" s="27">
        <f>IF(2686.20434="","-",2686.20434/3438777.31382*100)</f>
        <v>0.07811510007363644</v>
      </c>
      <c r="F74" s="27">
        <f>IF(OR(2962405.08414="",874.75816="",2336.04333=""),"-",(2336.04333-874.75816)/2962405.08414*100)</f>
        <v>0.04932766210209965</v>
      </c>
      <c r="G74" s="27">
        <f>IF(OR(2895177.69157="",2686.20434="",2336.04333=""),"-",(2686.20434-2336.04333)/2895177.69157*100)</f>
        <v>0.012094629321701984</v>
      </c>
    </row>
    <row r="75" spans="1:7" s="16" customFormat="1" ht="15.75">
      <c r="A75" s="45" t="s">
        <v>159</v>
      </c>
      <c r="B75" s="27">
        <f>IF(2077.22059="","-",2077.22059)</f>
        <v>2077.22059</v>
      </c>
      <c r="C75" s="27">
        <f>IF(OR(1586.33316="",2077.22059=""),"-",2077.22059/1586.33316*100)</f>
        <v>130.94478778972257</v>
      </c>
      <c r="D75" s="27">
        <f>IF(1586.33316="","-",1586.33316/2895177.69157*100)</f>
        <v>0.05479225557101339</v>
      </c>
      <c r="E75" s="27">
        <f>IF(2077.22059="","-",2077.22059/3438777.31382*100)</f>
        <v>0.060405789629119626</v>
      </c>
      <c r="F75" s="27">
        <f>IF(OR(2962405.08414="",2600.75463="",1586.33316=""),"-",(1586.33316-2600.75463)/2962405.08414*100)</f>
        <v>-0.03424317205742615</v>
      </c>
      <c r="G75" s="27">
        <f>IF(OR(2895177.69157="",2077.22059="",1586.33316=""),"-",(2077.22059-1586.33316)/2895177.69157*100)</f>
        <v>0.016955347211652528</v>
      </c>
    </row>
    <row r="76" spans="1:7" s="16" customFormat="1" ht="15.75">
      <c r="A76" s="45" t="s">
        <v>121</v>
      </c>
      <c r="B76" s="27">
        <f>IF(2053.50215="","-",2053.50215)</f>
        <v>2053.50215</v>
      </c>
      <c r="C76" s="27">
        <f>IF(OR(2408.80364="",2053.50215=""),"-",2053.50215/2408.80364*100)</f>
        <v>85.24987740387174</v>
      </c>
      <c r="D76" s="27">
        <f>IF(2408.80364="","-",2408.80364/2895177.69157*100)</f>
        <v>0.08320054575626934</v>
      </c>
      <c r="E76" s="27">
        <f>IF(2053.50215="","-",2053.50215/3438777.31382*100)</f>
        <v>0.05971605494043598</v>
      </c>
      <c r="F76" s="27">
        <f>IF(OR(2962405.08414="",3279.07595="",2408.80364=""),"-",(2408.80364-3279.07595)/2962405.08414*100)</f>
        <v>-0.029377221726334026</v>
      </c>
      <c r="G76" s="27">
        <f>IF(OR(2895177.69157="",2053.50215="",2408.80364=""),"-",(2053.50215-2408.80364)/2895177.69157*100)</f>
        <v>-0.012272182499697526</v>
      </c>
    </row>
    <row r="77" spans="1:7" s="16" customFormat="1" ht="15.75">
      <c r="A77" s="45" t="s">
        <v>175</v>
      </c>
      <c r="B77" s="27">
        <f>IF(1573.44881="","-",1573.44881)</f>
        <v>1573.44881</v>
      </c>
      <c r="C77" s="27">
        <f>IF(OR(1037.17532="",1573.44881=""),"-",1573.44881/1037.17532*100)</f>
        <v>151.7051919438268</v>
      </c>
      <c r="D77" s="27">
        <f>IF(1037.17532="","-",1037.17532/2895177.69157*100)</f>
        <v>0.03582423707601724</v>
      </c>
      <c r="E77" s="27">
        <f>IF(1573.44881="","-",1573.44881/3438777.31382*100)</f>
        <v>0.04575605415554283</v>
      </c>
      <c r="F77" s="27">
        <f>IF(OR(2962405.08414="",1036.30844="",1037.17532=""),"-",(1037.17532-1036.30844)/2962405.08414*100)</f>
        <v>2.9262709703041732E-05</v>
      </c>
      <c r="G77" s="27">
        <f>IF(OR(2895177.69157="",1573.44881="",1037.17532=""),"-",(1573.44881-1037.17532)/2895177.69157*100)</f>
        <v>0.018522990542566287</v>
      </c>
    </row>
    <row r="78" spans="1:7" s="16" customFormat="1" ht="15.75">
      <c r="A78" s="45" t="s">
        <v>141</v>
      </c>
      <c r="B78" s="27">
        <f>IF(1563.97611="","-",1563.97611)</f>
        <v>1563.97611</v>
      </c>
      <c r="C78" s="27">
        <f>IF(OR(1012.24721="",1563.97611=""),"-",1563.97611/1012.24721*100)</f>
        <v>154.5053515138856</v>
      </c>
      <c r="D78" s="27">
        <f>IF(1012.24721="","-",1012.24721/2895177.69157*100)</f>
        <v>0.0349632153130842</v>
      </c>
      <c r="E78" s="27">
        <f>IF(1563.97611="","-",1563.97611/3438777.31382*100)</f>
        <v>0.04548058705966748</v>
      </c>
      <c r="F78" s="27">
        <f>IF(OR(2962405.08414="",1462.11437="",1012.24721=""),"-",(1012.24721-1462.11437)/2962405.08414*100)</f>
        <v>-0.015185875909020003</v>
      </c>
      <c r="G78" s="27">
        <f>IF(OR(2895177.69157="",1563.97611="",1012.24721=""),"-",(1563.97611-1012.24721)/2895177.69157*100)</f>
        <v>0.019056823406953236</v>
      </c>
    </row>
    <row r="79" spans="1:7" s="16" customFormat="1" ht="15.75">
      <c r="A79" s="45" t="s">
        <v>180</v>
      </c>
      <c r="B79" s="27">
        <f>IF(1459.98467="","-",1459.98467)</f>
        <v>1459.98467</v>
      </c>
      <c r="C79" s="27" t="s">
        <v>241</v>
      </c>
      <c r="D79" s="27">
        <f>IF(633.58529="","-",633.58529/2895177.69157*100)</f>
        <v>0.021884159022253956</v>
      </c>
      <c r="E79" s="27">
        <f>IF(1459.98467="","-",1459.98467/3438777.31382*100)</f>
        <v>0.04245650522738158</v>
      </c>
      <c r="F79" s="27">
        <f>IF(OR(2962405.08414="",1548.38918="",633.58529=""),"-",(633.58529-1548.38918)/2962405.08414*100)</f>
        <v>-0.030880445584489394</v>
      </c>
      <c r="G79" s="27">
        <f>IF(OR(2895177.69157="",1459.98467="",633.58529=""),"-",(1459.98467-633.58529)/2895177.69157*100)</f>
        <v>0.02854399515464142</v>
      </c>
    </row>
    <row r="80" spans="1:7" s="16" customFormat="1" ht="15.75">
      <c r="A80" s="45" t="s">
        <v>158</v>
      </c>
      <c r="B80" s="27">
        <f>IF(1289.85186="","-",1289.85186)</f>
        <v>1289.85186</v>
      </c>
      <c r="C80" s="27">
        <f>IF(OR(1066.53344="",1289.85186=""),"-",1289.85186/1066.53344*100)</f>
        <v>120.9387171207684</v>
      </c>
      <c r="D80" s="27">
        <f>IF(1066.53344="","-",1066.53344/2895177.69157*100)</f>
        <v>0.036838272245101444</v>
      </c>
      <c r="E80" s="27">
        <f>IF(1289.85186="","-",1289.85186/3438777.31382*100)</f>
        <v>0.037509025513697926</v>
      </c>
      <c r="F80" s="27">
        <f>IF(OR(2962405.08414="",700.83526="",1066.53344=""),"-",(1066.53344-700.83526)/2962405.08414*100)</f>
        <v>0.012344637874065891</v>
      </c>
      <c r="G80" s="27">
        <f>IF(OR(2895177.69157="",1289.85186="",1066.53344=""),"-",(1289.85186-1066.53344)/2895177.69157*100)</f>
        <v>0.007713461617580326</v>
      </c>
    </row>
    <row r="81" spans="1:7" s="16" customFormat="1" ht="15.75">
      <c r="A81" s="45" t="s">
        <v>160</v>
      </c>
      <c r="B81" s="27">
        <f>IF(1198.76731="","-",1198.76731)</f>
        <v>1198.76731</v>
      </c>
      <c r="C81" s="27" t="s">
        <v>215</v>
      </c>
      <c r="D81" s="27">
        <f>IF(760.54998="","-",760.54998/2895177.69157*100)</f>
        <v>0.02626954408409966</v>
      </c>
      <c r="E81" s="27">
        <f>IF(1198.76731="","-",1198.76731/3438777.31382*100)</f>
        <v>0.03486027737772695</v>
      </c>
      <c r="F81" s="27">
        <f>IF(OR(2962405.08414="",637.10887="",760.54998=""),"-",(760.54998-637.10887)/2962405.08414*100)</f>
        <v>0.004166922027675209</v>
      </c>
      <c r="G81" s="27">
        <f>IF(OR(2895177.69157="",1198.76731="",760.54998=""),"-",(1198.76731-760.54998)/2895177.69157*100)</f>
        <v>0.015136111723849427</v>
      </c>
    </row>
    <row r="82" spans="1:7" s="16" customFormat="1" ht="15.75">
      <c r="A82" s="45" t="s">
        <v>173</v>
      </c>
      <c r="B82" s="27">
        <f>IF(1173.21863="","-",1173.21863)</f>
        <v>1173.21863</v>
      </c>
      <c r="C82" s="27">
        <f>IF(OR(1242.67151="",1173.21863=""),"-",1173.21863/1242.67151*100)</f>
        <v>94.41100246999306</v>
      </c>
      <c r="D82" s="27">
        <f>IF(1242.67151="","-",1242.67151/2895177.69157*100)</f>
        <v>0.04292211540653737</v>
      </c>
      <c r="E82" s="27">
        <f>IF(1173.21863="","-",1173.21863/3438777.31382*100)</f>
        <v>0.034117319120519574</v>
      </c>
      <c r="F82" s="27">
        <f>IF(OR(2962405.08414="",1761.60482="",1242.67151=""),"-",(1242.67151-1761.60482)/2962405.08414*100)</f>
        <v>-0.017517297441131313</v>
      </c>
      <c r="G82" s="27">
        <f>IF(OR(2895177.69157="",1173.21863="",1242.67151=""),"-",(1173.21863-1242.67151)/2895177.69157*100)</f>
        <v>-0.0023989159698980978</v>
      </c>
    </row>
    <row r="83" spans="1:7" s="16" customFormat="1" ht="15.75">
      <c r="A83" s="45" t="s">
        <v>152</v>
      </c>
      <c r="B83" s="27">
        <f>IF(1062.52261="","-",1062.52261)</f>
        <v>1062.52261</v>
      </c>
      <c r="C83" s="27">
        <f>IF(OR(1595.90593="",1062.52261=""),"-",1062.52261/1595.90593*100)</f>
        <v>66.57802255299596</v>
      </c>
      <c r="D83" s="27">
        <f>IF(1595.90593="","-",1595.90593/2895177.69157*100)</f>
        <v>0.05512290090680308</v>
      </c>
      <c r="E83" s="27">
        <f>IF(1062.52261="","-",1062.52261/3438777.31382*100)</f>
        <v>0.030898267408298277</v>
      </c>
      <c r="F83" s="27">
        <f>IF(OR(2962405.08414="",468.21426="",1595.90593=""),"-",(1595.90593-468.21426)/2962405.08414*100)</f>
        <v>0.0380667612284825</v>
      </c>
      <c r="G83" s="27">
        <f>IF(OR(2895177.69157="",1062.52261="",1595.90593=""),"-",(1062.52261-1595.90593)/2895177.69157*100)</f>
        <v>-0.018423163509206107</v>
      </c>
    </row>
    <row r="84" spans="1:7" s="16" customFormat="1" ht="15.75">
      <c r="A84" s="45" t="s">
        <v>202</v>
      </c>
      <c r="B84" s="27">
        <f>IF(877.64584="","-",877.64584)</f>
        <v>877.64584</v>
      </c>
      <c r="C84" s="27" t="s">
        <v>215</v>
      </c>
      <c r="D84" s="27">
        <f>IF(552.18107="","-",552.18107/2895177.69157*100)</f>
        <v>0.019072441446609887</v>
      </c>
      <c r="E84" s="27">
        <f>IF(877.64584="","-",877.64584/3438777.31382*100)</f>
        <v>0.025522031812669443</v>
      </c>
      <c r="F84" s="27">
        <f>IF(OR(2962405.08414="",58.03945="",552.18107=""),"-",(552.18107-58.03945)/2962405.08414*100)</f>
        <v>0.016680420332975888</v>
      </c>
      <c r="G84" s="27">
        <f>IF(OR(2895177.69157="",877.64584="",552.18107=""),"-",(877.64584-552.18107)/2895177.69157*100)</f>
        <v>0.011241616393621309</v>
      </c>
    </row>
    <row r="85" spans="1:7" s="16" customFormat="1" ht="15.75">
      <c r="A85" s="45" t="s">
        <v>207</v>
      </c>
      <c r="B85" s="27">
        <f>IF(864.11014="","-",864.11014)</f>
        <v>864.11014</v>
      </c>
      <c r="C85" s="27">
        <f>IF(OR(864.85437="",864.11014=""),"-",864.11014/864.85437*100)</f>
        <v>99.91394736202814</v>
      </c>
      <c r="D85" s="27">
        <f>IF(864.85437="","-",864.85437/2895177.69157*100)</f>
        <v>0.029872237981047926</v>
      </c>
      <c r="E85" s="27">
        <f>IF(864.11014="","-",864.11014/3438777.31382*100)</f>
        <v>0.025128412256509122</v>
      </c>
      <c r="F85" s="27">
        <f>IF(OR(2962405.08414="",957.02232="",864.85437=""),"-",(864.85437-957.02232)/2962405.08414*100)</f>
        <v>-0.0031112541121889412</v>
      </c>
      <c r="G85" s="27">
        <f>IF(OR(2895177.69157="",864.11014="",864.85437=""),"-",(864.11014-864.85437)/2895177.69157*100)</f>
        <v>-2.570584880392727E-05</v>
      </c>
    </row>
    <row r="86" spans="1:7" s="16" customFormat="1" ht="15.75">
      <c r="A86" s="45" t="s">
        <v>176</v>
      </c>
      <c r="B86" s="27">
        <f>IF(787.94297="","-",787.94297)</f>
        <v>787.94297</v>
      </c>
      <c r="C86" s="27">
        <f>IF(OR(919.80622="",787.94297=""),"-",787.94297/919.80622*100)</f>
        <v>85.66401844945122</v>
      </c>
      <c r="D86" s="27">
        <f>IF(919.80622="","-",919.80622/2895177.69157*100)</f>
        <v>0.03177028555719517</v>
      </c>
      <c r="E86" s="27">
        <f>IF(787.94297="","-",787.94297/3438777.31382*100)</f>
        <v>0.022913463074022252</v>
      </c>
      <c r="F86" s="27">
        <f>IF(OR(2962405.08414="",1003.34603="",919.80622=""),"-",(919.80622-1003.34603)/2962405.08414*100)</f>
        <v>-0.00281999954858476</v>
      </c>
      <c r="G86" s="27">
        <f>IF(OR(2895177.69157="",787.94297="",919.80622=""),"-",(787.94297-919.80622)/2895177.69157*100)</f>
        <v>-0.0045545822760361615</v>
      </c>
    </row>
    <row r="87" spans="1:7" s="16" customFormat="1" ht="15.75">
      <c r="A87" s="45" t="s">
        <v>205</v>
      </c>
      <c r="B87" s="27">
        <f>IF(783.37149="","-",783.37149)</f>
        <v>783.37149</v>
      </c>
      <c r="C87" s="27" t="s">
        <v>267</v>
      </c>
      <c r="D87" s="27">
        <f>IF(169.83995="","-",169.83995/2895177.69157*100)</f>
        <v>0.005866304872910893</v>
      </c>
      <c r="E87" s="27">
        <f>IF(783.37149="","-",783.37149/3438777.31382*100)</f>
        <v>0.022780523962739073</v>
      </c>
      <c r="F87" s="27">
        <f>IF(OR(2962405.08414="",936.82728="",169.83995=""),"-",(169.83995-936.82728)/2962405.08414*100)</f>
        <v>-0.025890697194190782</v>
      </c>
      <c r="G87" s="27">
        <f>IF(OR(2895177.69157="",783.37149="",169.83995=""),"-",(783.37149-169.83995)/2895177.69157*100)</f>
        <v>0.021191498600809315</v>
      </c>
    </row>
    <row r="88" spans="1:7" s="16" customFormat="1" ht="15.75">
      <c r="A88" s="45" t="s">
        <v>181</v>
      </c>
      <c r="B88" s="27">
        <f>IF(779.66186="","-",779.66186)</f>
        <v>779.66186</v>
      </c>
      <c r="C88" s="27">
        <f>IF(OR(586.35741="",779.66186=""),"-",779.66186/586.35741*100)</f>
        <v>132.96700045114125</v>
      </c>
      <c r="D88" s="27">
        <f>IF(586.35741="","-",586.35741/2895177.69157*100)</f>
        <v>0.020252898870674482</v>
      </c>
      <c r="E88" s="27">
        <f>IF(779.66186="","-",779.66186/3438777.31382*100)</f>
        <v>0.022672647538607406</v>
      </c>
      <c r="F88" s="27">
        <f>IF(OR(2962405.08414="",280.4092="",586.35741=""),"-",(586.35741-280.4092)/2962405.08414*100)</f>
        <v>0.010327696628593187</v>
      </c>
      <c r="G88" s="27">
        <f>IF(OR(2895177.69157="",779.66186="",586.35741=""),"-",(779.66186-586.35741)/2895177.69157*100)</f>
        <v>0.006676773262064435</v>
      </c>
    </row>
    <row r="89" spans="1:7" ht="15.75">
      <c r="A89" s="45" t="s">
        <v>182</v>
      </c>
      <c r="B89" s="27">
        <f>IF(693.88397="","-",693.88397)</f>
        <v>693.88397</v>
      </c>
      <c r="C89" s="27" t="s">
        <v>193</v>
      </c>
      <c r="D89" s="27">
        <f>IF(314.16287="","-",314.16287/2895177.69157*100)</f>
        <v>0.010851246571661564</v>
      </c>
      <c r="E89" s="27">
        <f>IF(693.88397="","-",693.88397/3438777.31382*100)</f>
        <v>0.020178217624368125</v>
      </c>
      <c r="F89" s="27">
        <f>IF(OR(2962405.08414="",705.28991="",314.16287=""),"-",(314.16287-705.28991)/2962405.08414*100)</f>
        <v>-0.013203023519436943</v>
      </c>
      <c r="G89" s="27">
        <f>IF(OR(2895177.69157="",693.88397="",314.16287=""),"-",(693.88397-314.16287)/2895177.69157*100)</f>
        <v>0.013115640573828975</v>
      </c>
    </row>
    <row r="90" spans="1:7" ht="15.75">
      <c r="A90" s="45" t="s">
        <v>120</v>
      </c>
      <c r="B90" s="27">
        <f>IF(678.7114="","-",678.7114)</f>
        <v>678.7114</v>
      </c>
      <c r="C90" s="27">
        <f>IF(OR(2633.27296="",678.7114=""),"-",678.7114/2633.27296*100)</f>
        <v>25.774441552766337</v>
      </c>
      <c r="D90" s="27">
        <f>IF(2633.27296="","-",2633.27296/2895177.69157*100)</f>
        <v>0.09095375968346958</v>
      </c>
      <c r="E90" s="27">
        <f>IF(678.7114="","-",678.7114/3438777.31382*100)</f>
        <v>0.019736997719286647</v>
      </c>
      <c r="F90" s="27">
        <f>IF(OR(2962405.08414="",2739.16853="",2633.27296=""),"-",(2633.27296-2739.16853)/2962405.08414*100)</f>
        <v>-0.0035746485369924385</v>
      </c>
      <c r="G90" s="27">
        <f>IF(OR(2895177.69157="",678.7114="",2633.27296=""),"-",(678.7114-2633.27296)/2895177.69157*100)</f>
        <v>-0.06751093605381016</v>
      </c>
    </row>
    <row r="91" spans="1:7" ht="15.75">
      <c r="A91" s="45" t="s">
        <v>177</v>
      </c>
      <c r="B91" s="27">
        <f>IF(613.41641="","-",613.41641)</f>
        <v>613.41641</v>
      </c>
      <c r="C91" s="27">
        <f>IF(OR(840.98572="",613.41641=""),"-",613.41641/840.98572*100)</f>
        <v>72.94016954295014</v>
      </c>
      <c r="D91" s="27">
        <f>IF(840.98572="","-",840.98572/2895177.69157*100)</f>
        <v>0.02904781017236802</v>
      </c>
      <c r="E91" s="27">
        <f>IF(613.41641="","-",613.41641/3438777.31382*100)</f>
        <v>0.017838212655840176</v>
      </c>
      <c r="F91" s="27">
        <f>IF(OR(2962405.08414="",1598.11796="",840.98572=""),"-",(840.98572-1598.11796)/2962405.08414*100)</f>
        <v>-0.025558025269855997</v>
      </c>
      <c r="G91" s="27">
        <f>IF(OR(2895177.69157="",613.41641="",840.98572=""),"-",(613.41641-840.98572)/2895177.69157*100)</f>
        <v>-0.007860288184128466</v>
      </c>
    </row>
    <row r="92" spans="1:7" ht="15.75">
      <c r="A92" s="45" t="s">
        <v>143</v>
      </c>
      <c r="B92" s="27">
        <f>IF(570.71835="","-",570.71835)</f>
        <v>570.71835</v>
      </c>
      <c r="C92" s="27">
        <f>IF(OR(883.69847="",570.71835=""),"-",570.71835/883.69847*100)</f>
        <v>64.58292838280006</v>
      </c>
      <c r="D92" s="27">
        <f>IF(883.69847="","-",883.69847/2895177.69157*100)</f>
        <v>0.030523116856457512</v>
      </c>
      <c r="E92" s="27">
        <f>IF(570.71835="","-",570.71835/3438777.31382*100)</f>
        <v>0.016596548654266068</v>
      </c>
      <c r="F92" s="27">
        <f>IF(OR(2962405.08414="",449.31044="",883.69847=""),"-",(883.69847-449.31044)/2962405.08414*100)</f>
        <v>0.014663356889495244</v>
      </c>
      <c r="G92" s="27">
        <f>IF(OR(2895177.69157="",570.71835="",883.69847=""),"-",(570.71835-883.69847)/2895177.69157*100)</f>
        <v>-0.01081039415685318</v>
      </c>
    </row>
    <row r="93" spans="1:7" ht="15.75">
      <c r="A93" s="45" t="s">
        <v>165</v>
      </c>
      <c r="B93" s="27">
        <f>IF(547.33885="","-",547.33885)</f>
        <v>547.33885</v>
      </c>
      <c r="C93" s="27">
        <f>IF(OR(710.11759="",547.33885=""),"-",547.33885/710.11759*100)</f>
        <v>77.07721336687351</v>
      </c>
      <c r="D93" s="27">
        <f>IF(710.11759="","-",710.11759/2895177.69157*100)</f>
        <v>0.024527599534483725</v>
      </c>
      <c r="E93" s="27">
        <f>IF(547.33885="","-",547.33885/3438777.31382*100)</f>
        <v>0.01591667037584307</v>
      </c>
      <c r="F93" s="27">
        <f>IF(OR(2962405.08414="",489.86437="",710.11759=""),"-",(710.11759-489.86437)/2962405.08414*100)</f>
        <v>0.007434946057147364</v>
      </c>
      <c r="G93" s="27">
        <f>IF(OR(2895177.69157="",547.33885="",710.11759=""),"-",(547.33885-710.11759)/2895177.69157*100)</f>
        <v>-0.005622409307517432</v>
      </c>
    </row>
    <row r="94" spans="1:7" ht="15.75">
      <c r="A94" s="45" t="s">
        <v>251</v>
      </c>
      <c r="B94" s="27">
        <f>IF(543.50045="","-",543.50045)</f>
        <v>543.50045</v>
      </c>
      <c r="C94" s="27" t="s">
        <v>26</v>
      </c>
      <c r="D94" s="27">
        <f>IF(268.76066="","-",268.76066/2895177.69157*100)</f>
        <v>0.009283045416609858</v>
      </c>
      <c r="E94" s="27">
        <f>IF(543.50045="","-",543.50045/3438777.31382*100)</f>
        <v>0.015805049306791174</v>
      </c>
      <c r="F94" s="27">
        <f>IF(OR(2962405.08414="",210.61929="",268.76066=""),"-",(268.76066-210.61929)/2962405.08414*100)</f>
        <v>0.001962640771556692</v>
      </c>
      <c r="G94" s="27">
        <f>IF(OR(2895177.69157="",543.50045="",268.76066=""),"-",(543.50045-268.76066)/2895177.69157*100)</f>
        <v>0.009489565728555123</v>
      </c>
    </row>
    <row r="95" spans="1:7" ht="15.75">
      <c r="A95" s="45" t="s">
        <v>191</v>
      </c>
      <c r="B95" s="27">
        <f>IF(528.95583="","-",528.95583)</f>
        <v>528.95583</v>
      </c>
      <c r="C95" s="27" t="s">
        <v>215</v>
      </c>
      <c r="D95" s="27">
        <f>IF(331.41555="","-",331.41555/2895177.69157*100)</f>
        <v>0.011447157491058162</v>
      </c>
      <c r="E95" s="27">
        <f>IF(528.95583="","-",528.95583/3438777.31382*100)</f>
        <v>0.01538209025266612</v>
      </c>
      <c r="F95" s="27">
        <f>IF(OR(2962405.08414="",256.19406="",331.41555=""),"-",(331.41555-256.19406)/2962405.08414*100)</f>
        <v>0.00253920337912994</v>
      </c>
      <c r="G95" s="27">
        <f>IF(OR(2895177.69157="",528.95583="",331.41555=""),"-",(528.95583-331.41555)/2895177.69157*100)</f>
        <v>0.0068230796532864155</v>
      </c>
    </row>
    <row r="96" spans="1:7" ht="15.75">
      <c r="A96" s="45" t="s">
        <v>164</v>
      </c>
      <c r="B96" s="27">
        <f>IF(486.91967="","-",486.91967)</f>
        <v>486.91967</v>
      </c>
      <c r="C96" s="27">
        <f>IF(OR(772.02964="",486.91967=""),"-",486.91967/772.02964*100)</f>
        <v>63.07007461526995</v>
      </c>
      <c r="D96" s="27">
        <f>IF(772.02964="","-",772.02964/2895177.69157*100)</f>
        <v>0.02666605377099818</v>
      </c>
      <c r="E96" s="27">
        <f>IF(486.91967="","-",486.91967/3438777.31382*100)</f>
        <v>0.014159674371560294</v>
      </c>
      <c r="F96" s="27">
        <f>IF(OR(2962405.08414="",1279.53879="",772.02964=""),"-",(772.02964-1279.53879)/2962405.08414*100)</f>
        <v>-0.017131659431624705</v>
      </c>
      <c r="G96" s="27">
        <f>IF(OR(2895177.69157="",486.91967="",772.02964=""),"-",(486.91967-772.02964)/2895177.69157*100)</f>
        <v>-0.009847753760681621</v>
      </c>
    </row>
    <row r="97" spans="1:7" ht="15.75">
      <c r="A97" s="45" t="s">
        <v>178</v>
      </c>
      <c r="B97" s="27">
        <f>IF(481.91293="","-",481.91293)</f>
        <v>481.91293</v>
      </c>
      <c r="C97" s="27">
        <f>IF(OR(729.77874="",481.91293=""),"-",481.91293/729.77874*100)</f>
        <v>66.03548494712247</v>
      </c>
      <c r="D97" s="27">
        <f>IF(729.77874="","-",729.77874/2895177.69157*100)</f>
        <v>0.025206699475646167</v>
      </c>
      <c r="E97" s="27">
        <f>IF(481.91293="","-",481.91293/3438777.31382*100)</f>
        <v>0.014014077854452932</v>
      </c>
      <c r="F97" s="27">
        <f>IF(OR(2962405.08414="",1793.15387="",729.77874=""),"-",(729.77874-1793.15387)/2962405.08414*100)</f>
        <v>-0.03589566922137196</v>
      </c>
      <c r="G97" s="27">
        <f>IF(OR(2895177.69157="",481.91293="",729.77874=""),"-",(481.91293-729.77874)/2895177.69157*100)</f>
        <v>-0.008561333237739444</v>
      </c>
    </row>
    <row r="98" spans="1:7" ht="15.75">
      <c r="A98" s="45" t="s">
        <v>179</v>
      </c>
      <c r="B98" s="27">
        <f>IF(467.9361="","-",467.9361)</f>
        <v>467.9361</v>
      </c>
      <c r="C98" s="27">
        <f>IF(OR(650.27172="",467.9361=""),"-",467.9361/650.27172*100)</f>
        <v>71.96008769995412</v>
      </c>
      <c r="D98" s="27">
        <f>IF(650.27172="","-",650.27172/2895177.69157*100)</f>
        <v>0.022460511556628152</v>
      </c>
      <c r="E98" s="27">
        <f>IF(467.9361="","-",467.9361/3438777.31382*100)</f>
        <v>0.01360763019226123</v>
      </c>
      <c r="F98" s="27">
        <f>IF(OR(2962405.08414="",783.20623="",650.27172=""),"-",(650.27172-783.20623)/2962405.08414*100)</f>
        <v>-0.004487384615686061</v>
      </c>
      <c r="G98" s="27">
        <f>IF(OR(2895177.69157="",467.9361="",650.27172=""),"-",(467.9361-650.27172)/2895177.69157*100)</f>
        <v>-0.006297907742620205</v>
      </c>
    </row>
    <row r="99" spans="1:7" ht="15.75">
      <c r="A99" s="45" t="s">
        <v>183</v>
      </c>
      <c r="B99" s="27">
        <f>IF(455.93075="","-",455.93075)</f>
        <v>455.93075</v>
      </c>
      <c r="C99" s="27">
        <f>IF(OR(416.71729="",455.93075=""),"-",455.93075/416.71729*100)</f>
        <v>109.41008711205625</v>
      </c>
      <c r="D99" s="27">
        <f>IF(416.71729="","-",416.71729/2895177.69157*100)</f>
        <v>0.014393496164790567</v>
      </c>
      <c r="E99" s="27">
        <f>IF(455.93075="","-",455.93075/3438777.31382*100)</f>
        <v>0.013258513372403427</v>
      </c>
      <c r="F99" s="27">
        <f>IF(OR(2962405.08414="",1594.6014="",416.71729=""),"-",(416.71729-1594.6014)/2962405.08414*100)</f>
        <v>-0.03976107509084785</v>
      </c>
      <c r="G99" s="27">
        <f>IF(OR(2895177.69157="",455.93075="",416.71729=""),"-",(455.93075-416.71729)/2895177.69157*100)</f>
        <v>0.0013544405275772655</v>
      </c>
    </row>
    <row r="100" spans="1:7" ht="15.75">
      <c r="A100" s="45" t="s">
        <v>211</v>
      </c>
      <c r="B100" s="27">
        <f>IF(322.27573="","-",322.27573)</f>
        <v>322.27573</v>
      </c>
      <c r="C100" s="27" t="s">
        <v>214</v>
      </c>
      <c r="D100" s="27">
        <f>IF(190.01363="","-",190.01363/2895177.69157*100)</f>
        <v>0.006563107699857939</v>
      </c>
      <c r="E100" s="27">
        <f>IF(322.27573="","-",322.27573/3438777.31382*100)</f>
        <v>0.009371811565256514</v>
      </c>
      <c r="F100" s="27">
        <f>IF(OR(2962405.08414="",117.36869="",190.01363=""),"-",(190.01363-117.36869)/2962405.08414*100)</f>
        <v>0.0024522284406316825</v>
      </c>
      <c r="G100" s="27">
        <f>IF(OR(2895177.69157="",322.27573="",190.01363=""),"-",(322.27573-190.01363)/2895177.69157*100)</f>
        <v>0.0045683586325327335</v>
      </c>
    </row>
    <row r="101" spans="1:7" ht="15.75">
      <c r="A101" s="45" t="s">
        <v>190</v>
      </c>
      <c r="B101" s="27">
        <f>IF(221.24834="","-",221.24834)</f>
        <v>221.24834</v>
      </c>
      <c r="C101" s="27" t="s">
        <v>213</v>
      </c>
      <c r="D101" s="27">
        <f>IF(125.47499="","-",125.47499/2895177.69157*100)</f>
        <v>0.004333930534396916</v>
      </c>
      <c r="E101" s="27">
        <f>IF(221.24834="","-",221.24834/3438777.31382*100)</f>
        <v>0.006433924613577962</v>
      </c>
      <c r="F101" s="27">
        <f>IF(OR(2962405.08414="",73.86111="",125.47499=""),"-",(125.47499-73.86111)/2962405.08414*100)</f>
        <v>0.001742296496732612</v>
      </c>
      <c r="G101" s="27">
        <f>IF(OR(2895177.69157="",221.24834="",125.47499=""),"-",(221.24834-125.47499)/2895177.69157*100)</f>
        <v>0.003308030117766759</v>
      </c>
    </row>
    <row r="102" spans="1:7" ht="15.75">
      <c r="A102" s="45" t="s">
        <v>192</v>
      </c>
      <c r="B102" s="27">
        <f>IF(203.70247="","-",203.70247)</f>
        <v>203.70247</v>
      </c>
      <c r="C102" s="27" t="s">
        <v>230</v>
      </c>
      <c r="D102" s="27">
        <f>IF(59.72113="","-",59.72113/2895177.69157*100)</f>
        <v>0.002062779434018586</v>
      </c>
      <c r="E102" s="27">
        <f>IF(203.70247="","-",203.70247/3438777.31382*100)</f>
        <v>0.005923688898997507</v>
      </c>
      <c r="F102" s="27">
        <f>IF(OR(2962405.08414="",93.36188="",59.72113=""),"-",(59.72113-93.36188)/2962405.08414*100)</f>
        <v>-0.001135589125879659</v>
      </c>
      <c r="G102" s="27">
        <f>IF(OR(2895177.69157="",203.70247="",59.72113=""),"-",(203.70247-59.72113)/2895177.69157*100)</f>
        <v>0.004973143459181659</v>
      </c>
    </row>
    <row r="103" spans="1:7" ht="15.75">
      <c r="A103" s="45" t="s">
        <v>229</v>
      </c>
      <c r="B103" s="27">
        <f>IF(158.40701="","-",158.40701)</f>
        <v>158.40701</v>
      </c>
      <c r="C103" s="27">
        <f>IF(OR(160.20083="",158.40701=""),"-",158.40701/160.20083*100)</f>
        <v>98.88026797364284</v>
      </c>
      <c r="D103" s="27">
        <f>IF(160.20083="","-",160.20083/2895177.69157*100)</f>
        <v>0.005533367795229388</v>
      </c>
      <c r="E103" s="27">
        <f>IF(158.40701="","-",158.40701/3438777.31382*100)</f>
        <v>0.0046064922367430655</v>
      </c>
      <c r="F103" s="27">
        <f>IF(OR(2962405.08414="",96.42283="",160.20083=""),"-",(160.20083-96.42283)/2962405.08414*100)</f>
        <v>0.0021529128592660055</v>
      </c>
      <c r="G103" s="27">
        <f>IF(OR(2895177.69157="",158.40701="",160.20083=""),"-",(158.40701-160.20083)/2895177.69157*100)</f>
        <v>-6.195889133931631E-05</v>
      </c>
    </row>
    <row r="104" spans="1:7" ht="15.75">
      <c r="A104" s="45" t="s">
        <v>148</v>
      </c>
      <c r="B104" s="27">
        <f>IF(112.59902="","-",112.59902)</f>
        <v>112.59902</v>
      </c>
      <c r="C104" s="27" t="s">
        <v>216</v>
      </c>
      <c r="D104" s="27">
        <f>IF(58.10281="","-",58.10281/2895177.69157*100)</f>
        <v>0.0020068823467789274</v>
      </c>
      <c r="E104" s="27">
        <f>IF(112.59902="","-",112.59902/3438777.31382*100)</f>
        <v>0.003274391149071478</v>
      </c>
      <c r="F104" s="27">
        <f>IF(OR(2962405.08414="",20.62367="",58.10281=""),"-",(58.10281-20.62367)/2962405.08414*100)</f>
        <v>0.0012651591843618635</v>
      </c>
      <c r="G104" s="27">
        <f>IF(OR(2895177.69157="",112.59902="",58.10281=""),"-",(112.59902-58.10281)/2895177.69157*100)</f>
        <v>0.0018823096820163648</v>
      </c>
    </row>
    <row r="105" spans="1:7" ht="15.75">
      <c r="A105" s="45" t="s">
        <v>203</v>
      </c>
      <c r="B105" s="27">
        <f>IF(89.98773="","-",89.98773)</f>
        <v>89.98773</v>
      </c>
      <c r="C105" s="27" t="s">
        <v>242</v>
      </c>
      <c r="D105" s="27">
        <f>IF(12.15472="","-",12.15472/2895177.69157*100)</f>
        <v>0.000419826390462712</v>
      </c>
      <c r="E105" s="27">
        <f>IF(89.98773="","-",89.98773/3438777.31382*100)</f>
        <v>0.002616852496913685</v>
      </c>
      <c r="F105" s="27">
        <f>IF(OR(2962405.08414="",19.31033="",12.15472=""),"-",(12.15472-19.31033)/2962405.08414*100)</f>
        <v>-0.00024154731701985681</v>
      </c>
      <c r="G105" s="27">
        <f>IF(OR(2895177.69157="",89.98773="",12.15472=""),"-",(89.98773-12.15472)/2895177.69157*100)</f>
        <v>0.002688367288357788</v>
      </c>
    </row>
    <row r="106" spans="1:7" ht="15.75">
      <c r="A106" s="45" t="s">
        <v>244</v>
      </c>
      <c r="B106" s="27">
        <f>IF(86.52611="","-",86.52611)</f>
        <v>86.52611</v>
      </c>
      <c r="C106" s="27" t="s">
        <v>216</v>
      </c>
      <c r="D106" s="27">
        <f>IF(45.58052="","-",45.58052/2895177.69157*100)</f>
        <v>0.001574360017097346</v>
      </c>
      <c r="E106" s="27">
        <f>IF(86.52611="","-",86.52611/3438777.31382*100)</f>
        <v>0.0025161882292366764</v>
      </c>
      <c r="F106" s="27">
        <f>IF(OR(2962405.08414="",32.12032="",45.58052=""),"-",(45.58052-32.12032)/2962405.08414*100)</f>
        <v>0.00045436730013942575</v>
      </c>
      <c r="G106" s="27">
        <f>IF(OR(2895177.69157="",86.52611="",45.58052=""),"-",(86.52611-45.58052)/2895177.69157*100)</f>
        <v>0.0014142686343302123</v>
      </c>
    </row>
    <row r="107" spans="1:7" ht="15.75">
      <c r="A107" s="45" t="s">
        <v>224</v>
      </c>
      <c r="B107" s="27">
        <f>IF(81.46663="","-",81.46663)</f>
        <v>81.46663</v>
      </c>
      <c r="C107" s="27" t="s">
        <v>184</v>
      </c>
      <c r="D107" s="27">
        <f>IF(38.78046="","-",38.78046/2895177.69157*100)</f>
        <v>0.0013394846234453435</v>
      </c>
      <c r="E107" s="27">
        <f>IF(81.46663="","-",81.46663/3438777.31382*100)</f>
        <v>0.002369058027473782</v>
      </c>
      <c r="F107" s="27">
        <f>IF(OR(2962405.08414="",14.9444="",38.78046=""),"-",(38.78046-14.9444)/2962405.08414*100)</f>
        <v>0.0008046185218764474</v>
      </c>
      <c r="G107" s="27">
        <f>IF(OR(2895177.69157="",81.46663="",38.78046=""),"-",(81.46663-38.78046)/2895177.69157*100)</f>
        <v>0.0014743886057249943</v>
      </c>
    </row>
    <row r="108" spans="1:7" ht="15.75">
      <c r="A108" s="45" t="s">
        <v>263</v>
      </c>
      <c r="B108" s="27">
        <f>IF(78.12431="","-",78.12431)</f>
        <v>78.12431</v>
      </c>
      <c r="C108" s="27">
        <f>IF(OR(65.20626="",78.12431=""),"-",78.12431/65.20626*100)</f>
        <v>119.81105801804918</v>
      </c>
      <c r="D108" s="27">
        <f>IF(65.20626="","-",65.20626/2895177.69157*100)</f>
        <v>0.002252236889979623</v>
      </c>
      <c r="E108" s="27">
        <f>IF(78.12431="","-",78.12431/3438777.31382*100)</f>
        <v>0.002271863016137408</v>
      </c>
      <c r="F108" s="27">
        <f>IF(OR(2962405.08414="",20.02778="",65.20626=""),"-",(65.20626-20.02778)/2962405.08414*100)</f>
        <v>0.0015250608447127858</v>
      </c>
      <c r="G108" s="27">
        <f>IF(OR(2895177.69157="",78.12431="",65.20626=""),"-",(78.12431-65.20626)/2895177.69157*100)</f>
        <v>0.00044619195697776957</v>
      </c>
    </row>
    <row r="109" spans="1:7" ht="15.75">
      <c r="A109" s="45" t="s">
        <v>237</v>
      </c>
      <c r="B109" s="27">
        <f>IF(67.57864="","-",67.57864)</f>
        <v>67.57864</v>
      </c>
      <c r="C109" s="27" t="s">
        <v>214</v>
      </c>
      <c r="D109" s="27">
        <f>IF(40.53901="","-",40.53901/2895177.69157*100)</f>
        <v>0.0014002252821316975</v>
      </c>
      <c r="E109" s="27">
        <f>IF(67.57864="","-",67.57864/3438777.31382*100)</f>
        <v>0.00196519384167187</v>
      </c>
      <c r="F109" s="27">
        <f>IF(OR(2962405.08414="",45.6223="",40.53901=""),"-",(40.53901-45.6223)/2962405.08414*100)</f>
        <v>-0.00017159334579915184</v>
      </c>
      <c r="G109" s="27">
        <f>IF(OR(2895177.69157="",67.57864="",40.53901=""),"-",(67.57864-40.53901)/2895177.69157*100)</f>
        <v>0.0009339540740014794</v>
      </c>
    </row>
    <row r="110" spans="1:7" ht="15.75">
      <c r="A110" s="45" t="s">
        <v>225</v>
      </c>
      <c r="B110" s="27">
        <f>IF(63.43256="","-",63.43256)</f>
        <v>63.43256</v>
      </c>
      <c r="C110" s="27">
        <f>IF(OR(163.49492="",63.43256=""),"-",63.43256/163.49492*100)</f>
        <v>38.797878246002995</v>
      </c>
      <c r="D110" s="27">
        <f>IF(163.49492="","-",163.49492/2895177.69157*100)</f>
        <v>0.005647146303871242</v>
      </c>
      <c r="E110" s="27">
        <f>IF(63.43256="","-",63.43256/3438777.31382*100)</f>
        <v>0.0018446254063929283</v>
      </c>
      <c r="F110" s="27">
        <f>IF(OR(2962405.08414="",205.86523="",163.49492=""),"-",(163.49492-205.86523)/2962405.08414*100)</f>
        <v>-0.0014302672590875698</v>
      </c>
      <c r="G110" s="27">
        <f>IF(OR(2895177.69157="",63.43256="",163.49492=""),"-",(63.43256-163.49492)/2895177.69157*100)</f>
        <v>-0.00345617335652162</v>
      </c>
    </row>
    <row r="111" spans="1:7" ht="15.75">
      <c r="A111" s="45" t="s">
        <v>245</v>
      </c>
      <c r="B111" s="27">
        <f>IF(61.81179="","-",61.81179)</f>
        <v>61.81179</v>
      </c>
      <c r="C111" s="27">
        <f>IF(OR(75.27938="",61.81179=""),"-",61.81179/75.27938*100)</f>
        <v>82.10985531496141</v>
      </c>
      <c r="D111" s="27">
        <f>IF(75.27938="","-",75.27938/2895177.69157*100)</f>
        <v>0.0026001644119873495</v>
      </c>
      <c r="E111" s="27">
        <f>IF(61.81179="","-",61.81179/3438777.31382*100)</f>
        <v>0.0017974932471371858</v>
      </c>
      <c r="F111" s="27">
        <f>IF(OR(2962405.08414="",80.70142="",75.27938=""),"-",(75.27938-80.70142)/2962405.08414*100)</f>
        <v>-0.00018302831132137486</v>
      </c>
      <c r="G111" s="27">
        <f>IF(OR(2895177.69157="",61.81179="",75.27938=""),"-",(61.81179-75.27938)/2895177.69157*100)</f>
        <v>-0.0004651731753534196</v>
      </c>
    </row>
    <row r="112" spans="1:7" ht="15.75">
      <c r="A112" s="45" t="s">
        <v>264</v>
      </c>
      <c r="B112" s="27">
        <f>IF(48.02256="","-",48.02256)</f>
        <v>48.02256</v>
      </c>
      <c r="C112" s="27">
        <f>IF(OR(47.27266="",48.02256=""),"-",48.02256/47.27266*100)</f>
        <v>101.58632918054538</v>
      </c>
      <c r="D112" s="27">
        <f>IF(47.27266="","-",47.27266/2895177.69157*100)</f>
        <v>0.001632806861480234</v>
      </c>
      <c r="E112" s="27">
        <f>IF(48.02256="","-",48.02256/3438777.31382*100)</f>
        <v>0.0013965010123512087</v>
      </c>
      <c r="F112" s="27">
        <f>IF(OR(2962405.08414="",53.79277="",47.27266=""),"-",(47.27266-53.79277)/2962405.08414*100)</f>
        <v>-0.0002200951529183867</v>
      </c>
      <c r="G112" s="27">
        <f>IF(OR(2895177.69157="",48.02256="",47.27266=""),"-",(48.02256-47.27266)/2895177.69157*100)</f>
        <v>2.5901691705607893E-05</v>
      </c>
    </row>
    <row r="113" spans="1:7" ht="15.75">
      <c r="A113" s="45" t="s">
        <v>265</v>
      </c>
      <c r="B113" s="27">
        <f>IF(46.35668="","-",46.35668)</f>
        <v>46.35668</v>
      </c>
      <c r="C113" s="27">
        <f>IF(OR(51.53101="",46.35668=""),"-",46.35668/51.53101*100)</f>
        <v>89.95880344670131</v>
      </c>
      <c r="D113" s="27">
        <f>IF(51.53101="","-",51.53101/2895177.69157*100)</f>
        <v>0.001779891097877855</v>
      </c>
      <c r="E113" s="27">
        <f>IF(46.35668="","-",46.35668/3438777.31382*100)</f>
        <v>0.0013480570496291959</v>
      </c>
      <c r="F113" s="27">
        <f>IF(OR(2962405.08414="",28.21909="",51.53101=""),"-",(51.53101-28.21909)/2962405.08414*100)</f>
        <v>0.0007869254655552133</v>
      </c>
      <c r="G113" s="27">
        <f>IF(OR(2895177.69157="",46.35668="",51.53101=""),"-",(46.35668-51.53101)/2895177.69157*100)</f>
        <v>-0.0001787223635725814</v>
      </c>
    </row>
    <row r="114" spans="1:7" ht="15.75">
      <c r="A114" s="50" t="s">
        <v>27</v>
      </c>
      <c r="B114" s="50"/>
      <c r="C114" s="50"/>
      <c r="D114" s="50"/>
      <c r="E114" s="50"/>
      <c r="F114" s="50"/>
      <c r="G114" s="50"/>
    </row>
  </sheetData>
  <sheetProtection/>
  <mergeCells count="10">
    <mergeCell ref="A114:G114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"/>
  <sheetViews>
    <sheetView zoomScalePageLayoutView="0" workbookViewId="0" topLeftCell="A1">
      <selection activeCell="I24" sqref="I24"/>
    </sheetView>
  </sheetViews>
  <sheetFormatPr defaultColWidth="9.00390625" defaultRowHeight="15.75"/>
  <cols>
    <col min="1" max="1" width="43.375" style="0" customWidth="1"/>
    <col min="2" max="3" width="12.625" style="0" customWidth="1"/>
    <col min="4" max="4" width="19.375" style="0" customWidth="1"/>
  </cols>
  <sheetData>
    <row r="1" spans="1:4" ht="15.75">
      <c r="A1" s="64" t="s">
        <v>34</v>
      </c>
      <c r="B1" s="64"/>
      <c r="C1" s="64"/>
      <c r="D1" s="64"/>
    </row>
    <row r="2" ht="10.5" customHeight="1">
      <c r="A2" s="4"/>
    </row>
    <row r="3" spans="1:5" ht="26.25" customHeight="1">
      <c r="A3" s="74"/>
      <c r="B3" s="78" t="s">
        <v>249</v>
      </c>
      <c r="C3" s="69"/>
      <c r="D3" s="70" t="s">
        <v>276</v>
      </c>
      <c r="E3" s="1"/>
    </row>
    <row r="4" spans="1:5" ht="26.25" customHeight="1">
      <c r="A4" s="75"/>
      <c r="B4" s="20">
        <v>2016</v>
      </c>
      <c r="C4" s="19">
        <v>2017</v>
      </c>
      <c r="D4" s="79"/>
      <c r="E4" s="1"/>
    </row>
    <row r="5" spans="1:4" ht="17.25" customHeight="1">
      <c r="A5" s="7" t="s">
        <v>199</v>
      </c>
      <c r="B5" s="34">
        <f>IF(-1462518.9726="","-",-1462518.9726)</f>
        <v>-1462518.9726</v>
      </c>
      <c r="C5" s="34">
        <f>IF(-1786984.589="","-",-1786984.589)</f>
        <v>-1786984.589</v>
      </c>
      <c r="D5" s="46">
        <f>IF(-1462518.9726="","-",-1786984.589/-1462518.9726*100)</f>
        <v>122.18539536777288</v>
      </c>
    </row>
    <row r="6" spans="1:4" ht="15.75">
      <c r="A6" s="8" t="s">
        <v>32</v>
      </c>
      <c r="B6" s="39"/>
      <c r="C6" s="38"/>
      <c r="D6" s="49"/>
    </row>
    <row r="7" spans="1:4" ht="15.75">
      <c r="A7" s="41" t="s">
        <v>4</v>
      </c>
      <c r="B7" s="26">
        <f>IF(-520683.72095="","-",-520683.72095)</f>
        <v>-520683.72095</v>
      </c>
      <c r="C7" s="26">
        <f>IF(-647098.41008="","-",-647098.41008)</f>
        <v>-647098.41008</v>
      </c>
      <c r="D7" s="47">
        <f>IF(-520683.72095="","-",-647098.41008/-520683.72095*100)</f>
        <v>124.27859447945737</v>
      </c>
    </row>
    <row r="8" spans="1:4" ht="15.75">
      <c r="A8" s="45" t="s">
        <v>7</v>
      </c>
      <c r="B8" s="27">
        <f>IF(-139878.14669="","-",-139878.14669)</f>
        <v>-139878.14669</v>
      </c>
      <c r="C8" s="27">
        <f>IF(-170089.23309="","-",-170089.23309)</f>
        <v>-170089.23309</v>
      </c>
      <c r="D8" s="48">
        <f>IF(OR(-139878.14669="",-170089.23309="",-139878.14669=0),"-",-170089.23309/-139878.14669*100)</f>
        <v>121.5981460398916</v>
      </c>
    </row>
    <row r="9" spans="1:4" ht="15.75">
      <c r="A9" s="45" t="s">
        <v>5</v>
      </c>
      <c r="B9" s="27">
        <f>IF(-39783.05918="","-",-39783.05918)</f>
        <v>-39783.05918</v>
      </c>
      <c r="C9" s="27">
        <f>IF(-83855.24391="","-",-83855.24391)</f>
        <v>-83855.24391</v>
      </c>
      <c r="D9" s="48" t="s">
        <v>184</v>
      </c>
    </row>
    <row r="10" spans="1:4" ht="15.75">
      <c r="A10" s="45" t="s">
        <v>6</v>
      </c>
      <c r="B10" s="27">
        <f>IF(-65095.99318="","-",-65095.99318)</f>
        <v>-65095.99318</v>
      </c>
      <c r="C10" s="27">
        <f>IF(-83285.71851="","-",-83285.71851)</f>
        <v>-83285.71851</v>
      </c>
      <c r="D10" s="48">
        <f>IF(OR(-65095.99318="",-83285.71851="",-65095.99318=0),"-",-83285.71851/-65095.99318*100)</f>
        <v>127.9429261947087</v>
      </c>
    </row>
    <row r="11" spans="1:4" ht="15.75">
      <c r="A11" s="45" t="s">
        <v>125</v>
      </c>
      <c r="B11" s="27">
        <f>IF(-54248.13278="","-",-54248.13278)</f>
        <v>-54248.13278</v>
      </c>
      <c r="C11" s="27">
        <f>IF(-64778.67326="","-",-64778.67326)</f>
        <v>-64778.67326</v>
      </c>
      <c r="D11" s="48">
        <f>IF(OR(-54248.13278="",-64778.67326="",-54248.13278=0),"-",-64778.67326/-54248.13278*100)</f>
        <v>119.41180265633469</v>
      </c>
    </row>
    <row r="12" spans="1:4" ht="15.75">
      <c r="A12" s="45" t="s">
        <v>8</v>
      </c>
      <c r="B12" s="27">
        <f>IF(-44145.73797="","-",-44145.73797)</f>
        <v>-44145.73797</v>
      </c>
      <c r="C12" s="27">
        <f>IF(-57052.18961="","-",-57052.18961)</f>
        <v>-57052.18961</v>
      </c>
      <c r="D12" s="48">
        <f>IF(OR(-44145.73797="",-57052.18961="",-44145.73797=0),"-",-57052.18961/-44145.73797*100)</f>
        <v>129.23600835208782</v>
      </c>
    </row>
    <row r="13" spans="1:4" ht="15.75">
      <c r="A13" s="45" t="s">
        <v>200</v>
      </c>
      <c r="B13" s="27">
        <f>IF(-39142.11355="","-",-39142.11355)</f>
        <v>-39142.11355</v>
      </c>
      <c r="C13" s="27">
        <f>IF(-56359.67593="","-",-56359.67593)</f>
        <v>-56359.67593</v>
      </c>
      <c r="D13" s="48">
        <f>IF(OR(-39142.11355="",-56359.67593="",-39142.11355=0),"-",-56359.67593/-39142.11355*100)</f>
        <v>143.98730885598792</v>
      </c>
    </row>
    <row r="14" spans="1:4" ht="15.75">
      <c r="A14" s="45" t="s">
        <v>11</v>
      </c>
      <c r="B14" s="27">
        <f>IF(-40008.81548="","-",-40008.81548)</f>
        <v>-40008.81548</v>
      </c>
      <c r="C14" s="27">
        <f>IF(-33955.65913="","-",-33955.65913)</f>
        <v>-33955.65913</v>
      </c>
      <c r="D14" s="48">
        <f>IF(OR(-40008.81548="",-33955.65913="",-40008.81548=0),"-",-33955.65913/-40008.81548*100)</f>
        <v>84.87044348257221</v>
      </c>
    </row>
    <row r="15" spans="1:4" ht="15.75">
      <c r="A15" s="45" t="s">
        <v>123</v>
      </c>
      <c r="B15" s="27">
        <f>IF(-31975.79264="","-",-31975.79264)</f>
        <v>-31975.79264</v>
      </c>
      <c r="C15" s="27">
        <f>IF(-27608.3811="","-",-27608.3811)</f>
        <v>-27608.3811</v>
      </c>
      <c r="D15" s="48">
        <f>IF(OR(-31975.79264="",-27608.3811="",-31975.79264=0),"-",-27608.3811/-31975.79264*100)</f>
        <v>86.3415065603828</v>
      </c>
    </row>
    <row r="16" spans="1:4" ht="15.75">
      <c r="A16" s="45" t="s">
        <v>10</v>
      </c>
      <c r="B16" s="27">
        <f>IF(-17446.35847="","-",-17446.35847)</f>
        <v>-17446.35847</v>
      </c>
      <c r="C16" s="27">
        <f>IF(-25983.58404="","-",-25983.58404)</f>
        <v>-25983.58404</v>
      </c>
      <c r="D16" s="48">
        <f>IF(OR(-17446.35847="",-25983.58404="",-17446.35847=0),"-",-25983.58404/-17446.35847*100)</f>
        <v>148.93414052382477</v>
      </c>
    </row>
    <row r="17" spans="1:4" ht="15.75">
      <c r="A17" s="45" t="s">
        <v>124</v>
      </c>
      <c r="B17" s="27">
        <f>IF(-15800.68613="","-",-15800.68613)</f>
        <v>-15800.68613</v>
      </c>
      <c r="C17" s="27">
        <f>IF(-18224.6440799999="","-",-18224.6440799999)</f>
        <v>-18224.6440799999</v>
      </c>
      <c r="D17" s="48">
        <f>IF(OR(-15800.68613="",-18224.6440799999="",-15800.68613=0),"-",-18224.6440799999/-15800.68613*100)</f>
        <v>115.34083982212422</v>
      </c>
    </row>
    <row r="18" spans="1:4" ht="15.75">
      <c r="A18" s="45" t="s">
        <v>13</v>
      </c>
      <c r="B18" s="27">
        <f>IF(-11952.23233="","-",-11952.23233)</f>
        <v>-11952.23233</v>
      </c>
      <c r="C18" s="27">
        <f>IF(-17555.57701="","-",-17555.57701)</f>
        <v>-17555.57701</v>
      </c>
      <c r="D18" s="48">
        <f>IF(OR(-11952.23233="",-17555.57701="",-11952.23233=0),"-",-17555.57701/-11952.23233*100)</f>
        <v>146.88115596561533</v>
      </c>
    </row>
    <row r="19" spans="1:4" ht="15.75">
      <c r="A19" s="45" t="s">
        <v>133</v>
      </c>
      <c r="B19" s="27">
        <f>IF(-12099.81742="","-",-12099.81742)</f>
        <v>-12099.81742</v>
      </c>
      <c r="C19" s="27">
        <f>IF(-12739.67208="","-",-12739.67208)</f>
        <v>-12739.67208</v>
      </c>
      <c r="D19" s="48">
        <f>IF(OR(-12099.81742="",-12739.67208="",-12099.81742=0),"-",-12739.67208/-12099.81742*100)</f>
        <v>105.28813483534367</v>
      </c>
    </row>
    <row r="20" spans="1:4" ht="15.75">
      <c r="A20" s="45" t="s">
        <v>135</v>
      </c>
      <c r="B20" s="27">
        <f>IF(-11061.27099="","-",-11061.27099)</f>
        <v>-11061.27099</v>
      </c>
      <c r="C20" s="27">
        <f>IF(-11661.18966="","-",-11661.18966)</f>
        <v>-11661.18966</v>
      </c>
      <c r="D20" s="48">
        <f>IF(OR(-11061.27099="",-11661.18966="",-11061.27099=0),"-",-11661.18966/-11061.27099*100)</f>
        <v>105.4235961721068</v>
      </c>
    </row>
    <row r="21" spans="1:4" ht="15.75">
      <c r="A21" s="45" t="s">
        <v>132</v>
      </c>
      <c r="B21" s="27">
        <f>IF(-8918.92242="","-",-8918.92242)</f>
        <v>-8918.92242</v>
      </c>
      <c r="C21" s="27">
        <f>IF(-10032.69805="","-",-10032.69805)</f>
        <v>-10032.69805</v>
      </c>
      <c r="D21" s="48">
        <f>IF(OR(-8918.92242="",-10032.69805="",-8918.92242=0),"-",-10032.69805/-8918.92242*100)</f>
        <v>112.48778246464441</v>
      </c>
    </row>
    <row r="22" spans="1:6" ht="15.75">
      <c r="A22" s="45" t="s">
        <v>131</v>
      </c>
      <c r="B22" s="27">
        <f>IF(-7295.00511="","-",-7295.00511)</f>
        <v>-7295.00511</v>
      </c>
      <c r="C22" s="27">
        <f>IF(-9857.00408="","-",-9857.00408)</f>
        <v>-9857.00408</v>
      </c>
      <c r="D22" s="48">
        <f>IF(OR(-7295.00511="",-9857.00408="",-7295.00511=0),"-",-9857.00408/-7295.00511*100)</f>
        <v>135.1199064478791</v>
      </c>
      <c r="F22" t="s">
        <v>227</v>
      </c>
    </row>
    <row r="23" spans="1:4" ht="15.75">
      <c r="A23" s="45" t="s">
        <v>127</v>
      </c>
      <c r="B23" s="27">
        <f>IF(-7914.50654="","-",-7914.50654)</f>
        <v>-7914.50654</v>
      </c>
      <c r="C23" s="27">
        <f>IF(-9528.34645="","-",-9528.34645)</f>
        <v>-9528.34645</v>
      </c>
      <c r="D23" s="48">
        <f>IF(OR(-7914.50654="",-9528.34645="",-7914.50654=0),"-",-9528.34645/-7914.50654*100)</f>
        <v>120.39091005666158</v>
      </c>
    </row>
    <row r="24" spans="1:4" ht="15.75">
      <c r="A24" s="45" t="s">
        <v>134</v>
      </c>
      <c r="B24" s="27">
        <f>IF(-9320.39749="","-",-9320.39749)</f>
        <v>-9320.39749</v>
      </c>
      <c r="C24" s="27">
        <f>IF(-9201.77227="","-",-9201.77227)</f>
        <v>-9201.77227</v>
      </c>
      <c r="D24" s="48">
        <f>IF(OR(-9320.39749="",-9201.77227="",-9320.39749=0),"-",-9201.77227/-9320.39749*100)</f>
        <v>98.72725149193181</v>
      </c>
    </row>
    <row r="25" spans="1:4" ht="15.75">
      <c r="A25" s="45" t="s">
        <v>136</v>
      </c>
      <c r="B25" s="27">
        <f>IF(-3712.80902="","-",-3712.80902)</f>
        <v>-3712.80902</v>
      </c>
      <c r="C25" s="27">
        <f>IF(-4556.28276="","-",-4556.28276)</f>
        <v>-4556.28276</v>
      </c>
      <c r="D25" s="48">
        <f>IF(OR(-3712.80902="",-4556.28276="",-3712.80902=0),"-",-4556.28276/-3712.80902*100)</f>
        <v>122.71794039112736</v>
      </c>
    </row>
    <row r="26" spans="1:4" ht="15.75">
      <c r="A26" s="45" t="s">
        <v>126</v>
      </c>
      <c r="B26" s="27">
        <f>IF(-5051.93565="","-",-5051.93565)</f>
        <v>-5051.93565</v>
      </c>
      <c r="C26" s="27">
        <f>IF(-2306.86891="","-",-2306.86891)</f>
        <v>-2306.86891</v>
      </c>
      <c r="D26" s="48">
        <f>IF(OR(-5051.93565="",-2306.86891="",-5051.93565=0),"-",-2306.86891/-5051.93565*100)</f>
        <v>45.66306995616621</v>
      </c>
    </row>
    <row r="27" spans="1:4" ht="15.75">
      <c r="A27" s="45" t="s">
        <v>128</v>
      </c>
      <c r="B27" s="27">
        <f>IF(-2474.87527="","-",-2474.87527)</f>
        <v>-2474.87527</v>
      </c>
      <c r="C27" s="27">
        <f>IF(-1963.69702="","-",-1963.69702)</f>
        <v>-1963.69702</v>
      </c>
      <c r="D27" s="48">
        <f>IF(OR(-2474.87527="",-1963.69702="",-2474.87527=0),"-",-1963.69702/-2474.87527*100)</f>
        <v>79.34529241952465</v>
      </c>
    </row>
    <row r="28" spans="1:4" ht="15.75">
      <c r="A28" s="45" t="s">
        <v>137</v>
      </c>
      <c r="B28" s="27">
        <f>IF(-1595.74636="","-",-1595.74636)</f>
        <v>-1595.74636</v>
      </c>
      <c r="C28" s="27">
        <f>IF(-1784.64546="","-",-1784.64546)</f>
        <v>-1784.64546</v>
      </c>
      <c r="D28" s="48">
        <f>IF(OR(-1595.74636="",-1784.64546="",-1595.74636=0),"-",-1784.64546/-1595.74636*100)</f>
        <v>111.83766447695358</v>
      </c>
    </row>
    <row r="29" spans="1:4" ht="15.75">
      <c r="A29" s="45" t="s">
        <v>129</v>
      </c>
      <c r="B29" s="27">
        <f>IF(-548.4827="","-",-548.4827)</f>
        <v>-548.4827</v>
      </c>
      <c r="C29" s="27">
        <f>IF(-1281.14709="","-",-1281.14709)</f>
        <v>-1281.14709</v>
      </c>
      <c r="D29" s="48" t="s">
        <v>241</v>
      </c>
    </row>
    <row r="30" spans="1:4" ht="15.75">
      <c r="A30" s="45" t="s">
        <v>201</v>
      </c>
      <c r="B30" s="27">
        <f>IF(-1094.32903="","-",-1094.32903)</f>
        <v>-1094.32903</v>
      </c>
      <c r="C30" s="27">
        <f>IF(-1013.49464="","-",-1013.49464)</f>
        <v>-1013.49464</v>
      </c>
      <c r="D30" s="48">
        <f>IF(OR(-1094.32903="",-1013.49464="",-1094.32903=0),"-",-1013.49464/-1094.32903*100)</f>
        <v>92.6133376905847</v>
      </c>
    </row>
    <row r="31" spans="1:4" ht="15.75">
      <c r="A31" s="45" t="s">
        <v>138</v>
      </c>
      <c r="B31" s="27">
        <f>IF(-213.0074="","-",-213.0074)</f>
        <v>-213.0074</v>
      </c>
      <c r="C31" s="27">
        <f>IF(-218.84504="","-",-218.84504)</f>
        <v>-218.84504</v>
      </c>
      <c r="D31" s="48">
        <f>IF(OR(-213.0074="",-218.84504="",-213.0074=0),"-",-218.84504/-213.0074*100)</f>
        <v>102.74058084367024</v>
      </c>
    </row>
    <row r="32" spans="1:4" ht="15.75">
      <c r="A32" s="45" t="s">
        <v>12</v>
      </c>
      <c r="B32" s="27">
        <f>IF(2671.69066="","-",2671.69066)</f>
        <v>2671.69066</v>
      </c>
      <c r="C32" s="27">
        <f>IF(3667.85535="","-",3667.85535)</f>
        <v>3667.85535</v>
      </c>
      <c r="D32" s="48">
        <f>IF(OR(2671.69066="",3667.85535="",2671.69066=0),"-",3667.85535/2671.69066*100)</f>
        <v>137.2859292774561</v>
      </c>
    </row>
    <row r="33" spans="1:4" ht="15.75">
      <c r="A33" s="45" t="s">
        <v>9</v>
      </c>
      <c r="B33" s="27">
        <f>IF(2369.10758="","-",2369.10758)</f>
        <v>2369.10758</v>
      </c>
      <c r="C33" s="27">
        <f>IF(5407.77776="","-",5407.77776)</f>
        <v>5407.77776</v>
      </c>
      <c r="D33" s="48">
        <f>IF(OR(2369.10758="",5407.77776="",2369.10758=0),"-",5407.77776/2369.10758*100)</f>
        <v>228.26222859833152</v>
      </c>
    </row>
    <row r="34" spans="1:4" ht="15.75">
      <c r="A34" s="45" t="s">
        <v>130</v>
      </c>
      <c r="B34" s="27">
        <f>IF(2030.60888="","-",2030.60888)</f>
        <v>2030.60888</v>
      </c>
      <c r="C34" s="27">
        <f>IF(5601.01286="","-",5601.01286)</f>
        <v>5601.01286</v>
      </c>
      <c r="D34" s="48" t="s">
        <v>185</v>
      </c>
    </row>
    <row r="35" spans="1:4" ht="15.75">
      <c r="A35" s="45" t="s">
        <v>209</v>
      </c>
      <c r="B35" s="27">
        <f>IF(43023.04573="","-",43023.04573)</f>
        <v>43023.04573</v>
      </c>
      <c r="C35" s="27">
        <f>IF(53119.18713="","-",53119.18713)</f>
        <v>53119.18713</v>
      </c>
      <c r="D35" s="48">
        <f>IF(OR(43023.04573="",53119.18713="",43023.04573=0),"-",53119.18713/43023.04573*100)</f>
        <v>123.46682162708893</v>
      </c>
    </row>
    <row r="36" spans="1:4" ht="15.75">
      <c r="A36" s="41" t="s">
        <v>14</v>
      </c>
      <c r="B36" s="26">
        <f>IF(-428272.65314="","-",-428272.65314)</f>
        <v>-428272.65314</v>
      </c>
      <c r="C36" s="26">
        <f>IF(-514148.42284="","-",-514148.42284)</f>
        <v>-514148.42284</v>
      </c>
      <c r="D36" s="47">
        <f>IF(-428272.65314="","-",-514148.42284/-428272.65314*100)</f>
        <v>120.05165846345265</v>
      </c>
    </row>
    <row r="37" spans="1:4" ht="15.75">
      <c r="A37" s="45" t="s">
        <v>16</v>
      </c>
      <c r="B37" s="27">
        <f>IF(-243097.18369="","-",-243097.18369)</f>
        <v>-243097.18369</v>
      </c>
      <c r="C37" s="27">
        <f>IF(-326245.00369="","-",-326245.00369)</f>
        <v>-326245.00369</v>
      </c>
      <c r="D37" s="48">
        <f>IF(OR(-243097.18369="",-326245.00369="",-243097.18369=0),"-",-326245.00369/-243097.18369*100)</f>
        <v>134.2035307599577</v>
      </c>
    </row>
    <row r="38" spans="1:4" ht="15.75">
      <c r="A38" s="45" t="s">
        <v>210</v>
      </c>
      <c r="B38" s="27">
        <f>IF(-203174.73172="","-",-203174.73172)</f>
        <v>-203174.73172</v>
      </c>
      <c r="C38" s="27">
        <f>IF(-202420.99181="","-",-202420.99181)</f>
        <v>-202420.99181</v>
      </c>
      <c r="D38" s="48">
        <f>IF(OR(-203174.73172="",-202420.99181="",-203174.73172=0),"-",-202420.99181/-203174.73172*100)</f>
        <v>99.62901887276084</v>
      </c>
    </row>
    <row r="39" spans="1:4" ht="15.75">
      <c r="A39" s="45" t="s">
        <v>15</v>
      </c>
      <c r="B39" s="27">
        <f>IF(5024.9188="","-",5024.9188)</f>
        <v>5024.9188</v>
      </c>
      <c r="C39" s="27">
        <f>IF(-1912.81="","-",-1912.81)</f>
        <v>-1912.81</v>
      </c>
      <c r="D39" s="48" t="s">
        <v>33</v>
      </c>
    </row>
    <row r="40" spans="1:4" ht="15.75">
      <c r="A40" s="45" t="s">
        <v>22</v>
      </c>
      <c r="B40" s="27">
        <f>IF(381.75449="","-",381.75449)</f>
        <v>381.75449</v>
      </c>
      <c r="C40" s="27">
        <f>IF(310.11308="","-",310.11308)</f>
        <v>310.11308</v>
      </c>
      <c r="D40" s="48">
        <f>IF(OR(381.75449="",310.11308="",381.75449=0),"-",310.11308/381.75449*100)</f>
        <v>81.23364311969193</v>
      </c>
    </row>
    <row r="41" spans="1:4" ht="15.75">
      <c r="A41" s="45" t="s">
        <v>23</v>
      </c>
      <c r="B41" s="27">
        <f>IF(318.92933="","-",318.92933)</f>
        <v>318.92933</v>
      </c>
      <c r="C41" s="27">
        <f>IF(325.91427="","-",325.91427)</f>
        <v>325.91427</v>
      </c>
      <c r="D41" s="48">
        <f>IF(OR(318.92933="",325.91427="",318.92933=0),"-",325.91427/318.92933*100)</f>
        <v>102.19012155451492</v>
      </c>
    </row>
    <row r="42" spans="1:4" ht="15.75">
      <c r="A42" s="45" t="s">
        <v>19</v>
      </c>
      <c r="B42" s="27">
        <f>IF(1135.83158="","-",1135.83158)</f>
        <v>1135.83158</v>
      </c>
      <c r="C42" s="27">
        <f>IF(454.64099="","-",454.64099)</f>
        <v>454.64099</v>
      </c>
      <c r="D42" s="48">
        <f>IF(OR(1135.83158="",454.64099="",1135.83158=0),"-",454.64099/1135.83158*100)</f>
        <v>40.02714821505491</v>
      </c>
    </row>
    <row r="43" spans="1:4" ht="15.75">
      <c r="A43" s="45" t="s">
        <v>21</v>
      </c>
      <c r="B43" s="27">
        <f>IF(908.93983="","-",908.93983)</f>
        <v>908.93983</v>
      </c>
      <c r="C43" s="27">
        <f>IF(503.44108="","-",503.44108)</f>
        <v>503.44108</v>
      </c>
      <c r="D43" s="48">
        <f>IF(OR(908.93983="",503.44108="",908.93983=0),"-",503.44108/908.93983*100)</f>
        <v>55.387723519608556</v>
      </c>
    </row>
    <row r="44" spans="1:4" ht="15.75">
      <c r="A44" s="45" t="s">
        <v>20</v>
      </c>
      <c r="B44" s="27">
        <f>IF(1364.78876="","-",1364.78876)</f>
        <v>1364.78876</v>
      </c>
      <c r="C44" s="27">
        <f>IF(615.98924="","-",615.98924)</f>
        <v>615.98924</v>
      </c>
      <c r="D44" s="48">
        <f>IF(OR(1364.78876="",615.98924="",1364.78876=0),"-",615.98924/1364.78876*100)</f>
        <v>45.134401605124594</v>
      </c>
    </row>
    <row r="45" spans="1:4" ht="15.75">
      <c r="A45" s="45" t="s">
        <v>18</v>
      </c>
      <c r="B45" s="27">
        <f>IF(2199.27758="","-",2199.27758)</f>
        <v>2199.27758</v>
      </c>
      <c r="C45" s="27">
        <f>IF(3374.0857="","-",3374.0857)</f>
        <v>3374.0857</v>
      </c>
      <c r="D45" s="48">
        <f>IF(OR(2199.27758="",3374.0857="",2199.27758=0),"-",3374.0857/2199.27758*100)</f>
        <v>153.41791007572587</v>
      </c>
    </row>
    <row r="46" spans="1:4" ht="15.75">
      <c r="A46" s="45" t="s">
        <v>17</v>
      </c>
      <c r="B46" s="27">
        <f>IF(6664.8219="","-",6664.8219)</f>
        <v>6664.8219</v>
      </c>
      <c r="C46" s="27">
        <f>IF(10846.1983="","-",10846.1983)</f>
        <v>10846.1983</v>
      </c>
      <c r="D46" s="48" t="s">
        <v>215</v>
      </c>
    </row>
    <row r="47" spans="1:4" ht="15.75">
      <c r="A47" s="9" t="s">
        <v>24</v>
      </c>
      <c r="B47" s="26">
        <f>IF(-513562.59851="","-",-513562.59851)</f>
        <v>-513562.59851</v>
      </c>
      <c r="C47" s="26">
        <f>IF(-625737.75608="","-",-625737.75608)</f>
        <v>-625737.75608</v>
      </c>
      <c r="D47" s="47">
        <f>IF(-513562.59851="","-",-625737.75608/-513562.59851*100)</f>
        <v>121.8425480935438</v>
      </c>
    </row>
    <row r="48" spans="1:4" ht="15.75">
      <c r="A48" s="45" t="s">
        <v>142</v>
      </c>
      <c r="B48" s="27">
        <f>IF(-269045.37079="","-",-269045.37079)</f>
        <v>-269045.37079</v>
      </c>
      <c r="C48" s="27">
        <f>IF(-341612.81595="","-",-341612.81595)</f>
        <v>-341612.81595</v>
      </c>
      <c r="D48" s="48">
        <f>IF(OR(-269045.37079="",-341612.81595="",-269045.37079=0),"-",-341612.81595/-269045.37079*100)</f>
        <v>126.97219615670012</v>
      </c>
    </row>
    <row r="49" spans="1:4" ht="15.75">
      <c r="A49" s="45" t="s">
        <v>139</v>
      </c>
      <c r="B49" s="27">
        <f>IF(-152593.80105="","-",-152593.80105)</f>
        <v>-152593.80105</v>
      </c>
      <c r="C49" s="27">
        <f>IF(-150712.05246="","-",-150712.05246)</f>
        <v>-150712.05246</v>
      </c>
      <c r="D49" s="48">
        <f>IF(OR(-152593.80105="",-150712.05246="",-152593.80105=0),"-",-150712.05246/-152593.80105*100)</f>
        <v>98.7668250105498</v>
      </c>
    </row>
    <row r="50" spans="1:4" ht="15.75">
      <c r="A50" s="45" t="s">
        <v>25</v>
      </c>
      <c r="B50" s="27">
        <f>IF(-28285.48102="","-",-28285.48102)</f>
        <v>-28285.48102</v>
      </c>
      <c r="C50" s="27">
        <f>IF(-41901.45479="","-",-41901.45479)</f>
        <v>-41901.45479</v>
      </c>
      <c r="D50" s="48">
        <f>IF(OR(-28285.48102="",-41901.45479="",-28285.48102=0),"-",-41901.45479/-28285.48102*100)</f>
        <v>148.13767798529736</v>
      </c>
    </row>
    <row r="51" spans="1:4" ht="15.75">
      <c r="A51" s="45" t="s">
        <v>157</v>
      </c>
      <c r="B51" s="27">
        <f>IF(-13648.87569="","-",-13648.87569)</f>
        <v>-13648.87569</v>
      </c>
      <c r="C51" s="27">
        <f>IF(-23847.11067="","-",-23847.11067)</f>
        <v>-23847.11067</v>
      </c>
      <c r="D51" s="48" t="s">
        <v>214</v>
      </c>
    </row>
    <row r="52" spans="1:4" ht="15.75">
      <c r="A52" s="45" t="s">
        <v>161</v>
      </c>
      <c r="B52" s="27">
        <f>IF(-20155.99048="","-",-20155.99048)</f>
        <v>-20155.99048</v>
      </c>
      <c r="C52" s="27">
        <f>IF(-23757.00767="","-",-23757.00767)</f>
        <v>-23757.00767</v>
      </c>
      <c r="D52" s="48">
        <f>IF(OR(-20155.99048="",-23757.00767="",-20155.99048=0),"-",-23757.00767/-20155.99048*100)</f>
        <v>117.86574166907424</v>
      </c>
    </row>
    <row r="53" spans="1:4" ht="15.75">
      <c r="A53" s="45" t="s">
        <v>114</v>
      </c>
      <c r="B53" s="27">
        <f>IF(-16794.51786="","-",-16794.51786)</f>
        <v>-16794.51786</v>
      </c>
      <c r="C53" s="27">
        <f>IF(-19649.40316="","-",-19649.40316)</f>
        <v>-19649.40316</v>
      </c>
      <c r="D53" s="48">
        <f>IF(OR(-16794.51786="",-19649.40316="",-16794.51786=0),"-",-19649.40316/-16794.51786*100)</f>
        <v>116.99891192946697</v>
      </c>
    </row>
    <row r="54" spans="1:4" ht="15.75">
      <c r="A54" s="45" t="s">
        <v>154</v>
      </c>
      <c r="B54" s="27">
        <f>IF(-15363.39448="","-",-15363.39448)</f>
        <v>-15363.39448</v>
      </c>
      <c r="C54" s="27">
        <f>IF(-19228.39852="","-",-19228.39852)</f>
        <v>-19228.39852</v>
      </c>
      <c r="D54" s="48">
        <f>IF(OR(-15363.39448="",-19228.39852="",-15363.39448=0),"-",-19228.39852/-15363.39448*100)</f>
        <v>125.15722710258754</v>
      </c>
    </row>
    <row r="55" spans="1:4" ht="15.75">
      <c r="A55" s="45" t="s">
        <v>155</v>
      </c>
      <c r="B55" s="27">
        <f>IF(-9467.86479="","-",-9467.86479)</f>
        <v>-9467.86479</v>
      </c>
      <c r="C55" s="27">
        <f>IF(-12526.63142="","-",-12526.63142)</f>
        <v>-12526.63142</v>
      </c>
      <c r="D55" s="48">
        <f>IF(OR(-9467.86479="",-12526.63142="",-9467.86479=0),"-",-12526.63142/-9467.86479*100)</f>
        <v>132.30682627862075</v>
      </c>
    </row>
    <row r="56" spans="1:4" ht="15.75">
      <c r="A56" s="45" t="s">
        <v>166</v>
      </c>
      <c r="B56" s="27">
        <f>IF(-6982.30474="","-",-6982.30474)</f>
        <v>-6982.30474</v>
      </c>
      <c r="C56" s="27">
        <f>IF(-8816.79595="","-",-8816.79595)</f>
        <v>-8816.79595</v>
      </c>
      <c r="D56" s="48">
        <f>IF(OR(-6982.30474="",-8816.79595="",-6982.30474=0),"-",-8816.79595/-6982.30474*100)</f>
        <v>126.27343374875386</v>
      </c>
    </row>
    <row r="57" spans="1:4" ht="15.75">
      <c r="A57" s="45" t="s">
        <v>156</v>
      </c>
      <c r="B57" s="27">
        <f>IF(-2845.94656="","-",-2845.94656)</f>
        <v>-2845.94656</v>
      </c>
      <c r="C57" s="27">
        <f>IF(-6242.09907="","-",-6242.09907)</f>
        <v>-6242.09907</v>
      </c>
      <c r="D57" s="48" t="s">
        <v>193</v>
      </c>
    </row>
    <row r="58" spans="1:4" ht="15.75">
      <c r="A58" s="45" t="s">
        <v>151</v>
      </c>
      <c r="B58" s="27">
        <f>IF(-11142.47361="","-",-11142.47361)</f>
        <v>-11142.47361</v>
      </c>
      <c r="C58" s="27">
        <f>IF(-5941.10885="","-",-5941.10885)</f>
        <v>-5941.10885</v>
      </c>
      <c r="D58" s="48">
        <f>IF(OR(-11142.47361="",-5941.10885="",-11142.47361=0),"-",-5941.10885/-11142.47361*100)</f>
        <v>53.31947876159251</v>
      </c>
    </row>
    <row r="59" spans="1:4" ht="15.75">
      <c r="A59" s="45" t="s">
        <v>147</v>
      </c>
      <c r="B59" s="27">
        <f>IF(948.99283="","-",948.99283)</f>
        <v>948.99283</v>
      </c>
      <c r="C59" s="27">
        <f>IF(-5636.03646="","-",-5636.03646)</f>
        <v>-5636.03646</v>
      </c>
      <c r="D59" s="48" t="s">
        <v>33</v>
      </c>
    </row>
    <row r="60" spans="1:4" ht="15.75">
      <c r="A60" s="45" t="s">
        <v>163</v>
      </c>
      <c r="B60" s="27">
        <f>IF(-3728.54142="","-",-3728.54142)</f>
        <v>-3728.54142</v>
      </c>
      <c r="C60" s="27">
        <f>IF(-5298.46656="","-",-5298.46656)</f>
        <v>-5298.46656</v>
      </c>
      <c r="D60" s="48">
        <f>IF(OR(-3728.54142="",-5298.46656="",-3728.54142=0),"-",-5298.46656/-3728.54142*100)</f>
        <v>142.1056108315943</v>
      </c>
    </row>
    <row r="61" spans="1:7" ht="15.75">
      <c r="A61" s="45" t="s">
        <v>169</v>
      </c>
      <c r="B61" s="27">
        <f>IF(-3261.09074="","-",-3261.09074)</f>
        <v>-3261.09074</v>
      </c>
      <c r="C61" s="27">
        <f>IF(-4965.39311="","-",-4965.39311)</f>
        <v>-4965.39311</v>
      </c>
      <c r="D61" s="48">
        <f>IF(OR(-3261.09074="",-4965.39311="",-3261.09074=0),"-",-4965.39311/-3261.09074*100)</f>
        <v>152.261727927264</v>
      </c>
      <c r="E61" s="1"/>
      <c r="F61" s="1"/>
      <c r="G61" s="1"/>
    </row>
    <row r="62" spans="1:4" ht="15.75">
      <c r="A62" s="45" t="s">
        <v>167</v>
      </c>
      <c r="B62" s="27">
        <f>IF(-3554.44283="","-",-3554.44283)</f>
        <v>-3554.44283</v>
      </c>
      <c r="C62" s="27">
        <f>IF(-4761.63492="","-",-4761.63492)</f>
        <v>-4761.63492</v>
      </c>
      <c r="D62" s="48">
        <f>IF(OR(-3554.44283="",-4761.63492="",-3554.44283=0),"-",-4761.63492/-3554.44283*100)</f>
        <v>133.96290636076992</v>
      </c>
    </row>
    <row r="63" spans="1:4" ht="15.75">
      <c r="A63" s="45" t="s">
        <v>168</v>
      </c>
      <c r="B63" s="27">
        <f>IF(-4772.26819="","-",-4772.26819)</f>
        <v>-4772.26819</v>
      </c>
      <c r="C63" s="27">
        <f>IF(-4162.67822="","-",-4162.67822)</f>
        <v>-4162.67822</v>
      </c>
      <c r="D63" s="48">
        <f>IF(OR(-4772.26819="",-4162.67822="",-4772.26819=0),"-",-4162.67822/-4772.26819*100)</f>
        <v>87.22641004800697</v>
      </c>
    </row>
    <row r="64" spans="1:4" ht="15.75">
      <c r="A64" s="45" t="s">
        <v>145</v>
      </c>
      <c r="B64" s="27">
        <f>IF(-3631.98764="","-",-3631.98764)</f>
        <v>-3631.98764</v>
      </c>
      <c r="C64" s="27">
        <f>IF(-4149.2899="","-",-4149.2899)</f>
        <v>-4149.2899</v>
      </c>
      <c r="D64" s="48">
        <f>IF(OR(-3631.98764="",-4149.2899="",-3631.98764=0),"-",-4149.2899/-3631.98764*100)</f>
        <v>114.24295210431939</v>
      </c>
    </row>
    <row r="65" spans="1:4" ht="15.75">
      <c r="A65" s="45" t="s">
        <v>170</v>
      </c>
      <c r="B65" s="27">
        <f>IF(-3040.21635="","-",-3040.21635)</f>
        <v>-3040.21635</v>
      </c>
      <c r="C65" s="27">
        <f>IF(-3846.69067="","-",-3846.69067)</f>
        <v>-3846.69067</v>
      </c>
      <c r="D65" s="48">
        <f>IF(OR(-3040.21635="",-3846.69067="",-3040.21635=0),"-",-3846.69067/-3040.21635*100)</f>
        <v>126.52687266812441</v>
      </c>
    </row>
    <row r="66" spans="1:4" ht="15.75">
      <c r="A66" s="45" t="s">
        <v>149</v>
      </c>
      <c r="B66" s="27">
        <f>IF(-1511.02603="","-",-1511.02603)</f>
        <v>-1511.02603</v>
      </c>
      <c r="C66" s="27">
        <f>IF(-3157.4237="","-",-3157.4237)</f>
        <v>-3157.4237</v>
      </c>
      <c r="D66" s="48" t="s">
        <v>184</v>
      </c>
    </row>
    <row r="67" spans="1:4" ht="15.75">
      <c r="A67" s="45" t="s">
        <v>171</v>
      </c>
      <c r="B67" s="27">
        <f>IF(-2554.974="","-",-2554.974)</f>
        <v>-2554.974</v>
      </c>
      <c r="C67" s="27">
        <f>IF(-2967.57496="","-",-2967.57496)</f>
        <v>-2967.57496</v>
      </c>
      <c r="D67" s="48">
        <f>IF(OR(-2554.974="",-2967.57496="",-2554.974=0),"-",-2967.57496/-2554.974*100)</f>
        <v>116.14892989126307</v>
      </c>
    </row>
    <row r="68" spans="1:7" ht="15.75">
      <c r="A68" s="45" t="s">
        <v>174</v>
      </c>
      <c r="B68" s="27">
        <f>IF(-958.80185="","-",-958.80185)</f>
        <v>-958.80185</v>
      </c>
      <c r="C68" s="27">
        <f>IF(-2711.95715="","-",-2711.95715)</f>
        <v>-2711.95715</v>
      </c>
      <c r="D68" s="48" t="s">
        <v>185</v>
      </c>
      <c r="E68" s="1"/>
      <c r="F68" s="1"/>
      <c r="G68" s="1"/>
    </row>
    <row r="69" spans="1:4" ht="15.75">
      <c r="A69" s="45" t="s">
        <v>172</v>
      </c>
      <c r="B69" s="27">
        <f>IF(-2272.47969="","-",-2272.47969)</f>
        <v>-2272.47969</v>
      </c>
      <c r="C69" s="27">
        <f>IF(-2186.60543="","-",-2186.60543)</f>
        <v>-2186.60543</v>
      </c>
      <c r="D69" s="48">
        <f>IF(OR(-2272.47969="",-2186.60543="",-2272.47969=0),"-",-2186.60543/-2272.47969*100)</f>
        <v>96.22112090251508</v>
      </c>
    </row>
    <row r="70" spans="1:4" ht="15.75">
      <c r="A70" s="45" t="s">
        <v>121</v>
      </c>
      <c r="B70" s="27">
        <f>IF(-2353.75226="","-",-2353.75226)</f>
        <v>-2353.75226</v>
      </c>
      <c r="C70" s="27">
        <f>IF(-2000.45394="","-",-2000.45394)</f>
        <v>-2000.45394</v>
      </c>
      <c r="D70" s="48">
        <f>IF(OR(-2353.75226="",-2000.45394="",-2353.75226=0),"-",-2000.45394/-2353.75226*100)</f>
        <v>84.98999550615407</v>
      </c>
    </row>
    <row r="71" spans="1:4" ht="15.75">
      <c r="A71" s="45" t="s">
        <v>159</v>
      </c>
      <c r="B71" s="27">
        <f>IF(-753.56293="","-",-753.56293)</f>
        <v>-753.56293</v>
      </c>
      <c r="C71" s="27">
        <f>IF(-1711.84412="","-",-1711.84412)</f>
        <v>-1711.84412</v>
      </c>
      <c r="D71" s="48" t="s">
        <v>241</v>
      </c>
    </row>
    <row r="72" spans="1:4" ht="15.75">
      <c r="A72" s="45" t="s">
        <v>175</v>
      </c>
      <c r="B72" s="27">
        <f>IF(-1009.04416="","-",-1009.04416)</f>
        <v>-1009.04416</v>
      </c>
      <c r="C72" s="27">
        <f>IF(-1569.95755="","-",-1569.95755)</f>
        <v>-1569.95755</v>
      </c>
      <c r="D72" s="48" t="s">
        <v>215</v>
      </c>
    </row>
    <row r="73" spans="1:4" ht="15.75">
      <c r="A73" s="45" t="s">
        <v>180</v>
      </c>
      <c r="B73" s="27">
        <f>IF(-630.90212="","-",-630.90212)</f>
        <v>-630.90212</v>
      </c>
      <c r="C73" s="27">
        <f>IF(-1442.21292="","-",-1442.21292)</f>
        <v>-1442.21292</v>
      </c>
      <c r="D73" s="48" t="s">
        <v>241</v>
      </c>
    </row>
    <row r="74" spans="1:4" ht="15.75">
      <c r="A74" s="45" t="s">
        <v>158</v>
      </c>
      <c r="B74" s="27">
        <f>IF(-148.46261="","-",-148.46261)</f>
        <v>-148.46261</v>
      </c>
      <c r="C74" s="27">
        <f>IF(-1260.40965="","-",-1260.40965)</f>
        <v>-1260.40965</v>
      </c>
      <c r="D74" s="48" t="s">
        <v>260</v>
      </c>
    </row>
    <row r="75" spans="1:4" ht="15.75">
      <c r="A75" s="45" t="s">
        <v>173</v>
      </c>
      <c r="B75" s="27">
        <f>IF(-1010.42931="","-",-1010.42931)</f>
        <v>-1010.42931</v>
      </c>
      <c r="C75" s="27">
        <f>IF(-928.91854="","-",-928.91854)</f>
        <v>-928.91854</v>
      </c>
      <c r="D75" s="48">
        <f>IF(OR(-1010.42931="",-928.91854="",-1010.42931=0),"-",-928.91854/-1010.42931*100)</f>
        <v>91.93305566324081</v>
      </c>
    </row>
    <row r="76" spans="1:7" ht="15.75">
      <c r="A76" s="45" t="s">
        <v>176</v>
      </c>
      <c r="B76" s="27">
        <f>IF(-919.80622="","-",-919.80622)</f>
        <v>-919.80622</v>
      </c>
      <c r="C76" s="27">
        <f>IF(-785.39297="","-",-785.39297)</f>
        <v>-785.39297</v>
      </c>
      <c r="D76" s="48">
        <f>IF(OR(-919.80622="",-785.39297="",-919.80622=0),"-",-785.39297/-919.80622*100)</f>
        <v>85.38678614284647</v>
      </c>
      <c r="E76" s="24"/>
      <c r="F76" s="24"/>
      <c r="G76" s="24"/>
    </row>
    <row r="77" spans="1:4" ht="15.75">
      <c r="A77" s="45" t="s">
        <v>181</v>
      </c>
      <c r="B77" s="27">
        <f>IF(-585.11121="","-",-585.11121)</f>
        <v>-585.11121</v>
      </c>
      <c r="C77" s="27">
        <f>IF(-779.31465="","-",-779.31465)</f>
        <v>-779.31465</v>
      </c>
      <c r="D77" s="48">
        <f>IF(OR(-585.11121="",-779.31465="",-585.11121=0),"-",-779.31465/-585.11121*100)</f>
        <v>133.19085956326148</v>
      </c>
    </row>
    <row r="78" spans="1:4" ht="15.75">
      <c r="A78" s="45" t="s">
        <v>153</v>
      </c>
      <c r="B78" s="27">
        <f>IF(-768.7067="","-",-768.7067)</f>
        <v>-768.7067</v>
      </c>
      <c r="C78" s="27">
        <f>IF(-713.74675="","-",-713.74675)</f>
        <v>-713.74675</v>
      </c>
      <c r="D78" s="48">
        <f>IF(OR(-768.7067="",-713.74675="",-768.7067=0),"-",-713.74675/-768.7067*100)</f>
        <v>92.85033550507626</v>
      </c>
    </row>
    <row r="79" spans="1:4" ht="15.75">
      <c r="A79" s="45" t="s">
        <v>144</v>
      </c>
      <c r="B79" s="27">
        <f>IF(3226.77926="","-",3226.77926)</f>
        <v>3226.77926</v>
      </c>
      <c r="C79" s="27">
        <f>IF(-650.00564="","-",-650.00564)</f>
        <v>-650.00564</v>
      </c>
      <c r="D79" s="48" t="s">
        <v>33</v>
      </c>
    </row>
    <row r="80" spans="1:4" ht="15.75">
      <c r="A80" s="45" t="s">
        <v>177</v>
      </c>
      <c r="B80" s="27">
        <f>IF(-840.98572="","-",-840.98572)</f>
        <v>-840.98572</v>
      </c>
      <c r="C80" s="27">
        <f>IF(-613.41641="","-",-613.41641)</f>
        <v>-613.41641</v>
      </c>
      <c r="D80" s="48">
        <f>IF(OR(-840.98572="",-613.41641="",-840.98572=0),"-",-613.41641/-840.98572*100)</f>
        <v>72.94016954295014</v>
      </c>
    </row>
    <row r="81" spans="1:4" ht="15.75">
      <c r="A81" s="45" t="s">
        <v>165</v>
      </c>
      <c r="B81" s="27">
        <f>IF(-259.01723="","-",-259.01723)</f>
        <v>-259.01723</v>
      </c>
      <c r="C81" s="27">
        <f>IF(-544.78885="","-",-544.78885)</f>
        <v>-544.78885</v>
      </c>
      <c r="D81" s="48" t="s">
        <v>184</v>
      </c>
    </row>
    <row r="82" spans="1:4" ht="15.75">
      <c r="A82" s="45" t="s">
        <v>191</v>
      </c>
      <c r="B82" s="27">
        <f>IF(-329.77509="","-",-329.77509)</f>
        <v>-329.77509</v>
      </c>
      <c r="C82" s="27">
        <f>IF(-528.95583="","-",-528.95583)</f>
        <v>-528.95583</v>
      </c>
      <c r="D82" s="48" t="s">
        <v>215</v>
      </c>
    </row>
    <row r="83" spans="1:4" ht="15.75">
      <c r="A83" s="45" t="s">
        <v>178</v>
      </c>
      <c r="B83" s="27">
        <f>IF(-729.77874="","-",-729.77874)</f>
        <v>-729.77874</v>
      </c>
      <c r="C83" s="27">
        <f>IF(-481.91293="","-",-481.91293)</f>
        <v>-481.91293</v>
      </c>
      <c r="D83" s="48">
        <f>IF(OR(-729.77874="",-481.91293="",-729.77874=0),"-",-481.91293/-729.77874*100)</f>
        <v>66.03548494712247</v>
      </c>
    </row>
    <row r="84" spans="1:4" ht="15.75">
      <c r="A84" s="45" t="s">
        <v>183</v>
      </c>
      <c r="B84" s="27">
        <f>IF(-394.68515="","-",-394.68515)</f>
        <v>-394.68515</v>
      </c>
      <c r="C84" s="27">
        <f>IF(-455.76875="","-",-455.76875)</f>
        <v>-455.76875</v>
      </c>
      <c r="D84" s="48">
        <f>IF(OR(-394.68515="",-455.76875="",-394.68515=0),"-",-455.76875/-394.68515*100)</f>
        <v>115.47653870433179</v>
      </c>
    </row>
    <row r="85" spans="1:4" ht="15.75">
      <c r="A85" s="45" t="s">
        <v>205</v>
      </c>
      <c r="B85" s="27">
        <f>IF(227.30383="","-",227.30383)</f>
        <v>227.30383</v>
      </c>
      <c r="C85" s="27">
        <f>IF(-403.31951="","-",-403.31951)</f>
        <v>-403.31951</v>
      </c>
      <c r="D85" s="48" t="s">
        <v>33</v>
      </c>
    </row>
    <row r="86" spans="1:4" ht="15.75">
      <c r="A86" s="45" t="s">
        <v>179</v>
      </c>
      <c r="B86" s="27">
        <f>IF(-650.27172="","-",-650.27172)</f>
        <v>-650.27172</v>
      </c>
      <c r="C86" s="27">
        <f>IF(-402.29447="","-",-402.29447)</f>
        <v>-402.29447</v>
      </c>
      <c r="D86" s="48">
        <f>IF(OR(-650.27172="",-402.29447="",-650.27172=0),"-",-402.29447/-650.27172*100)</f>
        <v>61.86559520072624</v>
      </c>
    </row>
    <row r="87" spans="1:4" ht="15.75">
      <c r="A87" s="45" t="s">
        <v>182</v>
      </c>
      <c r="B87" s="27">
        <f>IF(-164.86693="","-",-164.86693)</f>
        <v>-164.86693</v>
      </c>
      <c r="C87" s="27">
        <f>IF(-356.61532="","-",-356.61532)</f>
        <v>-356.61532</v>
      </c>
      <c r="D87" s="48" t="s">
        <v>193</v>
      </c>
    </row>
    <row r="88" spans="1:4" ht="15.75">
      <c r="A88" s="45" t="s">
        <v>211</v>
      </c>
      <c r="B88" s="27">
        <f>IF(127.76487="","-",127.76487)</f>
        <v>127.76487</v>
      </c>
      <c r="C88" s="27">
        <f>IF(-261.11773="","-",-261.11773)</f>
        <v>-261.11773</v>
      </c>
      <c r="D88" s="48" t="s">
        <v>33</v>
      </c>
    </row>
    <row r="89" spans="1:4" ht="15.75">
      <c r="A89" s="45" t="s">
        <v>190</v>
      </c>
      <c r="B89" s="27">
        <f>IF(-125.47499="","-",-125.47499)</f>
        <v>-125.47499</v>
      </c>
      <c r="C89" s="27">
        <f>IF(-221.24834="","-",-221.24834)</f>
        <v>-221.24834</v>
      </c>
      <c r="D89" s="48" t="s">
        <v>213</v>
      </c>
    </row>
    <row r="90" spans="1:4" ht="15.75">
      <c r="A90" s="45" t="s">
        <v>192</v>
      </c>
      <c r="B90" s="27">
        <f>IF(-38.60724="","-",-38.60724)</f>
        <v>-38.60724</v>
      </c>
      <c r="C90" s="27">
        <f>IF(-182.95808="","-",-182.95808)</f>
        <v>-182.95808</v>
      </c>
      <c r="D90" s="48" t="s">
        <v>243</v>
      </c>
    </row>
    <row r="91" spans="1:4" ht="15.75">
      <c r="A91" s="45" t="s">
        <v>229</v>
      </c>
      <c r="B91" s="27">
        <f>IF(-160.20083="","-",-160.20083)</f>
        <v>-160.20083</v>
      </c>
      <c r="C91" s="27">
        <f>IF(-158.40701="","-",-158.40701)</f>
        <v>-158.40701</v>
      </c>
      <c r="D91" s="48">
        <f>IF(OR(-160.20083="",-158.40701="",-160.20083=0),"-",-158.40701/-160.20083*100)</f>
        <v>98.88026797364284</v>
      </c>
    </row>
    <row r="92" spans="1:4" ht="15.75">
      <c r="A92" s="45" t="s">
        <v>244</v>
      </c>
      <c r="B92" s="27">
        <f>IF(-45.58052="","-",-45.58052)</f>
        <v>-45.58052</v>
      </c>
      <c r="C92" s="27">
        <f>IF(-86.52611="","-",-86.52611)</f>
        <v>-86.52611</v>
      </c>
      <c r="D92" s="48" t="s">
        <v>216</v>
      </c>
    </row>
    <row r="93" spans="1:4" ht="15.75">
      <c r="A93" s="45" t="s">
        <v>224</v>
      </c>
      <c r="B93" s="27">
        <f>IF(-38.78046="","-",-38.78046)</f>
        <v>-38.78046</v>
      </c>
      <c r="C93" s="27">
        <f>IF(-81.46663="","-",-81.46663)</f>
        <v>-81.46663</v>
      </c>
      <c r="D93" s="48" t="s">
        <v>184</v>
      </c>
    </row>
    <row r="94" spans="1:4" ht="15.75">
      <c r="A94" s="45" t="s">
        <v>263</v>
      </c>
      <c r="B94" s="27">
        <f>IF(-65.20626="","-",-65.20626)</f>
        <v>-65.20626</v>
      </c>
      <c r="C94" s="27">
        <f>IF(-78.12431="","-",-78.12431)</f>
        <v>-78.12431</v>
      </c>
      <c r="D94" s="48">
        <f>IF(OR(-65.20626="",-78.12431="",-65.20626=0),"-",-78.12431/-65.20626*100)</f>
        <v>119.81105801804918</v>
      </c>
    </row>
    <row r="95" spans="1:4" ht="15.75">
      <c r="A95" s="45" t="s">
        <v>237</v>
      </c>
      <c r="B95" s="27">
        <f>IF(-40.53901="","-",-40.53901)</f>
        <v>-40.53901</v>
      </c>
      <c r="C95" s="27">
        <f>IF(-67.57864="","-",-67.57864)</f>
        <v>-67.57864</v>
      </c>
      <c r="D95" s="48" t="s">
        <v>214</v>
      </c>
    </row>
    <row r="96" spans="1:7" ht="15.75">
      <c r="A96" s="45" t="s">
        <v>245</v>
      </c>
      <c r="B96" s="27">
        <f>IF(-75.27938="","-",-75.27938)</f>
        <v>-75.27938</v>
      </c>
      <c r="C96" s="27">
        <f>IF(-61.81179="","-",-61.81179)</f>
        <v>-61.81179</v>
      </c>
      <c r="D96" s="48">
        <f>IF(OR(-75.27938="",-61.81179="",-75.27938=0),"-",-61.81179/-75.27938*100)</f>
        <v>82.10985531496141</v>
      </c>
      <c r="E96" s="24"/>
      <c r="F96" s="24"/>
      <c r="G96" s="24"/>
    </row>
    <row r="97" spans="1:7" ht="15.75">
      <c r="A97" s="45" t="s">
        <v>264</v>
      </c>
      <c r="B97" s="27">
        <f>IF(-47.27266="","-",-47.27266)</f>
        <v>-47.27266</v>
      </c>
      <c r="C97" s="27">
        <f>IF(-48.02256="","-",-48.02256)</f>
        <v>-48.02256</v>
      </c>
      <c r="D97" s="48">
        <f>IF(OR(-47.27266="",-48.02256="",-47.27266=0),"-",-48.02256/-47.27266*100)</f>
        <v>101.58632918054538</v>
      </c>
      <c r="E97" s="24"/>
      <c r="F97" s="24"/>
      <c r="G97" s="24"/>
    </row>
    <row r="98" spans="1:4" ht="15.75">
      <c r="A98" s="45" t="s">
        <v>265</v>
      </c>
      <c r="B98" s="27">
        <f>IF(-51.53101="","-",-51.53101)</f>
        <v>-51.53101</v>
      </c>
      <c r="C98" s="27">
        <f>IF(-46.35668="","-",-46.35668)</f>
        <v>-46.35668</v>
      </c>
      <c r="D98" s="48">
        <f>IF(OR(-51.53101="",-46.35668="",-51.53101=0),"-",-46.35668/-51.53101*100)</f>
        <v>89.95880344670131</v>
      </c>
    </row>
    <row r="99" spans="1:4" ht="15.75">
      <c r="A99" s="45" t="s">
        <v>164</v>
      </c>
      <c r="B99" s="27">
        <f>IF(-421.63982="","-",-421.63982)</f>
        <v>-421.63982</v>
      </c>
      <c r="C99" s="27">
        <f>IF(-28.24917="","-",-28.24917)</f>
        <v>-28.24917</v>
      </c>
      <c r="D99" s="48">
        <f>IF(OR(-421.63982="",-28.24917="",-421.63982=0),"-",-28.24917/-421.63982*100)</f>
        <v>6.699834470093456</v>
      </c>
    </row>
    <row r="100" spans="1:7" ht="15.75">
      <c r="A100" s="45" t="s">
        <v>240</v>
      </c>
      <c r="B100" s="27">
        <f>IF(50.13236="","-",50.13236)</f>
        <v>50.13236</v>
      </c>
      <c r="C100" s="27">
        <f>IF(45.28454="","-",45.28454)</f>
        <v>45.28454</v>
      </c>
      <c r="D100" s="48">
        <f>IF(OR(50.13236="",45.28454="",50.13236=0),"-",45.28454/50.13236*100)</f>
        <v>90.3299585337694</v>
      </c>
      <c r="E100" s="23"/>
      <c r="F100" s="23"/>
      <c r="G100" s="23"/>
    </row>
    <row r="101" spans="1:4" ht="15.75">
      <c r="A101" s="45" t="s">
        <v>239</v>
      </c>
      <c r="B101" s="27">
        <f>IF(0="","-",0)</f>
        <v>0</v>
      </c>
      <c r="C101" s="27">
        <f>IF(55.12314="","-",55.12314)</f>
        <v>55.12314</v>
      </c>
      <c r="D101" s="48" t="str">
        <f>IF(OR(0="",55.12314="",0=0),"-",55.12314/0*100)</f>
        <v>-</v>
      </c>
    </row>
    <row r="102" spans="1:7" ht="15.75">
      <c r="A102" s="45" t="s">
        <v>150</v>
      </c>
      <c r="B102" s="27">
        <f>IF(-287.54333="","-",-287.54333)</f>
        <v>-287.54333</v>
      </c>
      <c r="C102" s="27">
        <f>IF(59.93295="","-",59.93295)</f>
        <v>59.93295</v>
      </c>
      <c r="D102" s="48" t="s">
        <v>33</v>
      </c>
      <c r="E102" s="23"/>
      <c r="F102" s="23"/>
      <c r="G102" s="23"/>
    </row>
    <row r="103" spans="1:7" ht="15.75">
      <c r="A103" s="45" t="s">
        <v>223</v>
      </c>
      <c r="B103" s="27">
        <f>IF(14.606="","-",14.606)</f>
        <v>14.606</v>
      </c>
      <c r="C103" s="27">
        <f>IF(64.1936="","-",64.1936)</f>
        <v>64.1936</v>
      </c>
      <c r="D103" s="48" t="s">
        <v>262</v>
      </c>
      <c r="E103" s="1"/>
      <c r="F103" s="1"/>
      <c r="G103" s="1"/>
    </row>
    <row r="104" spans="1:4" ht="15.75">
      <c r="A104" s="45" t="s">
        <v>120</v>
      </c>
      <c r="B104" s="27">
        <f>IF(-2409.02992="","-",-2409.02992)</f>
        <v>-2409.02992</v>
      </c>
      <c r="C104" s="27">
        <f>IF(65.75183="","-",65.75183)</f>
        <v>65.75183</v>
      </c>
      <c r="D104" s="48" t="s">
        <v>33</v>
      </c>
    </row>
    <row r="105" spans="1:4" ht="15.75">
      <c r="A105" s="45" t="s">
        <v>238</v>
      </c>
      <c r="B105" s="27">
        <f>IF(-28.20322="","-",-28.20322)</f>
        <v>-28.20322</v>
      </c>
      <c r="C105" s="27">
        <f>IF(68.90578="","-",68.90578)</f>
        <v>68.90578</v>
      </c>
      <c r="D105" s="48" t="s">
        <v>33</v>
      </c>
    </row>
    <row r="106" spans="1:4" ht="15.75">
      <c r="A106" s="45" t="s">
        <v>234</v>
      </c>
      <c r="B106" s="27">
        <f>IF(100.39497="","-",100.39497)</f>
        <v>100.39497</v>
      </c>
      <c r="C106" s="27">
        <f>IF(141.26845="","-",141.26845)</f>
        <v>141.26845</v>
      </c>
      <c r="D106" s="48">
        <f>IF(OR(100.39497="",141.26845="",100.39497=0),"-",141.26845/100.39497*100)</f>
        <v>140.7126771391037</v>
      </c>
    </row>
    <row r="107" spans="1:7" ht="15.75">
      <c r="A107" s="45" t="s">
        <v>204</v>
      </c>
      <c r="B107" s="27">
        <f>IF(0.2121="","-",0.2121)</f>
        <v>0.2121</v>
      </c>
      <c r="C107" s="27">
        <f>IF(157.43886="","-",157.43886)</f>
        <v>157.43886</v>
      </c>
      <c r="D107" s="48" t="s">
        <v>261</v>
      </c>
      <c r="E107" s="24"/>
      <c r="F107" s="24"/>
      <c r="G107" s="24"/>
    </row>
    <row r="108" spans="1:7" ht="15.75">
      <c r="A108" s="45" t="s">
        <v>233</v>
      </c>
      <c r="B108" s="27">
        <f>IF(-0.0213="","-",-0.0213)</f>
        <v>-0.0213</v>
      </c>
      <c r="C108" s="27">
        <f>IF(177.82416="","-",177.82416)</f>
        <v>177.82416</v>
      </c>
      <c r="D108" s="48" t="s">
        <v>33</v>
      </c>
      <c r="E108" s="17"/>
      <c r="F108" s="17"/>
      <c r="G108" s="17"/>
    </row>
    <row r="109" spans="1:4" ht="15.75">
      <c r="A109" s="45" t="s">
        <v>188</v>
      </c>
      <c r="B109" s="27">
        <f>IF(153.41507="","-",153.41507)</f>
        <v>153.41507</v>
      </c>
      <c r="C109" s="27">
        <f>IF(179.59211="","-",179.59211)</f>
        <v>179.59211</v>
      </c>
      <c r="D109" s="48">
        <f>IF(OR(153.41507="",179.59211="",153.41507=0),"-",179.59211/153.41507*100)</f>
        <v>117.06288697713987</v>
      </c>
    </row>
    <row r="110" spans="1:7" ht="15.75">
      <c r="A110" s="45" t="s">
        <v>187</v>
      </c>
      <c r="B110" s="27">
        <f>IF(-0.6022="","-",-0.6022)</f>
        <v>-0.6022</v>
      </c>
      <c r="C110" s="27">
        <f>IF(186.33116="","-",186.33116)</f>
        <v>186.33116</v>
      </c>
      <c r="D110" s="48" t="s">
        <v>33</v>
      </c>
      <c r="E110" s="24"/>
      <c r="F110" s="24"/>
      <c r="G110" s="24"/>
    </row>
    <row r="111" spans="1:4" ht="15.75">
      <c r="A111" s="45" t="s">
        <v>235</v>
      </c>
      <c r="B111" s="27">
        <f>IF(144.60743="","-",144.60743)</f>
        <v>144.60743</v>
      </c>
      <c r="C111" s="27">
        <f>IF(191.51192="","-",191.51192)</f>
        <v>191.51192</v>
      </c>
      <c r="D111" s="48">
        <f>IF(OR(144.60743="",191.51192="",144.60743=0),"-",191.51192/144.60743*100)</f>
        <v>132.43573998929378</v>
      </c>
    </row>
    <row r="112" spans="1:4" ht="15.75">
      <c r="A112" s="45" t="s">
        <v>232</v>
      </c>
      <c r="B112" s="27">
        <f>IF(751.24653="","-",751.24653)</f>
        <v>751.24653</v>
      </c>
      <c r="C112" s="27">
        <f>IF(345.50369="","-",345.50369)</f>
        <v>345.50369</v>
      </c>
      <c r="D112" s="48">
        <f>IF(OR(751.24653="",345.50369="",751.24653=0),"-",345.50369/751.24653*100)</f>
        <v>45.99072024998239</v>
      </c>
    </row>
    <row r="113" spans="1:4" ht="15.75">
      <c r="A113" s="45" t="s">
        <v>152</v>
      </c>
      <c r="B113" s="27">
        <f>IF(969.79617="","-",969.79617)</f>
        <v>969.79617</v>
      </c>
      <c r="C113" s="27">
        <f>IF(356.77005="","-",356.77005)</f>
        <v>356.77005</v>
      </c>
      <c r="D113" s="48">
        <f>IF(OR(969.79617="",356.77005="",969.79617=0),"-",356.77005/969.79617*100)</f>
        <v>36.78814796721666</v>
      </c>
    </row>
    <row r="114" spans="1:4" ht="15.75">
      <c r="A114" s="45" t="s">
        <v>225</v>
      </c>
      <c r="B114" s="27">
        <f>IF(-110.28394="","-",-110.28394)</f>
        <v>-110.28394</v>
      </c>
      <c r="C114" s="27">
        <f>IF(391.07102="","-",391.07102)</f>
        <v>391.07102</v>
      </c>
      <c r="D114" s="48" t="s">
        <v>33</v>
      </c>
    </row>
    <row r="115" spans="1:4" ht="15.75">
      <c r="A115" s="45" t="s">
        <v>222</v>
      </c>
      <c r="B115" s="27">
        <f>IF(204.26007="","-",204.26007)</f>
        <v>204.26007</v>
      </c>
      <c r="C115" s="27">
        <f>IF(514.79867="","-",514.79867)</f>
        <v>514.79867</v>
      </c>
      <c r="D115" s="48" t="s">
        <v>189</v>
      </c>
    </row>
    <row r="116" spans="1:4" ht="15.75">
      <c r="A116" s="45" t="s">
        <v>162</v>
      </c>
      <c r="B116" s="27">
        <f>IF(552.97382="","-",552.97382)</f>
        <v>552.97382</v>
      </c>
      <c r="C116" s="27">
        <f>IF(561.79997="","-",561.79997)</f>
        <v>561.79997</v>
      </c>
      <c r="D116" s="48">
        <f>IF(OR(552.97382="",561.79997="",552.97382=0),"-",561.79997/552.97382*100)</f>
        <v>101.59612438795023</v>
      </c>
    </row>
    <row r="117" spans="1:4" ht="15.75">
      <c r="A117" s="45" t="s">
        <v>203</v>
      </c>
      <c r="B117" s="27">
        <f>IF(154.69954="","-",154.69954)</f>
        <v>154.69954</v>
      </c>
      <c r="C117" s="27">
        <f>IF(662.90874="","-",662.90874)</f>
        <v>662.90874</v>
      </c>
      <c r="D117" s="48" t="s">
        <v>268</v>
      </c>
    </row>
    <row r="118" spans="1:4" ht="15.75">
      <c r="A118" s="45" t="s">
        <v>160</v>
      </c>
      <c r="B118" s="27">
        <f>IF(-89.17394="","-",-89.17394)</f>
        <v>-89.17394</v>
      </c>
      <c r="C118" s="27">
        <f>IF(850.43293="","-",850.43293)</f>
        <v>850.43293</v>
      </c>
      <c r="D118" s="48" t="s">
        <v>33</v>
      </c>
    </row>
    <row r="119" spans="1:7" s="1" customFormat="1" ht="15.75">
      <c r="A119" s="45" t="s">
        <v>228</v>
      </c>
      <c r="B119" s="27">
        <f>IF(402.10245="","-",402.10245)</f>
        <v>402.10245</v>
      </c>
      <c r="C119" s="27">
        <f>IF(1034.79823="","-",1034.79823)</f>
        <v>1034.79823</v>
      </c>
      <c r="D119" s="48" t="s">
        <v>198</v>
      </c>
      <c r="E119" s="24"/>
      <c r="F119" s="24"/>
      <c r="G119" s="24"/>
    </row>
    <row r="120" spans="1:7" ht="15.75">
      <c r="A120" s="45" t="s">
        <v>206</v>
      </c>
      <c r="B120" s="27">
        <f>IF(5119.56924="","-",5119.56924)</f>
        <v>5119.56924</v>
      </c>
      <c r="C120" s="27">
        <f>IF(1143.10075="","-",1143.10075)</f>
        <v>1143.10075</v>
      </c>
      <c r="D120" s="48">
        <f>IF(OR(5119.56924="",1143.10075="",5119.56924=0),"-",1143.10075/5119.56924*100)</f>
        <v>22.328065046347533</v>
      </c>
      <c r="E120" s="1"/>
      <c r="F120" s="1"/>
      <c r="G120" s="1"/>
    </row>
    <row r="121" spans="1:7" ht="15.75">
      <c r="A121" s="45" t="s">
        <v>226</v>
      </c>
      <c r="B121" s="27">
        <f>IF(25.35994="","-",25.35994)</f>
        <v>25.35994</v>
      </c>
      <c r="C121" s="27">
        <f>IF(1196.2642="","-",1196.2642)</f>
        <v>1196.2642</v>
      </c>
      <c r="D121" s="48" t="s">
        <v>269</v>
      </c>
      <c r="E121" s="24"/>
      <c r="F121" s="24"/>
      <c r="G121" s="24"/>
    </row>
    <row r="122" spans="1:7" ht="15.75">
      <c r="A122" s="45" t="s">
        <v>252</v>
      </c>
      <c r="B122" s="27">
        <f>IF(5.57249="","-",5.57249)</f>
        <v>5.57249</v>
      </c>
      <c r="C122" s="27">
        <f>IF(1250.8495="","-",1250.8495)</f>
        <v>1250.8495</v>
      </c>
      <c r="D122" s="48" t="s">
        <v>270</v>
      </c>
      <c r="E122" s="1"/>
      <c r="F122" s="1"/>
      <c r="G122" s="1"/>
    </row>
    <row r="123" spans="1:4" ht="15.75">
      <c r="A123" s="45" t="s">
        <v>221</v>
      </c>
      <c r="B123" s="27">
        <f>IF(225.63772="","-",225.63772)</f>
        <v>225.63772</v>
      </c>
      <c r="C123" s="27">
        <f>IF(1313.44967="","-",1313.44967)</f>
        <v>1313.44967</v>
      </c>
      <c r="D123" s="48" t="s">
        <v>271</v>
      </c>
    </row>
    <row r="124" spans="1:9" ht="15.75">
      <c r="A124" s="45" t="s">
        <v>148</v>
      </c>
      <c r="B124" s="27">
        <f>IF(3041.87442="","-",3041.87442)</f>
        <v>3041.87442</v>
      </c>
      <c r="C124" s="27">
        <f>IF(2125.72655="","-",2125.72655)</f>
        <v>2125.72655</v>
      </c>
      <c r="D124" s="48">
        <f>IF(OR(3041.87442="",2125.72655="",3041.87442=0),"-",2125.72655/3041.87442*100)</f>
        <v>69.882127152376</v>
      </c>
      <c r="E124" s="24"/>
      <c r="F124" s="24"/>
      <c r="G124" s="24"/>
      <c r="H124" s="1"/>
      <c r="I124" s="1"/>
    </row>
    <row r="125" spans="1:4" ht="15.75">
      <c r="A125" s="45" t="s">
        <v>119</v>
      </c>
      <c r="B125" s="27">
        <f>IF(833.94027="","-",833.94027)</f>
        <v>833.94027</v>
      </c>
      <c r="C125" s="27">
        <f>IF(2615.33098="","-",2615.33098)</f>
        <v>2615.33098</v>
      </c>
      <c r="D125" s="48" t="s">
        <v>208</v>
      </c>
    </row>
    <row r="126" spans="1:4" ht="15.75">
      <c r="A126" s="45" t="s">
        <v>146</v>
      </c>
      <c r="B126" s="27">
        <f>IF(3222.9255="","-",3222.9255)</f>
        <v>3222.9255</v>
      </c>
      <c r="C126" s="27">
        <f>IF(4372.01313="","-",4372.01313)</f>
        <v>4372.01313</v>
      </c>
      <c r="D126" s="48">
        <f>IF(OR(3222.9255="",4372.01313="",3222.9255=0),"-",4372.01313/3222.9255*100)</f>
        <v>135.65355854486864</v>
      </c>
    </row>
    <row r="127" spans="1:4" ht="15.75">
      <c r="A127" s="45" t="s">
        <v>143</v>
      </c>
      <c r="B127" s="27">
        <f>IF(7829.91852="","-",7829.91852)</f>
        <v>7829.91852</v>
      </c>
      <c r="C127" s="27">
        <f>IF(6025.56223="","-",6025.56223)</f>
        <v>6025.56223</v>
      </c>
      <c r="D127" s="48">
        <f>IF(OR(7829.91852="",6025.56223="",7829.91852=0),"-",6025.56223/7829.91852*100)</f>
        <v>76.95561856242664</v>
      </c>
    </row>
    <row r="128" spans="1:4" ht="15.75">
      <c r="A128" s="45" t="s">
        <v>202</v>
      </c>
      <c r="B128" s="27">
        <f>IF(-552.18107="","-",-552.18107)</f>
        <v>-552.18107</v>
      </c>
      <c r="C128" s="27">
        <f>IF(10636.661="","-",10636.661)</f>
        <v>10636.661</v>
      </c>
      <c r="D128" s="48" t="s">
        <v>33</v>
      </c>
    </row>
    <row r="129" spans="1:4" ht="15.75">
      <c r="A129" s="45" t="s">
        <v>140</v>
      </c>
      <c r="B129" s="27">
        <f>IF(24673.4952="","-",24673.4952)</f>
        <v>24673.4952</v>
      </c>
      <c r="C129" s="27">
        <f>IF(11695.96959="","-",11695.96959)</f>
        <v>11695.96959</v>
      </c>
      <c r="D129" s="48">
        <f>IF(OR(24673.4952="",11695.96959="",24673.4952=0),"-",11695.96959/24673.4952*100)</f>
        <v>47.402970252872805</v>
      </c>
    </row>
    <row r="130" spans="1:4" ht="15.75">
      <c r="A130" s="45" t="s">
        <v>141</v>
      </c>
      <c r="B130" s="27">
        <f>IF(10664.41837="","-",10664.41837)</f>
        <v>10664.41837</v>
      </c>
      <c r="C130" s="27">
        <f>IF(11876.5644="","-",11876.5644)</f>
        <v>11876.5644</v>
      </c>
      <c r="D130" s="48">
        <f>IF(OR(10664.41837="",11876.5644="",10664.41837=0),"-",11876.5644/10664.41837*100)</f>
        <v>111.36626478767823</v>
      </c>
    </row>
    <row r="131" spans="1:7" s="1" customFormat="1" ht="15.75">
      <c r="A131" s="77" t="s">
        <v>27</v>
      </c>
      <c r="B131" s="77"/>
      <c r="C131" s="77"/>
      <c r="D131" s="77"/>
      <c r="E131" s="24"/>
      <c r="F131" s="24"/>
      <c r="G131" s="24"/>
    </row>
  </sheetData>
  <sheetProtection/>
  <mergeCells count="5">
    <mergeCell ref="A131:D131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C76" sqref="C76"/>
    </sheetView>
  </sheetViews>
  <sheetFormatPr defaultColWidth="9.00390625" defaultRowHeight="15.75"/>
  <cols>
    <col min="1" max="1" width="28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4" t="s">
        <v>115</v>
      </c>
      <c r="B1" s="64"/>
      <c r="C1" s="64"/>
      <c r="D1" s="64"/>
      <c r="E1" s="64"/>
      <c r="F1" s="64"/>
      <c r="G1" s="64"/>
    </row>
    <row r="2" spans="1:7" ht="15.75">
      <c r="A2" s="64" t="s">
        <v>35</v>
      </c>
      <c r="B2" s="64"/>
      <c r="C2" s="64"/>
      <c r="D2" s="64"/>
      <c r="E2" s="64"/>
      <c r="F2" s="64"/>
      <c r="G2" s="64"/>
    </row>
    <row r="3" ht="15.75">
      <c r="A3" s="6"/>
    </row>
    <row r="4" spans="1:7" ht="57" customHeight="1">
      <c r="A4" s="65"/>
      <c r="B4" s="68" t="s">
        <v>246</v>
      </c>
      <c r="C4" s="69"/>
      <c r="D4" s="68" t="s">
        <v>0</v>
      </c>
      <c r="E4" s="69"/>
      <c r="F4" s="70" t="s">
        <v>218</v>
      </c>
      <c r="G4" s="71"/>
    </row>
    <row r="5" spans="1:7" ht="26.25" customHeight="1">
      <c r="A5" s="66"/>
      <c r="B5" s="72" t="s">
        <v>195</v>
      </c>
      <c r="C5" s="74" t="s">
        <v>247</v>
      </c>
      <c r="D5" s="76" t="s">
        <v>248</v>
      </c>
      <c r="E5" s="76"/>
      <c r="F5" s="76" t="s">
        <v>248</v>
      </c>
      <c r="G5" s="68"/>
    </row>
    <row r="6" spans="1:7" ht="26.25" customHeight="1">
      <c r="A6" s="67"/>
      <c r="B6" s="73"/>
      <c r="C6" s="75"/>
      <c r="D6" s="18">
        <v>2016</v>
      </c>
      <c r="E6" s="18">
        <v>2017</v>
      </c>
      <c r="F6" s="18" t="s">
        <v>2</v>
      </c>
      <c r="G6" s="19" t="s">
        <v>186</v>
      </c>
    </row>
    <row r="7" spans="1:7" ht="16.5" customHeight="1">
      <c r="A7" s="7" t="s">
        <v>196</v>
      </c>
      <c r="B7" s="34">
        <f>IF(1651792.72482="","-",1651792.72482)</f>
        <v>1651792.72482</v>
      </c>
      <c r="C7" s="34">
        <f>IF(1432658.71897="","-",1651792.72482/1432658.71897*100)</f>
        <v>115.29561806649559</v>
      </c>
      <c r="D7" s="34">
        <v>100</v>
      </c>
      <c r="E7" s="34">
        <v>100</v>
      </c>
      <c r="F7" s="34">
        <f>IF(1447581.46785="","-",(1432658.71897-1447581.46785)/1447581.46785*100)</f>
        <v>-1.0308745456767734</v>
      </c>
      <c r="G7" s="34">
        <f>IF(1432658.71897="","-",(1651792.72482-1432658.71897)/1432658.71897*100)</f>
        <v>15.295618066495607</v>
      </c>
    </row>
    <row r="8" spans="1:7" ht="13.5" customHeight="1">
      <c r="A8" s="8" t="s">
        <v>108</v>
      </c>
      <c r="B8" s="28"/>
      <c r="C8" s="28"/>
      <c r="D8" s="28"/>
      <c r="E8" s="28"/>
      <c r="F8" s="28"/>
      <c r="G8" s="28"/>
    </row>
    <row r="9" spans="1:10" ht="13.5" customHeight="1">
      <c r="A9" s="9" t="s">
        <v>36</v>
      </c>
      <c r="B9" s="26">
        <f>IF(372548.71162="","-",372548.71162)</f>
        <v>372548.71162</v>
      </c>
      <c r="C9" s="26">
        <f>IF(334898.65819="","-",372548.71162/334898.65819*100)</f>
        <v>111.24222283644978</v>
      </c>
      <c r="D9" s="26">
        <f>IF(334898.65819="","-",334898.65819/1432658.71897*100)</f>
        <v>23.37602485194611</v>
      </c>
      <c r="E9" s="26">
        <f>IF(372548.71162="","-",372548.71162/1651792.72482*100)</f>
        <v>22.554204654255127</v>
      </c>
      <c r="F9" s="26">
        <f>IF(1447581.46785="","-",(334898.65819-357447.12076)/1447581.46785*100)</f>
        <v>-1.557664495628686</v>
      </c>
      <c r="G9" s="26">
        <f>IF(1432658.71897="","-",(372548.71162-334898.65819)/1432658.71897*100)</f>
        <v>2.6279848041596585</v>
      </c>
      <c r="J9" s="32"/>
    </row>
    <row r="10" spans="1:10" s="16" customFormat="1" ht="13.5" customHeight="1">
      <c r="A10" s="14" t="s">
        <v>37</v>
      </c>
      <c r="B10" s="27">
        <f>IF(5475.4377="","-",5475.4377)</f>
        <v>5475.4377</v>
      </c>
      <c r="C10" s="27">
        <f>IF(OR(7494.02911="",5475.4377=""),"-",5475.4377/7494.02911*100)</f>
        <v>73.064003617141</v>
      </c>
      <c r="D10" s="27">
        <f>IF(7494.02911="","-",7494.02911/1432658.71897*100)</f>
        <v>0.5230854362431675</v>
      </c>
      <c r="E10" s="27">
        <f>IF(5475.4377="","-",5475.4377/1651792.72482*100)</f>
        <v>0.33148455116223335</v>
      </c>
      <c r="F10" s="27">
        <f>IF(OR(1447581.46785="",3277.36695="",7494.02911=""),"-",(7494.02911-3277.36695)/1447581.46785*100)</f>
        <v>0.29129014522842284</v>
      </c>
      <c r="G10" s="27">
        <f>IF(OR(1432658.71897="",5475.4377="",7494.02911=""),"-",(5475.4377-7494.02911)/1432658.71897*100)</f>
        <v>-0.1408982741857218</v>
      </c>
      <c r="J10" s="32"/>
    </row>
    <row r="11" spans="1:10" s="16" customFormat="1" ht="14.25" customHeight="1">
      <c r="A11" s="14" t="s">
        <v>38</v>
      </c>
      <c r="B11" s="27">
        <f>IF(7578.80151="","-",7578.80151)</f>
        <v>7578.80151</v>
      </c>
      <c r="C11" s="27">
        <f>IF(OR(4749.3886="",7578.80151=""),"-",7578.80151/4749.3886*100)</f>
        <v>159.57425572630547</v>
      </c>
      <c r="D11" s="27">
        <f>IF(4749.3886="","-",4749.3886/1432658.71897*100)</f>
        <v>0.3315087213104416</v>
      </c>
      <c r="E11" s="27">
        <f>IF(7578.80151="","-",7578.80151/1651792.72482*100)</f>
        <v>0.45882279272212445</v>
      </c>
      <c r="F11" s="27">
        <f>IF(OR(1447581.46785="",4867.77448="",4749.3886=""),"-",(4749.3886-4867.77448)/1447581.46785*100)</f>
        <v>-0.008178184276967208</v>
      </c>
      <c r="G11" s="27">
        <f>IF(OR(1432658.71897="",7578.80151="",4749.3886=""),"-",(7578.80151-4749.3886)/1432658.71897*100)</f>
        <v>0.19749385338848785</v>
      </c>
      <c r="J11" s="32"/>
    </row>
    <row r="12" spans="1:10" s="16" customFormat="1" ht="15.75">
      <c r="A12" s="14" t="s">
        <v>39</v>
      </c>
      <c r="B12" s="27">
        <f>IF(17090.65657="","-",17090.65657)</f>
        <v>17090.65657</v>
      </c>
      <c r="C12" s="27">
        <f>IF(OR(14741.42416="",17090.65657=""),"-",17090.65657/14741.42416*100)</f>
        <v>115.93626493954704</v>
      </c>
      <c r="D12" s="27">
        <f>IF(14741.42416="","-",14741.42416/1432658.71897*100)</f>
        <v>1.0289557425510414</v>
      </c>
      <c r="E12" s="27">
        <f>IF(17090.65657="","-",17090.65657/1651792.72482*100)</f>
        <v>1.0346731955646802</v>
      </c>
      <c r="F12" s="27">
        <f>IF(OR(1447581.46785="",10112.25753="",14741.42416=""),"-",(14741.42416-10112.25753)/1447581.46785*100)</f>
        <v>0.3197862595516234</v>
      </c>
      <c r="G12" s="27">
        <f>IF(OR(1432658.71897="",17090.65657="",14741.42416=""),"-",(17090.65657-14741.42416)/1432658.71897*100)</f>
        <v>0.16397711324361763</v>
      </c>
      <c r="J12" s="32"/>
    </row>
    <row r="13" spans="1:10" s="16" customFormat="1" ht="15.75">
      <c r="A13" s="14" t="s">
        <v>41</v>
      </c>
      <c r="B13" s="27">
        <f>IF(140733.49403="","-",140733.49403)</f>
        <v>140733.49403</v>
      </c>
      <c r="C13" s="27">
        <f>IF(OR(129381.91902="",140733.49403=""),"-",140733.49403/129381.91902*100)</f>
        <v>108.7736950386748</v>
      </c>
      <c r="D13" s="27">
        <f>IF(129381.91902="","-",129381.91902/1432658.71897*100)</f>
        <v>9.030896005227136</v>
      </c>
      <c r="E13" s="27">
        <f>IF(140733.49403="","-",140733.49403/1651792.72482*100)</f>
        <v>8.520045639826638</v>
      </c>
      <c r="F13" s="27">
        <f>IF(OR(1447581.46785="",105251.4207="",129381.91902=""),"-",(129381.91902-105251.4207)/1447581.46785*100)</f>
        <v>1.6669526970277868</v>
      </c>
      <c r="G13" s="27">
        <f>IF(OR(1432658.71897="",140733.49403="",129381.91902=""),"-",(140733.49403-129381.91902)/1432658.71897*100)</f>
        <v>0.7923432747584949</v>
      </c>
      <c r="J13" s="32"/>
    </row>
    <row r="14" spans="1:10" s="16" customFormat="1" ht="15" customHeight="1">
      <c r="A14" s="14" t="s">
        <v>42</v>
      </c>
      <c r="B14" s="27">
        <f>IF(150630.7285="","-",150630.7285)</f>
        <v>150630.7285</v>
      </c>
      <c r="C14" s="27">
        <f>IF(OR(123226.55809="",150630.7285=""),"-",150630.7285/123226.55809*100)</f>
        <v>122.23885080843127</v>
      </c>
      <c r="D14" s="27">
        <f>IF(123226.55809="","-",123226.55809/1432658.71897*100)</f>
        <v>8.60125000171659</v>
      </c>
      <c r="E14" s="27">
        <f>IF(150630.7285="","-",150630.7285/1651792.72482*100)</f>
        <v>9.11922702144209</v>
      </c>
      <c r="F14" s="27">
        <f>IF(OR(1447581.46785="",172904.99491="",123226.55809=""),"-",(123226.55809-172904.99491)/1447581.46785*100)</f>
        <v>-3.431823211565716</v>
      </c>
      <c r="G14" s="27">
        <f>IF(OR(1432658.71897="",150630.7285="",123226.55809=""),"-",(150630.7285-123226.55809)/1432658.71897*100)</f>
        <v>1.9128191555419443</v>
      </c>
      <c r="J14" s="32"/>
    </row>
    <row r="15" spans="1:10" s="16" customFormat="1" ht="15.75" customHeight="1">
      <c r="A15" s="14" t="s">
        <v>43</v>
      </c>
      <c r="B15" s="27">
        <f>IF(33777.51866="","-",33777.51866)</f>
        <v>33777.51866</v>
      </c>
      <c r="C15" s="27">
        <f>IF(OR(36124.01664="",33777.51866=""),"-",33777.51866/36124.01664*100)</f>
        <v>93.50432704263089</v>
      </c>
      <c r="D15" s="27">
        <f>IF(36124.01664="","-",36124.01664/1432658.71897*100)</f>
        <v>2.5214669873346467</v>
      </c>
      <c r="E15" s="27">
        <f>IF(33777.51866="","-",33777.51866/1651792.72482*100)</f>
        <v>2.044900558796251</v>
      </c>
      <c r="F15" s="27">
        <f>IF(OR(1447581.46785="",43854.08272="",36124.01664=""),"-",(36124.01664-43854.08272)/1447581.46785*100)</f>
        <v>-0.5339986903452811</v>
      </c>
      <c r="G15" s="27">
        <f>IF(OR(1432658.71897="",33777.51866="",36124.01664=""),"-",(33777.51866-36124.01664)/1432658.71897*100)</f>
        <v>-0.16378624922528642</v>
      </c>
      <c r="J15" s="32"/>
    </row>
    <row r="16" spans="1:10" s="16" customFormat="1" ht="25.5">
      <c r="A16" s="14" t="s">
        <v>44</v>
      </c>
      <c r="B16" s="27">
        <f>IF(6809.90142="","-",6809.90142)</f>
        <v>6809.90142</v>
      </c>
      <c r="C16" s="27">
        <f>IF(OR(5417.47634="",6809.90142=""),"-",6809.90142/5417.47634*100)</f>
        <v>125.70246721188265</v>
      </c>
      <c r="D16" s="27">
        <f>IF(5417.47634="","-",5417.47634/1432658.71897*100)</f>
        <v>0.3781414420801387</v>
      </c>
      <c r="E16" s="27">
        <f>IF(6809.90142="","-",6809.90142/1651792.72482*100)</f>
        <v>0.4122733632176575</v>
      </c>
      <c r="F16" s="27">
        <f>IF(OR(1447581.46785="",4874.2294="",5417.47634=""),"-",(5417.47634-4874.2294)/1447581.46785*100)</f>
        <v>0.03752790098970042</v>
      </c>
      <c r="G16" s="27">
        <f>IF(OR(1432658.71897="",6809.90142="",5417.47634=""),"-",(6809.90142-5417.47634)/1432658.71897*100)</f>
        <v>0.09719168016518785</v>
      </c>
      <c r="J16" s="32"/>
    </row>
    <row r="17" spans="1:10" s="16" customFormat="1" ht="25.5">
      <c r="A17" s="14" t="s">
        <v>45</v>
      </c>
      <c r="B17" s="27">
        <f>IF(8348.04384="","-",8348.04384)</f>
        <v>8348.04384</v>
      </c>
      <c r="C17" s="27">
        <f>IF(OR(8555.9824="",8348.04384=""),"-",8348.04384/8555.9824*100)</f>
        <v>97.56967055004694</v>
      </c>
      <c r="D17" s="27">
        <f>IF(8555.9824="","-",8555.9824/1432658.71897*100)</f>
        <v>0.5972100882582325</v>
      </c>
      <c r="E17" s="27">
        <f>IF(8348.04384="","-",8348.04384/1651792.72482*100)</f>
        <v>0.5053929415332489</v>
      </c>
      <c r="F17" s="27">
        <f>IF(OR(1447581.46785="",10719.7855="",8555.9824=""),"-",(8555.9824-10719.7855)/1447581.46785*100)</f>
        <v>-0.1494771208430678</v>
      </c>
      <c r="G17" s="27">
        <f>IF(OR(1432658.71897="",8348.04384="",8555.9824=""),"-",(8348.04384-8555.9824)/1432658.71897*100)</f>
        <v>-0.014514172653030477</v>
      </c>
      <c r="J17" s="32"/>
    </row>
    <row r="18" spans="1:10" s="16" customFormat="1" ht="15.75">
      <c r="A18" s="14" t="s">
        <v>46</v>
      </c>
      <c r="B18" s="27">
        <f>IF(2083.01836="","-",2083.01836)</f>
        <v>2083.01836</v>
      </c>
      <c r="C18" s="27">
        <f>IF(OR(5191.45231="",2083.01836=""),"-",2083.01836/5191.45231*100)</f>
        <v>40.12400067679713</v>
      </c>
      <c r="D18" s="27">
        <f>IF(5191.45231="","-",5191.45231/1432658.71897*100)</f>
        <v>0.36236489830127566</v>
      </c>
      <c r="E18" s="27">
        <f>IF(2083.01836="","-",2083.01836/1651792.72482*100)</f>
        <v>0.12610652224703264</v>
      </c>
      <c r="F18" s="27">
        <f>IF(OR(1447581.46785="",1575.42608="",5191.45231=""),"-",(5191.45231-1575.42608)/1447581.46785*100)</f>
        <v>0.2497977703023963</v>
      </c>
      <c r="G18" s="27">
        <f>IF(OR(1432658.71897="",2083.01836="",5191.45231=""),"-",(2083.01836-5191.45231)/1432658.71897*100)</f>
        <v>-0.21696960405439664</v>
      </c>
      <c r="J18" s="32"/>
    </row>
    <row r="19" spans="1:7" s="16" customFormat="1" ht="15.75">
      <c r="A19" s="15" t="s">
        <v>47</v>
      </c>
      <c r="B19" s="26">
        <f>IF(140315.46535="","-",140315.46535)</f>
        <v>140315.46535</v>
      </c>
      <c r="C19" s="26">
        <f>IF(124370.62905="","-",140315.46535/124370.62905*100)</f>
        <v>112.82041943648109</v>
      </c>
      <c r="D19" s="26">
        <f>IF(124370.62905="","-",124370.62905/1432658.71897*100)</f>
        <v>8.681106491252528</v>
      </c>
      <c r="E19" s="26">
        <f>IF(140315.46535="","-",140315.46535/1651792.72482*100)</f>
        <v>8.494738064988788</v>
      </c>
      <c r="F19" s="26">
        <f>IF(1447581.46785="","-",(124370.62905-117613.24811)/1447581.46785*100)</f>
        <v>0.46680488042143203</v>
      </c>
      <c r="G19" s="26">
        <f>IF(1432658.71897="","-",(140315.46535-124370.62905)/1432658.71897*100)</f>
        <v>1.1129542639061618</v>
      </c>
    </row>
    <row r="20" spans="1:7" s="16" customFormat="1" ht="15.75">
      <c r="A20" s="14" t="s">
        <v>48</v>
      </c>
      <c r="B20" s="27">
        <f>IF(126739.84567="","-",126739.84567)</f>
        <v>126739.84567</v>
      </c>
      <c r="C20" s="27">
        <f>IF(OR(115123.47415="",126739.84567=""),"-",126739.84567/115123.47415*100)</f>
        <v>110.09035872637449</v>
      </c>
      <c r="D20" s="27">
        <f>IF(115123.47415="","-",115123.47415/1432658.71897*100)</f>
        <v>8.035652359186228</v>
      </c>
      <c r="E20" s="27">
        <f>IF(126739.84567="","-",126739.84567/1651792.72482*100)</f>
        <v>7.672866199589974</v>
      </c>
      <c r="F20" s="27">
        <f>IF(OR(1447581.46785="",108288.66777="",115123.47415=""),"-",(115123.47415-108288.66777)/1447581.46785*100)</f>
        <v>0.4721534871644423</v>
      </c>
      <c r="G20" s="27">
        <f>IF(OR(1432658.71897="",126739.84567="",115123.47415=""),"-",(126739.84567-115123.47415)/1432658.71897*100)</f>
        <v>0.8108261490462648</v>
      </c>
    </row>
    <row r="21" spans="1:7" s="16" customFormat="1" ht="15.75">
      <c r="A21" s="14" t="s">
        <v>49</v>
      </c>
      <c r="B21" s="27">
        <f>IF(13575.61968="","-",13575.61968)</f>
        <v>13575.61968</v>
      </c>
      <c r="C21" s="27">
        <f>IF(OR(9247.1549="",13575.61968=""),"-",13575.61968/9247.1549*100)</f>
        <v>146.8086111545509</v>
      </c>
      <c r="D21" s="27">
        <f>IF(9247.1549="","-",9247.1549/1432658.71897*100)</f>
        <v>0.645454132066301</v>
      </c>
      <c r="E21" s="27">
        <f>IF(13575.61968="","-",13575.61968/1651792.72482*100)</f>
        <v>0.8218718653988121</v>
      </c>
      <c r="F21" s="27">
        <f>IF(OR(1447581.46785="",9324.58034="",9247.1549=""),"-",(9247.1549-9324.58034)/1447581.46785*100)</f>
        <v>-0.005348606743010875</v>
      </c>
      <c r="G21" s="27">
        <f>IF(OR(1432658.71897="",13575.61968="",9247.1549=""),"-",(13575.61968-9247.1549)/1432658.71897*100)</f>
        <v>0.30212811485989627</v>
      </c>
    </row>
    <row r="22" spans="1:7" s="16" customFormat="1" ht="25.5">
      <c r="A22" s="15" t="s">
        <v>50</v>
      </c>
      <c r="B22" s="26">
        <f>IF(183071.14578="","-",183071.14578)</f>
        <v>183071.14578</v>
      </c>
      <c r="C22" s="26">
        <f>IF(140763.32566="","-",183071.14578/140763.32566*100)</f>
        <v>130.05599641925934</v>
      </c>
      <c r="D22" s="26">
        <f>IF(140763.32566="","-",140763.32566/1432658.71897*100)</f>
        <v>9.825321536534592</v>
      </c>
      <c r="E22" s="26">
        <f>IF(183071.14578="","-",183071.14578/1651792.72482*100)</f>
        <v>11.08317908349849</v>
      </c>
      <c r="F22" s="26">
        <f>IF(1447581.46785="","-",(140763.32566-164064.16073)/1447581.46785*100)</f>
        <v>-1.6096389451992117</v>
      </c>
      <c r="G22" s="26">
        <f>IF(1432658.71897="","-",(183071.14578-140763.32566)/1432658.71897*100)</f>
        <v>2.9530982892015554</v>
      </c>
    </row>
    <row r="23" spans="1:8" s="16" customFormat="1" ht="15.75">
      <c r="A23" s="14" t="s">
        <v>51</v>
      </c>
      <c r="B23" s="27">
        <f>IF(2922.1706="","-",2922.1706)</f>
        <v>2922.1706</v>
      </c>
      <c r="C23" s="27">
        <f>IF(OR(2740.61284="",2922.1706=""),"-",2922.1706/2740.61284*100)</f>
        <v>106.62471390887886</v>
      </c>
      <c r="D23" s="27">
        <f>IF(2740.61284="","-",2740.61284/1432658.71897*100)</f>
        <v>0.19129558238198865</v>
      </c>
      <c r="E23" s="27">
        <f>IF(2922.1706="","-",2922.1706/1651792.72482*100)</f>
        <v>0.17690903683562575</v>
      </c>
      <c r="F23" s="27">
        <f>IF(OR(1447581.46785="",3037.63718="",2740.61284=""),"-",(2740.61284-3037.63718)/1447581.46785*100)</f>
        <v>-0.020518661408476833</v>
      </c>
      <c r="G23" s="27">
        <f>IF(OR(1432658.71897="",2922.1706="",2740.61284=""),"-",(2922.1706-2740.61284)/1432658.71897*100)</f>
        <v>0.012672785053130436</v>
      </c>
      <c r="H23" s="12"/>
    </row>
    <row r="24" spans="1:8" s="16" customFormat="1" ht="15.75">
      <c r="A24" s="14" t="s">
        <v>52</v>
      </c>
      <c r="B24" s="27">
        <f>IF(156110.21976="","-",156110.21976)</f>
        <v>156110.21976</v>
      </c>
      <c r="C24" s="27">
        <f>IF(OR(118786.92248="",156110.21976=""),"-",156110.21976/118786.92248*100)</f>
        <v>131.42037566154144</v>
      </c>
      <c r="D24" s="27">
        <f>IF(118786.92248="","-",118786.92248/1432658.71897*100)</f>
        <v>8.291362130221845</v>
      </c>
      <c r="E24" s="27">
        <f>IF(156110.21976="","-",156110.21976/1651792.72482*100)</f>
        <v>9.450956976276291</v>
      </c>
      <c r="F24" s="27">
        <f>IF(OR(1447581.46785="",129517.75065="",118786.92248=""),"-",(118786.92248-129517.75065)/1447581.46785*100)</f>
        <v>-0.7412935581399658</v>
      </c>
      <c r="G24" s="27">
        <f>IF(OR(1432658.71897="",156110.21976="",118786.92248=""),"-",(156110.21976-118786.92248)/1432658.71897*100)</f>
        <v>2.6051771287744883</v>
      </c>
      <c r="H24" s="13"/>
    </row>
    <row r="25" spans="1:8" s="16" customFormat="1" ht="15.75">
      <c r="A25" s="14" t="s">
        <v>54</v>
      </c>
      <c r="B25" s="27">
        <f>IF(452.91584="","-",452.91584)</f>
        <v>452.91584</v>
      </c>
      <c r="C25" s="27">
        <f>IF(OR(1533.32422="",452.91584=""),"-",452.91584/1533.32422*100)</f>
        <v>29.538165124659677</v>
      </c>
      <c r="D25" s="27">
        <f>IF(1533.32422="","-",1533.32422/1432658.71897*100)</f>
        <v>0.10702648158260417</v>
      </c>
      <c r="E25" s="27">
        <f>IF(452.91584="","-",452.91584/1651792.72482*100)</f>
        <v>0.027419653398059095</v>
      </c>
      <c r="F25" s="27">
        <f>IF(OR(1447581.46785="",1709.0708="",1533.32422=""),"-",(1533.32422-1709.0708)/1447581.46785*100)</f>
        <v>-0.01214070391913936</v>
      </c>
      <c r="G25" s="27">
        <f>IF(OR(1432658.71897="",452.91584="",1533.32422=""),"-",(452.91584-1533.32422)/1432658.71897*100)</f>
        <v>-0.07541282272562107</v>
      </c>
      <c r="H25" s="13"/>
    </row>
    <row r="26" spans="1:8" s="16" customFormat="1" ht="15.75">
      <c r="A26" s="14" t="s">
        <v>55</v>
      </c>
      <c r="B26" s="27">
        <f>IF(2153.07707="","-",2153.07707)</f>
        <v>2153.07707</v>
      </c>
      <c r="C26" s="27">
        <f>IF(OR(1901.0451="",2153.07707=""),"-",2153.07707/1901.0451*100)</f>
        <v>113.25754817705271</v>
      </c>
      <c r="D26" s="27">
        <f>IF(1901.0451="","-",1901.0451/1432658.71897*100)</f>
        <v>0.13269350717152953</v>
      </c>
      <c r="E26" s="27">
        <f>IF(2153.07707="","-",2153.07707/1651792.72482*100)</f>
        <v>0.13034789641870023</v>
      </c>
      <c r="F26" s="27">
        <f>IF(OR(1447581.46785="",1422.51571="",1901.0451=""),"-",(1901.0451-1422.51571)/1447581.46785*100)</f>
        <v>0.03305716470042472</v>
      </c>
      <c r="G26" s="27">
        <f>IF(OR(1432658.71897="",2153.07707="",1901.0451=""),"-",(2153.07707-1901.0451)/1432658.71897*100)</f>
        <v>0.01759190564108641</v>
      </c>
      <c r="H26" s="13"/>
    </row>
    <row r="27" spans="1:8" s="16" customFormat="1" ht="38.25">
      <c r="A27" s="14" t="s">
        <v>56</v>
      </c>
      <c r="B27" s="27">
        <f>IF(326.90599="","-",326.90599)</f>
        <v>326.90599</v>
      </c>
      <c r="C27" s="27">
        <f>IF(OR(741.78667="",326.90599=""),"-",326.90599/741.78667*100)</f>
        <v>44.070081496611415</v>
      </c>
      <c r="D27" s="27">
        <f>IF(741.78667="","-",741.78667/1432658.71897*100)</f>
        <v>0.051776927762203016</v>
      </c>
      <c r="E27" s="27">
        <f>IF(326.90599="","-",326.90599/1651792.72482*100)</f>
        <v>0.019790981343353706</v>
      </c>
      <c r="F27" s="27">
        <f>IF(OR(1447581.46785="",3802.82625="",741.78667=""),"-",(741.78667-3802.82625)/1447581.46785*100)</f>
        <v>-0.2114588814504766</v>
      </c>
      <c r="G27" s="27">
        <f>IF(OR(1432658.71897="",326.90599="",741.78667=""),"-",(326.90599-741.78667)/1432658.71897*100)</f>
        <v>-0.02895879350095852</v>
      </c>
      <c r="H27" s="13"/>
    </row>
    <row r="28" spans="1:8" s="16" customFormat="1" ht="38.25">
      <c r="A28" s="14" t="s">
        <v>57</v>
      </c>
      <c r="B28" s="27">
        <f>IF(8097.6848="","-",8097.6848)</f>
        <v>8097.6848</v>
      </c>
      <c r="C28" s="27">
        <f>IF(OR(5447.26529="",8097.6848=""),"-",8097.6848/5447.26529*100)</f>
        <v>148.6559653128258</v>
      </c>
      <c r="D28" s="27">
        <f>IF(5447.26529="","-",5447.26529/1432658.71897*100)</f>
        <v>0.3802207195525445</v>
      </c>
      <c r="E28" s="27">
        <f>IF(8097.6848="","-",8097.6848/1651792.72482*100)</f>
        <v>0.49023613425119217</v>
      </c>
      <c r="F28" s="27">
        <f>IF(OR(1447581.46785="",5547.80137="",5447.26529=""),"-",(5447.26529-5547.80137)/1447581.46785*100)</f>
        <v>-0.006945106871899905</v>
      </c>
      <c r="G28" s="27">
        <f>IF(OR(1432658.71897="",8097.6848="",5447.26529=""),"-",(8097.6848-5447.26529)/1432658.71897*100)</f>
        <v>0.1850000614176627</v>
      </c>
      <c r="H28" s="13"/>
    </row>
    <row r="29" spans="1:8" s="16" customFormat="1" ht="14.25" customHeight="1">
      <c r="A29" s="14" t="s">
        <v>58</v>
      </c>
      <c r="B29" s="27">
        <f>IF(11506.63227="","-",11506.63227)</f>
        <v>11506.63227</v>
      </c>
      <c r="C29" s="27">
        <f>IF(OR(8308.93978="",11506.63227=""),"-",11506.63227/8308.93978*100)</f>
        <v>138.4849640828664</v>
      </c>
      <c r="D29" s="27">
        <f>IF(8308.93978="","-",8308.93978/1432658.71897*100)</f>
        <v>0.579966440714761</v>
      </c>
      <c r="E29" s="27">
        <f>IF(11506.63227="","-",11506.63227/1651792.72482*100)</f>
        <v>0.6966147808438803</v>
      </c>
      <c r="F29" s="27">
        <f>IF(OR(1447581.46785="",14801.6067="",8308.93978=""),"-",(8308.93978-14801.6067)/1447581.46785*100)</f>
        <v>-0.448518239850303</v>
      </c>
      <c r="G29" s="27">
        <f>IF(OR(1432658.71897="",11506.63227="",8308.93978=""),"-",(11506.63227-8308.93978)/1432658.71897*100)</f>
        <v>0.2231998764017545</v>
      </c>
      <c r="H29" s="13"/>
    </row>
    <row r="30" spans="1:8" s="16" customFormat="1" ht="25.5">
      <c r="A30" s="14" t="s">
        <v>59</v>
      </c>
      <c r="B30" s="27">
        <f>IF(1501.0752="","-",1501.0752)</f>
        <v>1501.0752</v>
      </c>
      <c r="C30" s="27">
        <f>IF(OR(1186.69057="",1501.0752=""),"-",1501.0752/1186.69057*100)</f>
        <v>126.49255315140829</v>
      </c>
      <c r="D30" s="27">
        <f>IF(1186.69057="","-",1186.69057/1432658.71897*100)</f>
        <v>0.08283135085047769</v>
      </c>
      <c r="E30" s="27">
        <f>IF(1501.0752="","-",1501.0752/1651792.72482*100)</f>
        <v>0.09087551830473015</v>
      </c>
      <c r="F30" s="27">
        <f>IF(OR(1447581.46785="",2508.98869="",1186.69057=""),"-",(1186.69057-2508.98869)/1447581.46785*100)</f>
        <v>-0.09134533353510839</v>
      </c>
      <c r="G30" s="27">
        <f>IF(OR(1432658.71897="",1501.0752="",1186.69057=""),"-",(1501.0752-1186.69057)/1432658.71897*100)</f>
        <v>0.021944139650092287</v>
      </c>
      <c r="H30" s="13"/>
    </row>
    <row r="31" spans="1:8" s="16" customFormat="1" ht="25.5">
      <c r="A31" s="15" t="s">
        <v>60</v>
      </c>
      <c r="B31" s="26">
        <f>IF(12020.59196="","-",12020.59196)</f>
        <v>12020.59196</v>
      </c>
      <c r="C31" s="26" t="s">
        <v>185</v>
      </c>
      <c r="D31" s="26">
        <f>IF(4270.69164="","-",4270.69164/1432658.71897*100)</f>
        <v>0.29809553269395406</v>
      </c>
      <c r="E31" s="26">
        <f>IF(12020.59196="","-",12020.59196/1651792.72482*100)</f>
        <v>0.7277300462326419</v>
      </c>
      <c r="F31" s="26">
        <f>IF(1447581.46785="","-",(4270.69164-8490.10456)/1447581.46785*100)</f>
        <v>-0.2914801697666677</v>
      </c>
      <c r="G31" s="26">
        <f>IF(1432658.71897="","-",(12020.59196-4270.69164)/1432658.71897*100)</f>
        <v>0.5409453219655646</v>
      </c>
      <c r="H31" s="13"/>
    </row>
    <row r="32" spans="1:8" s="16" customFormat="1" ht="25.5">
      <c r="A32" s="14" t="s">
        <v>62</v>
      </c>
      <c r="B32" s="27">
        <f>IF(12012.15289="","-",12012.15289)</f>
        <v>12012.15289</v>
      </c>
      <c r="C32" s="27" t="s">
        <v>185</v>
      </c>
      <c r="D32" s="27">
        <f>IF(4265.67053="","-",4265.67053/1432658.71897*100)</f>
        <v>0.2977450577389969</v>
      </c>
      <c r="E32" s="27">
        <f>IF(12012.15289="","-",12012.15289/1651792.72482*100)</f>
        <v>0.7272191425415676</v>
      </c>
      <c r="F32" s="27">
        <f>IF(OR(1447581.46785="",8422.15869="",4265.67053=""),"-",(4265.67053-8422.15869)/1447581.46785*100)</f>
        <v>-0.2871332807384835</v>
      </c>
      <c r="G32" s="27">
        <f>IF(OR(1432658.71897="",12012.15289="",4265.67053=""),"-",(12012.15289-4265.67053)/1432658.71897*100)</f>
        <v>0.5407067473521732</v>
      </c>
      <c r="H32" s="13"/>
    </row>
    <row r="33" spans="1:7" s="16" customFormat="1" ht="25.5">
      <c r="A33" s="15" t="s">
        <v>65</v>
      </c>
      <c r="B33" s="26">
        <f>IF(25981.40708="","-",25981.40708)</f>
        <v>25981.40708</v>
      </c>
      <c r="C33" s="26">
        <f>IF(26188.29572="","-",25981.40708/26188.29572*100)</f>
        <v>99.2099957850942</v>
      </c>
      <c r="D33" s="26">
        <f>IF(26188.29572="","-",26188.29572/1432658.71897*100)</f>
        <v>1.8279507445309717</v>
      </c>
      <c r="E33" s="26">
        <f>IF(25981.40708="","-",25981.40708/1651792.72482*100)</f>
        <v>1.5729217528083774</v>
      </c>
      <c r="F33" s="26">
        <f>IF(1447581.46785="","-",(26188.29572-49565.17872)/1447581.46785*100)</f>
        <v>-1.6148923925311225</v>
      </c>
      <c r="G33" s="26">
        <f>IF(1432658.71897="","-",(25981.40708-26188.29572)/1432658.71897*100)</f>
        <v>-0.014440887928196783</v>
      </c>
    </row>
    <row r="34" spans="1:7" s="16" customFormat="1" ht="25.5">
      <c r="A34" s="14" t="s">
        <v>67</v>
      </c>
      <c r="B34" s="27">
        <f>IF(25880.90321="","-",25880.90321)</f>
        <v>25880.90321</v>
      </c>
      <c r="C34" s="27">
        <f>IF(OR(26059.11544="",25880.90321=""),"-",25880.90321/26059.11544*100)</f>
        <v>99.3161232567148</v>
      </c>
      <c r="D34" s="27">
        <f>IF(26059.11544="","-",26059.11544/1432658.71897*100)</f>
        <v>1.818933922988653</v>
      </c>
      <c r="E34" s="27">
        <f>IF(25880.90321="","-",25880.90321/1651792.72482*100)</f>
        <v>1.5668372200162286</v>
      </c>
      <c r="F34" s="27">
        <f>IF(OR(1447581.46785="",49543.24973="",26059.11544=""),"-",(26059.11544-49543.24973)/1447581.46785*100)</f>
        <v>-1.622301391083673</v>
      </c>
      <c r="G34" s="27">
        <f>IF(OR(1432658.71897="",25880.90321="",26059.11544=""),"-",(25880.90321-26059.11544)/1432658.71897*100)</f>
        <v>-0.012439266075044407</v>
      </c>
    </row>
    <row r="35" spans="1:7" s="16" customFormat="1" ht="25.5">
      <c r="A35" s="15" t="s">
        <v>69</v>
      </c>
      <c r="B35" s="26">
        <f>IF(95600.90427="","-",95600.90427)</f>
        <v>95600.90427</v>
      </c>
      <c r="C35" s="26">
        <f>IF(79880.56232="","-",95600.90427/79880.56232*100)</f>
        <v>119.67980882135582</v>
      </c>
      <c r="D35" s="26">
        <f>IF(79880.56232="","-",79880.56232/1432658.71897*100)</f>
        <v>5.57568674676615</v>
      </c>
      <c r="E35" s="26">
        <f>IF(95600.90427="","-",95600.90427/1651792.72482*100)</f>
        <v>5.787705856400225</v>
      </c>
      <c r="F35" s="26">
        <f>IF(1447581.46785="","-",(79880.56232-93167.78575)/1447581.46785*100)</f>
        <v>-0.9178912361826972</v>
      </c>
      <c r="G35" s="26">
        <f>IF(1432658.71897="","-",(95600.90427-79880.56232)/1432658.71897*100)</f>
        <v>1.0972844922412528</v>
      </c>
    </row>
    <row r="36" spans="1:7" s="16" customFormat="1" ht="15.75">
      <c r="A36" s="14" t="s">
        <v>70</v>
      </c>
      <c r="B36" s="27">
        <f>IF(16978.27591="","-",16978.27591)</f>
        <v>16978.27591</v>
      </c>
      <c r="C36" s="27">
        <f>IF(OR(11616.01148="",16978.27591=""),"-",16978.27591/11616.01148*100)</f>
        <v>146.16269912639586</v>
      </c>
      <c r="D36" s="27">
        <f>IF(11616.01148="","-",11616.01148/1432658.71897*100)</f>
        <v>0.8108010181483591</v>
      </c>
      <c r="E36" s="27">
        <f>IF(16978.27591="","-",16978.27591/1651792.72482*100)</f>
        <v>1.0278696385377388</v>
      </c>
      <c r="F36" s="27">
        <f>IF(OR(1447581.46785="",2666.22033999999="",11616.01148=""),"-",(11616.01148-2666.22033999999)/1447581.46785*100)</f>
        <v>0.6182582009213312</v>
      </c>
      <c r="G36" s="27">
        <f>IF(OR(1432658.71897="",16978.27591="",11616.01148=""),"-",(16978.27591-11616.01148)/1432658.71897*100)</f>
        <v>0.3742876345215812</v>
      </c>
    </row>
    <row r="37" spans="1:7" s="16" customFormat="1" ht="15.75">
      <c r="A37" s="14" t="s">
        <v>71</v>
      </c>
      <c r="B37" s="27">
        <f>IF(861.82025="","-",861.82025)</f>
        <v>861.82025</v>
      </c>
      <c r="C37" s="27">
        <f>IF(OR(696.46851="",861.82025=""),"-",861.82025/696.46851*100)</f>
        <v>123.74145243120897</v>
      </c>
      <c r="D37" s="27">
        <f>IF(696.46851="","-",696.46851/1432658.71897*100)</f>
        <v>0.048613706863887385</v>
      </c>
      <c r="E37" s="27">
        <f>IF(861.82025="","-",861.82025/1651792.72482*100)</f>
        <v>0.052174842342516965</v>
      </c>
      <c r="F37" s="27">
        <f>IF(OR(1447581.46785="",150.03714="",696.46851=""),"-",(696.46851-150.03714)/1447581.46785*100)</f>
        <v>0.03774788377275785</v>
      </c>
      <c r="G37" s="27">
        <f>IF(OR(1432658.71897="",861.82025="",696.46851=""),"-",(861.82025-696.46851)/1432658.71897*100)</f>
        <v>0.011541600090137197</v>
      </c>
    </row>
    <row r="38" spans="1:7" s="16" customFormat="1" ht="15.75">
      <c r="A38" s="14" t="s">
        <v>72</v>
      </c>
      <c r="B38" s="27">
        <f>IF(846.66107="","-",846.66107)</f>
        <v>846.66107</v>
      </c>
      <c r="C38" s="27">
        <f>IF(OR(1164.64604="",846.66107=""),"-",846.66107/1164.64604*100)</f>
        <v>72.69685732156012</v>
      </c>
      <c r="D38" s="27">
        <f>IF(1164.64604="","-",1164.64604/1432658.71897*100)</f>
        <v>0.08129263617208948</v>
      </c>
      <c r="E38" s="27">
        <f>IF(846.66107="","-",846.66107/1651792.72482*100)</f>
        <v>0.05125710128625629</v>
      </c>
      <c r="F38" s="27">
        <f>IF(OR(1447581.46785="",957.86974="",1164.64604=""),"-",(1164.64604-957.86974)/1447581.46785*100)</f>
        <v>0.014284259959967</v>
      </c>
      <c r="G38" s="27">
        <f>IF(OR(1432658.71897="",846.66107="",1164.64604=""),"-",(846.66107-1164.64604)/1432658.71897*100)</f>
        <v>-0.022195444441130623</v>
      </c>
    </row>
    <row r="39" spans="1:7" s="16" customFormat="1" ht="15.75">
      <c r="A39" s="14" t="s">
        <v>73</v>
      </c>
      <c r="B39" s="27">
        <f>IF(45132.42921="","-",45132.42921)</f>
        <v>45132.42921</v>
      </c>
      <c r="C39" s="27">
        <f>IF(OR(30016.85943="",45132.42921=""),"-",45132.42921/30016.85943*100)</f>
        <v>150.35693296045795</v>
      </c>
      <c r="D39" s="27">
        <f>IF(30016.85943="","-",30016.85943/1432658.71897*100)</f>
        <v>2.095185617659202</v>
      </c>
      <c r="E39" s="27">
        <f>IF(45132.42921="","-",45132.42921/1651792.72482*100)</f>
        <v>2.73233006368388</v>
      </c>
      <c r="F39" s="27">
        <f>IF(OR(1447581.46785="",52093.96348="",30016.85943=""),"-",(30016.85943-52093.96348)/1447581.46785*100)</f>
        <v>-1.52510269993921</v>
      </c>
      <c r="G39" s="27">
        <f>IF(OR(1432658.71897="",45132.42921="",30016.85943=""),"-",(45132.42921-30016.85943)/1432658.71897*100)</f>
        <v>1.055071216881801</v>
      </c>
    </row>
    <row r="40" spans="1:7" s="16" customFormat="1" ht="38.25">
      <c r="A40" s="14" t="s">
        <v>74</v>
      </c>
      <c r="B40" s="27">
        <f>IF(22848.80941="","-",22848.80941)</f>
        <v>22848.80941</v>
      </c>
      <c r="C40" s="27">
        <f>IF(OR(28921.20375="",22848.80941=""),"-",22848.80941/28921.20375*100)</f>
        <v>79.0036597629516</v>
      </c>
      <c r="D40" s="27">
        <f>IF(28921.20375="","-",28921.20375/1432658.71897*100)</f>
        <v>2.0187085289085944</v>
      </c>
      <c r="E40" s="27">
        <f>IF(22848.80941="","-",22848.80941/1651792.72482*100)</f>
        <v>1.3832734014789838</v>
      </c>
      <c r="F40" s="27">
        <f>IF(OR(1447581.46785="",30210.53347="",28921.20375=""),"-",(28921.20375-30210.53347)/1447581.46785*100)</f>
        <v>-0.08906785204393068</v>
      </c>
      <c r="G40" s="27">
        <f>IF(OR(1432658.71897="",22848.80941="",28921.20375=""),"-",(22848.80941-28921.20375)/1432658.71897*100)</f>
        <v>-0.4238549111239629</v>
      </c>
    </row>
    <row r="41" spans="1:7" s="16" customFormat="1" ht="15.75">
      <c r="A41" s="14" t="s">
        <v>76</v>
      </c>
      <c r="B41" s="27">
        <f>IF(2845.28159="","-",2845.28159)</f>
        <v>2845.28159</v>
      </c>
      <c r="C41" s="27">
        <f>IF(OR(2708.06233="",2845.28159=""),"-",2845.28159/2708.06233*100)</f>
        <v>105.06706431679508</v>
      </c>
      <c r="D41" s="27">
        <f>IF(2708.06233="","-",2708.06233/1432658.71897*100)</f>
        <v>0.18902354720927136</v>
      </c>
      <c r="E41" s="27">
        <f>IF(2845.28159="","-",2845.28159/1651792.72482*100)</f>
        <v>0.17225415436492236</v>
      </c>
      <c r="F41" s="27">
        <f>IF(OR(1447581.46785="",4067.33634="",2708.06233=""),"-",(2708.06233-4067.33634)/1447581.46785*100)</f>
        <v>-0.09389965540377097</v>
      </c>
      <c r="G41" s="27">
        <f>IF(OR(1432658.71897="",2845.28159="",2708.06233=""),"-",(2845.28159-2708.06233)/1432658.71897*100)</f>
        <v>0.00957794471098132</v>
      </c>
    </row>
    <row r="42" spans="1:7" s="16" customFormat="1" ht="15.75">
      <c r="A42" s="14" t="s">
        <v>77</v>
      </c>
      <c r="B42" s="27">
        <f>IF(2355.44516="","-",2355.44516)</f>
        <v>2355.44516</v>
      </c>
      <c r="C42" s="27">
        <f>IF(OR(2240.46408="",2355.44516=""),"-",2355.44516/2240.46408*100)</f>
        <v>105.1320206838576</v>
      </c>
      <c r="D42" s="27">
        <f>IF(2240.46408="","-",2240.46408/1432658.71897*100)</f>
        <v>0.1563850518154642</v>
      </c>
      <c r="E42" s="27">
        <f>IF(2355.44516="","-",2355.44516/1651792.72482*100)</f>
        <v>0.14259931797778558</v>
      </c>
      <c r="F42" s="27">
        <f>IF(OR(1447581.46785="",1396.86055="",2240.46408=""),"-",(2240.46408-1396.86055)/1447581.46785*100)</f>
        <v>0.058276756696322624</v>
      </c>
      <c r="G42" s="27">
        <f>IF(OR(1432658.71897="",2355.44516="",2240.46408=""),"-",(2355.44516-2240.46408)/1432658.71897*100)</f>
        <v>0.008025713205631056</v>
      </c>
    </row>
    <row r="43" spans="1:7" s="16" customFormat="1" ht="15.75">
      <c r="A43" s="14" t="s">
        <v>78</v>
      </c>
      <c r="B43" s="27">
        <f>IF(3681.78167="","-",3681.78167)</f>
        <v>3681.78167</v>
      </c>
      <c r="C43" s="27">
        <f>IF(OR(2495.40037="",3681.78167=""),"-",3681.78167/2495.40037*100)</f>
        <v>147.54272357505502</v>
      </c>
      <c r="D43" s="27">
        <f>IF(2495.40037="","-",2495.40037/1432658.71897*100)</f>
        <v>0.17417967984685498</v>
      </c>
      <c r="E43" s="27">
        <f>IF(3681.78167="","-",3681.78167/1651792.72482*100)</f>
        <v>0.22289610643497737</v>
      </c>
      <c r="F43" s="27">
        <f>IF(OR(1447581.46785="",1588.85981="",2495.40037=""),"-",(2495.40037-1588.85981)/1447581.46785*100)</f>
        <v>0.06262449334519504</v>
      </c>
      <c r="G43" s="27">
        <f>IF(OR(1432658.71897="",3681.78167="",2495.40037=""),"-",(3681.78167-2495.40037)/1432658.71897*100)</f>
        <v>0.08280976371350607</v>
      </c>
    </row>
    <row r="44" spans="1:7" s="16" customFormat="1" ht="25.5">
      <c r="A44" s="15" t="s">
        <v>79</v>
      </c>
      <c r="B44" s="26">
        <f>IF(125469.45582="","-",125469.45582)</f>
        <v>125469.45582</v>
      </c>
      <c r="C44" s="26">
        <f>IF(133996.34717="","-",125469.45582/133996.34717*100)</f>
        <v>93.63647477704598</v>
      </c>
      <c r="D44" s="26">
        <f>IF(133996.34717="","-",133996.34717/1432658.71897*100)</f>
        <v>9.352984447429025</v>
      </c>
      <c r="E44" s="26">
        <f>IF(125469.45582="","-",125469.45582/1651792.72482*100)</f>
        <v>7.5959564377953495</v>
      </c>
      <c r="F44" s="26">
        <f>IF(1447581.46785="","-",(133996.34717-99535.39185)/1447581.46785*100)</f>
        <v>2.3805883181954965</v>
      </c>
      <c r="G44" s="26">
        <f>IF(1432658.71897="","-",(125469.45582-133996.34717)/1432658.71897*100)</f>
        <v>-0.5951795244111131</v>
      </c>
    </row>
    <row r="45" spans="1:7" s="16" customFormat="1" ht="15.75">
      <c r="A45" s="14" t="s">
        <v>80</v>
      </c>
      <c r="B45" s="27">
        <f>IF(1798.43386="","-",1798.43386)</f>
        <v>1798.43386</v>
      </c>
      <c r="C45" s="27">
        <f>IF(OR(1350.33016="",1798.43386=""),"-",1798.43386/1350.33016*100)</f>
        <v>133.18475090566</v>
      </c>
      <c r="D45" s="27">
        <f>IF(1350.33016="","-",1350.33016/1432658.71897*100)</f>
        <v>0.09425344236698677</v>
      </c>
      <c r="E45" s="27">
        <f>IF(1798.43386="","-",1798.43386/1651792.72482*100)</f>
        <v>0.10887769591042243</v>
      </c>
      <c r="F45" s="27">
        <f>IF(OR(1447581.46785="",895.20004="",1350.33016=""),"-",(1350.33016-895.20004)/1447581.46785*100)</f>
        <v>0.03144072579735188</v>
      </c>
      <c r="G45" s="27">
        <f>IF(OR(1432658.71897="",1798.43386="",1350.33016=""),"-",(1798.43386-1350.33016)/1432658.71897*100)</f>
        <v>0.031277770069494365</v>
      </c>
    </row>
    <row r="46" spans="1:7" s="16" customFormat="1" ht="15.75">
      <c r="A46" s="14" t="s">
        <v>81</v>
      </c>
      <c r="B46" s="27">
        <f>IF(1727.31207="","-",1727.31207)</f>
        <v>1727.31207</v>
      </c>
      <c r="C46" s="27">
        <f>IF(OR(10799.9718="",1727.31207=""),"-",1727.31207/10799.9718*100)</f>
        <v>15.993672039032546</v>
      </c>
      <c r="D46" s="27">
        <f>IF(10799.9718="","-",10799.9718/1432658.71897*100)</f>
        <v>0.7538412084466679</v>
      </c>
      <c r="E46" s="27">
        <f>IF(1727.31207="","-",1727.31207/1651792.72482*100)</f>
        <v>0.10457196257407113</v>
      </c>
      <c r="F46" s="27">
        <f>IF(OR(1447581.46785="",7833.06065="",10799.9718=""),"-",(10799.9718-7833.06065)/1447581.46785*100)</f>
        <v>0.20495641978662257</v>
      </c>
      <c r="G46" s="27">
        <f>IF(OR(1432658.71897="",1727.31207="",10799.9718=""),"-",(1727.31207-10799.9718)/1432658.71897*100)</f>
        <v>-0.633274317872628</v>
      </c>
    </row>
    <row r="47" spans="1:7" s="16" customFormat="1" ht="15.75">
      <c r="A47" s="14" t="s">
        <v>82</v>
      </c>
      <c r="B47" s="27">
        <f>IF(7185.31524="","-",7185.31524)</f>
        <v>7185.31524</v>
      </c>
      <c r="C47" s="27">
        <f>IF(OR(6105.60625="",7185.31524=""),"-",7185.31524/6105.60625*100)</f>
        <v>117.68389486302036</v>
      </c>
      <c r="D47" s="27">
        <f>IF(6105.60625="","-",6105.60625/1432658.71897*100)</f>
        <v>0.4261731122112308</v>
      </c>
      <c r="E47" s="27">
        <f>IF(7185.31524="","-",7185.31524/1651792.72482*100)</f>
        <v>0.43500102234576693</v>
      </c>
      <c r="F47" s="27">
        <f>IF(OR(1447581.46785="",4573.79863="",6105.60625=""),"-",(6105.60625-4573.79863)/1447581.46785*100)</f>
        <v>0.10581840497551377</v>
      </c>
      <c r="G47" s="27">
        <f>IF(OR(1432658.71897="",7185.31524="",6105.60625=""),"-",(7185.31524-6105.60625)/1432658.71897*100)</f>
        <v>0.07536400509789584</v>
      </c>
    </row>
    <row r="48" spans="1:7" s="16" customFormat="1" ht="25.5">
      <c r="A48" s="14" t="s">
        <v>83</v>
      </c>
      <c r="B48" s="27">
        <f>IF(5411.18988="","-",5411.18988)</f>
        <v>5411.18988</v>
      </c>
      <c r="C48" s="27">
        <f>IF(OR(4956.09283="",5411.18988=""),"-",5411.18988/4956.09283*100)</f>
        <v>109.18257719559301</v>
      </c>
      <c r="D48" s="27">
        <f>IF(4956.09283="","-",4956.09283/1432658.71897*100)</f>
        <v>0.3459367373663944</v>
      </c>
      <c r="E48" s="27">
        <f>IF(5411.18988="","-",5411.18988/1651792.72482*100)</f>
        <v>0.32759496991910236</v>
      </c>
      <c r="F48" s="27">
        <f>IF(OR(1447581.46785="",4939.37177="",4956.09283=""),"-",(4956.09283-4939.37177)/1447581.46785*100)</f>
        <v>0.0011551032098272556</v>
      </c>
      <c r="G48" s="27">
        <f>IF(OR(1432658.71897="",5411.18988="",4956.09283=""),"-",(5411.18988-4956.09283)/1432658.71897*100)</f>
        <v>0.03176590795658502</v>
      </c>
    </row>
    <row r="49" spans="1:7" s="16" customFormat="1" ht="25.5">
      <c r="A49" s="14" t="s">
        <v>84</v>
      </c>
      <c r="B49" s="27">
        <f>IF(61599.66674="","-",61599.66674)</f>
        <v>61599.66674</v>
      </c>
      <c r="C49" s="27">
        <f>IF(OR(56799.88812="",61599.66674=""),"-",61599.66674/56799.88812*100)</f>
        <v>108.45033111660291</v>
      </c>
      <c r="D49" s="27">
        <f>IF(56799.88812="","-",56799.88812/1432658.71897*100)</f>
        <v>3.9646488984365993</v>
      </c>
      <c r="E49" s="27">
        <f>IF(61599.66674="","-",61599.66674/1651792.72482*100)</f>
        <v>3.729261293768725</v>
      </c>
      <c r="F49" s="27">
        <f>IF(OR(1447581.46785="",36873.23989="",56799.88812=""),"-",(56799.88812-36873.23989)/1447581.46785*100)</f>
        <v>1.3765476190846642</v>
      </c>
      <c r="G49" s="27">
        <f>IF(OR(1432658.71897="",61599.66674="",56799.88812=""),"-",(61599.66674-56799.88812)/1432658.71897*100)</f>
        <v>0.3350259595286423</v>
      </c>
    </row>
    <row r="50" spans="1:7" s="16" customFormat="1" ht="15.75">
      <c r="A50" s="14" t="s">
        <v>85</v>
      </c>
      <c r="B50" s="27">
        <f>IF(23556.35122="","-",23556.35122)</f>
        <v>23556.35122</v>
      </c>
      <c r="C50" s="27">
        <f>IF(OR(27234.46129="",23556.35122=""),"-",23556.35122/27234.46129*100)</f>
        <v>86.49464723816463</v>
      </c>
      <c r="D50" s="27">
        <f>IF(27234.46129="","-",27234.46129/1432658.71897*100)</f>
        <v>1.9009734090460866</v>
      </c>
      <c r="E50" s="27">
        <f>IF(23556.35122="","-",23556.35122/1651792.72482*100)</f>
        <v>1.4261081833113773</v>
      </c>
      <c r="F50" s="27">
        <f>IF(OR(1447581.46785="",25832.59464="",27234.46129=""),"-",(27234.46129-25832.59464)/1447581.46785*100)</f>
        <v>0.09684198652267238</v>
      </c>
      <c r="G50" s="27">
        <f>IF(OR(1432658.71897="",23556.35122="",27234.46129=""),"-",(23556.35122-27234.46129)/1432658.71897*100)</f>
        <v>-0.25673316480036157</v>
      </c>
    </row>
    <row r="51" spans="1:7" s="16" customFormat="1" ht="15.75">
      <c r="A51" s="14" t="s">
        <v>86</v>
      </c>
      <c r="B51" s="27">
        <f>IF(1948.14949="","-",1948.14949)</f>
        <v>1948.14949</v>
      </c>
      <c r="C51" s="27">
        <f>IF(OR(2840.57576="",1948.14949=""),"-",1948.14949/2840.57576*100)</f>
        <v>68.58290905080455</v>
      </c>
      <c r="D51" s="27">
        <f>IF(2840.57576="","-",2840.57576/1432658.71897*100)</f>
        <v>0.19827302360203497</v>
      </c>
      <c r="E51" s="27">
        <f>IF(1948.14949="","-",1948.14949/1651792.72482*100)</f>
        <v>0.11794152260915756</v>
      </c>
      <c r="F51" s="27">
        <f>IF(OR(1447581.46785="",1815.7512="",2840.57576=""),"-",(2840.57576-1815.7512)/1447581.46785*100)</f>
        <v>0.07079563967630137</v>
      </c>
      <c r="G51" s="27">
        <f>IF(OR(1432658.71897="",1948.14949="",2840.57576=""),"-",(1948.14949-2840.57576)/1432658.71897*100)</f>
        <v>-0.06229161615277111</v>
      </c>
    </row>
    <row r="52" spans="1:7" s="16" customFormat="1" ht="15.75">
      <c r="A52" s="14" t="s">
        <v>87</v>
      </c>
      <c r="B52" s="27">
        <f>IF(2467.96248="","-",2467.96248)</f>
        <v>2467.96248</v>
      </c>
      <c r="C52" s="27">
        <f>IF(OR(1738.43436="",2467.96248=""),"-",2467.96248/1738.43436*100)</f>
        <v>141.96466296259814</v>
      </c>
      <c r="D52" s="27">
        <f>IF(1738.43436="","-",1738.43436/1432658.71897*100)</f>
        <v>0.12134322968765619</v>
      </c>
      <c r="E52" s="27">
        <f>IF(2467.96248="","-",2467.96248/1651792.72482*100)</f>
        <v>0.14941114843988312</v>
      </c>
      <c r="F52" s="27">
        <f>IF(OR(1447581.46785="",2603.26056="",1738.43436=""),"-",(1738.43436-2603.26056)/1447581.46785*100)</f>
        <v>-0.059742834459221926</v>
      </c>
      <c r="G52" s="27">
        <f>IF(OR(1432658.71897="",2467.96248="",1738.43436=""),"-",(2467.96248-1738.43436)/1432658.71897*100)</f>
        <v>0.05092127736635626</v>
      </c>
    </row>
    <row r="53" spans="1:7" s="16" customFormat="1" ht="15.75">
      <c r="A53" s="14" t="s">
        <v>88</v>
      </c>
      <c r="B53" s="27">
        <f>IF(19775.07484="","-",19775.07484)</f>
        <v>19775.07484</v>
      </c>
      <c r="C53" s="27">
        <f>IF(OR(22170.9866="",19775.07484=""),"-",19775.07484/22170.9866*100)</f>
        <v>89.19348153861588</v>
      </c>
      <c r="D53" s="27">
        <f>IF(22170.9866="","-",22170.9866/1432658.71897*100)</f>
        <v>1.547541386265368</v>
      </c>
      <c r="E53" s="27">
        <f>IF(19775.07484="","-",19775.07484/1651792.72482*100)</f>
        <v>1.1971886389168436</v>
      </c>
      <c r="F53" s="27">
        <f>IF(OR(1447581.46785="",14169.11447="",22170.9866=""),"-",(22170.9866-14169.11447)/1447581.46785*100)</f>
        <v>0.5527752536017657</v>
      </c>
      <c r="G53" s="27">
        <f>IF(OR(1432658.71897="",19775.07484="",22170.9866=""),"-",(19775.07484-22170.9866)/1432658.71897*100)</f>
        <v>-0.16723534560432668</v>
      </c>
    </row>
    <row r="54" spans="1:7" s="16" customFormat="1" ht="14.25" customHeight="1">
      <c r="A54" s="15" t="s">
        <v>89</v>
      </c>
      <c r="B54" s="26">
        <f>IF(308260.67639="","-",308260.67639)</f>
        <v>308260.67639</v>
      </c>
      <c r="C54" s="26">
        <f>IF(235204.96696="","-",308260.67639/235204.96696*100)</f>
        <v>131.0604450128063</v>
      </c>
      <c r="D54" s="26">
        <f>IF(235204.96696="","-",235204.96696/1432658.71897*100)</f>
        <v>16.417375879239334</v>
      </c>
      <c r="E54" s="26">
        <f>IF(308260.67639="","-",308260.67639/1651792.72482*100)</f>
        <v>18.662188769695177</v>
      </c>
      <c r="F54" s="26">
        <f>IF(1447581.46785="","-",(235204.96696-236875.44476)/1447581.46785*100)</f>
        <v>-0.1153978437207459</v>
      </c>
      <c r="G54" s="26">
        <f>IF(1432658.71897="","-",(308260.67639-235204.96696)/1432658.71897*100)</f>
        <v>5.099310007516856</v>
      </c>
    </row>
    <row r="55" spans="1:7" s="16" customFormat="1" ht="27.75" customHeight="1">
      <c r="A55" s="14" t="s">
        <v>90</v>
      </c>
      <c r="B55" s="27">
        <f>IF(2075.03629="","-",2075.03629)</f>
        <v>2075.03629</v>
      </c>
      <c r="C55" s="27">
        <f>IF(OR(1894.11287="",2075.03629=""),"-",2075.03629/1894.11287*100)</f>
        <v>109.55188166795995</v>
      </c>
      <c r="D55" s="27">
        <f>IF(1894.11287="","-",1894.11287/1432658.71897*100)</f>
        <v>0.1322096354784173</v>
      </c>
      <c r="E55" s="27">
        <f>IF(2075.03629="","-",2075.03629/1651792.72482*100)</f>
        <v>0.12562328546556117</v>
      </c>
      <c r="F55" s="27">
        <f>IF(OR(1447581.46785="",5655.80118="",1894.11287=""),"-",(1894.11287-5655.80118)/1447581.46785*100)</f>
        <v>-0.25986021467841774</v>
      </c>
      <c r="G55" s="27">
        <f>IF(OR(1432658.71897="",2075.03629="",1894.11287=""),"-",(2075.03629-1894.11287)/1432658.71897*100)</f>
        <v>0.012628507934539615</v>
      </c>
    </row>
    <row r="56" spans="1:7" s="16" customFormat="1" ht="25.5">
      <c r="A56" s="14" t="s">
        <v>91</v>
      </c>
      <c r="B56" s="27">
        <f>IF(6684.01726="","-",6684.01726)</f>
        <v>6684.01726</v>
      </c>
      <c r="C56" s="27">
        <f>IF(OR(6890.02988="",6684.01726=""),"-",6684.01726/6890.02988*100)</f>
        <v>97.00998945450145</v>
      </c>
      <c r="D56" s="27">
        <f>IF(6890.02988="","-",6890.02988/1432658.71897*100)</f>
        <v>0.4809261123230757</v>
      </c>
      <c r="E56" s="27">
        <f>IF(6684.01726="","-",6684.01726/1651792.72482*100)</f>
        <v>0.4046523004711971</v>
      </c>
      <c r="F56" s="27">
        <f>IF(OR(1447581.46785="",7731.7191="",6890.02988=""),"-",(6890.02988-7731.7191)/1447581.46785*100)</f>
        <v>-0.05814451474362319</v>
      </c>
      <c r="G56" s="27">
        <f>IF(OR(1432658.71897="",6684.01726="",6890.02988=""),"-",(6684.01726-6890.02988)/1432658.71897*100)</f>
        <v>-0.014379741474516119</v>
      </c>
    </row>
    <row r="57" spans="1:7" s="16" customFormat="1" ht="25.5">
      <c r="A57" s="14" t="s">
        <v>92</v>
      </c>
      <c r="B57" s="27">
        <f>IF(1182.28985="","-",1182.28985)</f>
        <v>1182.28985</v>
      </c>
      <c r="C57" s="27">
        <f>IF(OR(1406.48606="",1182.28985=""),"-",1182.28985/1406.48606*100)</f>
        <v>84.05983419416187</v>
      </c>
      <c r="D57" s="27">
        <f>IF(1406.48606="","-",1406.48606/1432658.71897*100)</f>
        <v>0.09817314070521856</v>
      </c>
      <c r="E57" s="27">
        <f>IF(1182.28985="","-",1182.28985/1651792.72482*100)</f>
        <v>0.0715761628099456</v>
      </c>
      <c r="F57" s="27">
        <f>IF(OR(1447581.46785="",1646.00756="",1406.48606=""),"-",(1406.48606-1646.00756)/1447581.46785*100)</f>
        <v>-0.0165463226298238</v>
      </c>
      <c r="G57" s="27">
        <f>IF(OR(1432658.71897="",1182.28985="",1406.48606=""),"-",(1182.28985-1406.48606)/1432658.71897*100)</f>
        <v>-0.01564896140521061</v>
      </c>
    </row>
    <row r="58" spans="1:7" s="16" customFormat="1" ht="39" customHeight="1">
      <c r="A58" s="14" t="s">
        <v>93</v>
      </c>
      <c r="B58" s="27">
        <f>IF(22347.92284="","-",22347.92284)</f>
        <v>22347.92284</v>
      </c>
      <c r="C58" s="27">
        <f>IF(OR(22314.78851="",22347.92284=""),"-",22347.92284/22314.78851*100)</f>
        <v>100.14848596922687</v>
      </c>
      <c r="D58" s="27">
        <f>IF(22314.78851="","-",22314.78851/1432658.71897*100)</f>
        <v>1.5575788018826326</v>
      </c>
      <c r="E58" s="27">
        <f>IF(22347.92284="","-",22347.92284/1651792.72482*100)</f>
        <v>1.3529495864824874</v>
      </c>
      <c r="F58" s="27">
        <f>IF(OR(1447581.46785="",25159.33263="",22314.78851=""),"-",(22314.78851-25159.33263)/1447581.46785*100)</f>
        <v>-0.19650321471888013</v>
      </c>
      <c r="G58" s="27">
        <f>IF(OR(1432658.71897="",22347.92284="",22314.78851=""),"-",(22347.92284-22314.78851)/1432658.71897*100)</f>
        <v>0.0023127859804477698</v>
      </c>
    </row>
    <row r="59" spans="1:7" s="16" customFormat="1" ht="27" customHeight="1">
      <c r="A59" s="14" t="s">
        <v>94</v>
      </c>
      <c r="B59" s="27">
        <f>IF(610.639="","-",610.639)</f>
        <v>610.639</v>
      </c>
      <c r="C59" s="27">
        <f>IF(OR(2041.89299="",610.639=""),"-",610.639/2041.89299*100)</f>
        <v>29.90553388402592</v>
      </c>
      <c r="D59" s="27">
        <f>IF(2041.89299="","-",2041.89299/1432658.71897*100)</f>
        <v>0.14252473132387067</v>
      </c>
      <c r="E59" s="27">
        <f>IF(610.639="","-",610.639/1651792.72482*100)</f>
        <v>0.036968258233886025</v>
      </c>
      <c r="F59" s="27">
        <f>IF(OR(1447581.46785="",665.51068="",2041.89299=""),"-",(2041.89299-665.51068)/1447581.46785*100)</f>
        <v>0.09508150943962086</v>
      </c>
      <c r="G59" s="27">
        <f>IF(OR(1432658.71897="",610.639="",2041.89299=""),"-",(610.639-2041.89299)/1432658.71897*100)</f>
        <v>-0.09990194950469365</v>
      </c>
    </row>
    <row r="60" spans="1:7" s="16" customFormat="1" ht="39" customHeight="1">
      <c r="A60" s="14" t="s">
        <v>95</v>
      </c>
      <c r="B60" s="27">
        <f>IF(3125.26853="","-",3125.26853)</f>
        <v>3125.26853</v>
      </c>
      <c r="C60" s="27">
        <f>IF(OR(2378.67185="",3125.26853=""),"-",3125.26853/2378.67185*100)</f>
        <v>131.3871238691457</v>
      </c>
      <c r="D60" s="27">
        <f>IF(2378.67185="","-",2378.67185/1432658.71897*100)</f>
        <v>0.1660319948152153</v>
      </c>
      <c r="E60" s="27">
        <f>IF(3125.26853="","-",3125.26853/1651792.72482*100)</f>
        <v>0.1892046431152897</v>
      </c>
      <c r="F60" s="27">
        <f>IF(OR(1447581.46785="",2867.64253="",2378.67185=""),"-",(2378.67185-2867.64253)/1447581.46785*100)</f>
        <v>-0.03377845674732468</v>
      </c>
      <c r="G60" s="27">
        <f>IF(OR(1432658.71897="",3125.26853="",2378.67185=""),"-",(3125.26853-2378.67185)/1432658.71897*100)</f>
        <v>0.05211266787506518</v>
      </c>
    </row>
    <row r="61" spans="1:7" s="16" customFormat="1" ht="40.5" customHeight="1">
      <c r="A61" s="14" t="s">
        <v>96</v>
      </c>
      <c r="B61" s="27">
        <f>IF(237193.02749="","-",237193.02749)</f>
        <v>237193.02749</v>
      </c>
      <c r="C61" s="27">
        <f>IF(OR(179923.38858="",237193.02749=""),"-",237193.02749/179923.38858*100)</f>
        <v>131.83001351963532</v>
      </c>
      <c r="D61" s="27">
        <f>IF(179923.38858="","-",179923.38858/1432658.71897*100)</f>
        <v>12.558705447264835</v>
      </c>
      <c r="E61" s="27">
        <f>IF(237193.02749="","-",237193.02749/1651792.72482*100)</f>
        <v>14.359733150892012</v>
      </c>
      <c r="F61" s="27">
        <f>IF(OR(1447581.46785="",179330.63621="",179923.38858=""),"-",(179923.38858-179330.63621)/1447581.46785*100)</f>
        <v>0.04094777276199723</v>
      </c>
      <c r="G61" s="27">
        <f>IF(OR(1432658.71897="",237193.02749="",179923.38858=""),"-",(237193.02749-179923.38858)/1432658.71897*100)</f>
        <v>3.9974376417555755</v>
      </c>
    </row>
    <row r="62" spans="1:7" s="16" customFormat="1" ht="25.5">
      <c r="A62" s="14" t="s">
        <v>97</v>
      </c>
      <c r="B62" s="27">
        <f>IF(19723.81034="","-",19723.81034)</f>
        <v>19723.81034</v>
      </c>
      <c r="C62" s="27">
        <f>IF(OR(17996.73261="",19723.81034=""),"-",19723.81034/17996.73261*100)</f>
        <v>109.59661827192086</v>
      </c>
      <c r="D62" s="27">
        <f>IF(17996.73261="","-",17996.73261/1432658.71897*100)</f>
        <v>1.2561772299085034</v>
      </c>
      <c r="E62" s="27">
        <f>IF(19723.81034="","-",19723.81034/1651792.72482*100)</f>
        <v>1.1940850715485114</v>
      </c>
      <c r="F62" s="27">
        <f>IF(OR(1447581.46785="",8793.53382="",17996.73261=""),"-",(17996.73261-8793.53382)/1447581.46785*100)</f>
        <v>0.6357637890784082</v>
      </c>
      <c r="G62" s="27">
        <f>IF(OR(1432658.71897="",19723.81034="",17996.73261=""),"-",(19723.81034-17996.73261)/1432658.71897*100)</f>
        <v>0.12055053357310883</v>
      </c>
    </row>
    <row r="63" spans="1:7" s="16" customFormat="1" ht="15.75">
      <c r="A63" s="14" t="s">
        <v>98</v>
      </c>
      <c r="B63" s="27">
        <f>IF(15318.66479="","-",15318.66479)</f>
        <v>15318.66479</v>
      </c>
      <c r="C63" s="27" t="s">
        <v>272</v>
      </c>
      <c r="D63" s="27">
        <f>IF(358.86361="","-",358.86361/1432658.71897*100)</f>
        <v>0.02504878553756351</v>
      </c>
      <c r="E63" s="27">
        <f>IF(15318.66479="","-",15318.66479/1651792.72482*100)</f>
        <v>0.9273963106762875</v>
      </c>
      <c r="F63" s="27">
        <f>IF(OR(1447581.46785="",5025.26105="",358.86361=""),"-",(358.86361-5025.26105)/1447581.46785*100)</f>
        <v>-0.32235819148270123</v>
      </c>
      <c r="G63" s="27">
        <f>IF(OR(1432658.71897="",15318.66479="",358.86361=""),"-",(15318.66479-358.86361)/1432658.71897*100)</f>
        <v>1.0441985227825399</v>
      </c>
    </row>
    <row r="64" spans="1:7" s="16" customFormat="1" ht="15.75">
      <c r="A64" s="15" t="s">
        <v>99</v>
      </c>
      <c r="B64" s="26">
        <f>IF(388178.62215="","-",388178.62215)</f>
        <v>388178.62215</v>
      </c>
      <c r="C64" s="26">
        <f>IF(352823.98317="","-",388178.62215/352823.98317*100)</f>
        <v>110.02047498652188</v>
      </c>
      <c r="D64" s="26">
        <f>IF(352823.98317="","-",352823.98317/1432658.71897*100)</f>
        <v>24.627217808276093</v>
      </c>
      <c r="E64" s="26">
        <f>IF(388178.62215="","-",388178.62215/1651792.72482*100)</f>
        <v>23.500443870298607</v>
      </c>
      <c r="F64" s="26">
        <f>IF(1447581.46785="","-",(352823.98317-320542.71362)/1447581.46785*100)</f>
        <v>2.230014010744786</v>
      </c>
      <c r="G64" s="26">
        <f>IF(1432658.71897="","-",(388178.62215-352823.98317)/1432658.71897*100)</f>
        <v>2.467764200354566</v>
      </c>
    </row>
    <row r="65" spans="1:7" s="16" customFormat="1" ht="39.75" customHeight="1">
      <c r="A65" s="14" t="s">
        <v>100</v>
      </c>
      <c r="B65" s="27">
        <f>IF(6858.78307="","-",6858.78307)</f>
        <v>6858.78307</v>
      </c>
      <c r="C65" s="27" t="s">
        <v>213</v>
      </c>
      <c r="D65" s="27">
        <f>IF(3745.85266="","-",3745.85266/1432658.71897*100)</f>
        <v>0.2614616175088129</v>
      </c>
      <c r="E65" s="27">
        <f>IF(6858.78307="","-",6858.78307/1651792.72482*100)</f>
        <v>0.4152326721712266</v>
      </c>
      <c r="F65" s="27">
        <f>IF(OR(1447581.46785="",2274.83235="",3745.85266=""),"-",(3745.85266-2274.83235)/1447581.46785*100)</f>
        <v>0.1016191725765053</v>
      </c>
      <c r="G65" s="27">
        <f>IF(OR(1432658.71897="",6858.78307="",3745.85266=""),"-",(6858.78307-3745.85266)/1432658.71897*100)</f>
        <v>0.21728345828502826</v>
      </c>
    </row>
    <row r="66" spans="1:7" s="16" customFormat="1" ht="15.75">
      <c r="A66" s="14" t="s">
        <v>101</v>
      </c>
      <c r="B66" s="27">
        <f>IF(96071.14796="","-",96071.14796)</f>
        <v>96071.14796</v>
      </c>
      <c r="C66" s="27">
        <f>IF(OR(90673.44423="",96071.14796=""),"-",96071.14796/90673.44423*100)</f>
        <v>105.95290470747788</v>
      </c>
      <c r="D66" s="27">
        <f>IF(90673.44423="","-",90673.44423/1432658.71897*100)</f>
        <v>6.329033078805329</v>
      </c>
      <c r="E66" s="27">
        <f>IF(96071.14796="","-",96071.14796/1651792.72482*100)</f>
        <v>5.8161745427513685</v>
      </c>
      <c r="F66" s="27">
        <f>IF(OR(1447581.46785="",70360.00952="",90673.44423=""),"-",(90673.44423-70360.00952)/1447581.46785*100)</f>
        <v>1.403267115609751</v>
      </c>
      <c r="G66" s="27">
        <f>IF(OR(1432658.71897="",96071.14796="",90673.44423=""),"-",(96071.14796-90673.44423)/1432658.71897*100)</f>
        <v>0.3767613080860353</v>
      </c>
    </row>
    <row r="67" spans="1:7" s="16" customFormat="1" ht="15.75">
      <c r="A67" s="14" t="s">
        <v>102</v>
      </c>
      <c r="B67" s="27">
        <f>IF(9005.44803="","-",9005.44803)</f>
        <v>9005.44803</v>
      </c>
      <c r="C67" s="27">
        <f>IF(OR(10716.36273="",9005.44803=""),"-",9005.44803/10716.36273*100)</f>
        <v>84.03455777760892</v>
      </c>
      <c r="D67" s="27">
        <f>IF(10716.36273="","-",10716.36273/1432658.71897*100)</f>
        <v>0.748005270767099</v>
      </c>
      <c r="E67" s="27">
        <f>IF(9005.44803="","-",9005.44803/1651792.72482*100)</f>
        <v>0.5451923776320874</v>
      </c>
      <c r="F67" s="27">
        <f>IF(OR(1447581.46785="",11257.7627="",10716.36273=""),"-",(10716.36273-11257.7627)/1447581.46785*100)</f>
        <v>-0.03740031093407857</v>
      </c>
      <c r="G67" s="27">
        <f>IF(OR(1432658.71897="",9005.44803="",10716.36273=""),"-",(9005.44803-10716.36273)/1432658.71897*100)</f>
        <v>-0.11942234932476113</v>
      </c>
    </row>
    <row r="68" spans="1:7" s="16" customFormat="1" ht="15.75">
      <c r="A68" s="14" t="s">
        <v>103</v>
      </c>
      <c r="B68" s="27">
        <f>IF(201075.38994="","-",201075.38994)</f>
        <v>201075.38994</v>
      </c>
      <c r="C68" s="27">
        <f>IF(OR(185240.35635="",201075.38994=""),"-",201075.38994/185240.35635*100)</f>
        <v>108.54837137112861</v>
      </c>
      <c r="D68" s="27">
        <f>IF(185240.35635="","-",185240.35635/1432658.71897*100)</f>
        <v>12.929831361594424</v>
      </c>
      <c r="E68" s="27">
        <f>IF(201075.38994="","-",201075.38994/1651792.72482*100)</f>
        <v>12.173161130850222</v>
      </c>
      <c r="F68" s="27">
        <f>IF(OR(1447581.46785="",174638.64566="",185240.35635=""),"-",(185240.35635-174638.64566)/1447581.46785*100)</f>
        <v>0.7323740269862684</v>
      </c>
      <c r="G68" s="27">
        <f>IF(OR(1432658.71897="",201075.38994="",185240.35635=""),"-",(201075.38994-185240.35635)/1432658.71897*100)</f>
        <v>1.1052900024497456</v>
      </c>
    </row>
    <row r="69" spans="1:7" s="16" customFormat="1" ht="14.25" customHeight="1">
      <c r="A69" s="14" t="s">
        <v>104</v>
      </c>
      <c r="B69" s="27">
        <f>IF(25059.82378="","-",25059.82378)</f>
        <v>25059.82378</v>
      </c>
      <c r="C69" s="27">
        <f>IF(OR(22261.63991="",25059.82378=""),"-",25059.82378/22261.63991*100)</f>
        <v>112.56953163070006</v>
      </c>
      <c r="D69" s="27">
        <f>IF(22261.63991="","-",22261.63991/1432658.71897*100)</f>
        <v>1.5538690139689968</v>
      </c>
      <c r="E69" s="27">
        <f>IF(25059.82378="","-",25059.82378/1651792.72482*100)</f>
        <v>1.5171288384703856</v>
      </c>
      <c r="F69" s="27">
        <f>IF(OR(1447581.46785="",18133.55475="",22261.63991=""),"-",(22261.63991-18133.55475)/1447581.46785*100)</f>
        <v>0.28517118046082635</v>
      </c>
      <c r="G69" s="27">
        <f>IF(OR(1432658.71897="",25059.82378="",22261.63991=""),"-",(25059.82378-22261.63991)/1432658.71897*100)</f>
        <v>0.1953140572104801</v>
      </c>
    </row>
    <row r="70" spans="1:7" ht="27.75" customHeight="1">
      <c r="A70" s="8" t="s">
        <v>109</v>
      </c>
      <c r="B70" s="27">
        <f>IF(17212.85334="","-",17212.85334)</f>
        <v>17212.85334</v>
      </c>
      <c r="C70" s="27">
        <f>IF(OR(17873.59328="",17212.85334=""),"-",17212.85334/17873.59328*100)</f>
        <v>96.30326185871452</v>
      </c>
      <c r="D70" s="27">
        <f>IF(17873.59328="","-",17873.59328/1432658.71897*100)</f>
        <v>1.2475820684531271</v>
      </c>
      <c r="E70" s="27">
        <f>IF(17212.85334="","-",17212.85334/1651792.72482*100)</f>
        <v>1.042071022674817</v>
      </c>
      <c r="F70" s="27">
        <f>IF(OR(1447581.46785="",18652.25354="",17873.59328=""),"-",(17873.59328-18652.25354)/1447581.46785*100)</f>
        <v>-0.053790427502259666</v>
      </c>
      <c r="G70" s="27">
        <f>IF(OR(1432658.71897="",17212.85334="",17873.59328=""),"-",(17212.85334-17873.59328)/1432658.71897*100)</f>
        <v>-0.046119842168345145</v>
      </c>
    </row>
    <row r="71" spans="1:7" ht="25.5">
      <c r="A71" s="10" t="s">
        <v>106</v>
      </c>
      <c r="B71" s="27">
        <f>IF(2121.7166="","-",2121.7166)</f>
        <v>2121.7166</v>
      </c>
      <c r="C71" s="27">
        <f>IF(OR(1463.45607="",2121.7166=""),"-",2121.7166/1463.45607*100)</f>
        <v>144.97986263434612</v>
      </c>
      <c r="D71" s="27">
        <f>IF(1463.45607="","-",1463.45607/1432658.71897*100)</f>
        <v>0.10214966416092043</v>
      </c>
      <c r="E71" s="27">
        <f>IF(2121.7166="","-",2121.7166/1651792.72482*100)</f>
        <v>0.12844932467124223</v>
      </c>
      <c r="F71" s="27">
        <f>IF(OR(1447581.46785="",1257.24074="",1463.45607=""),"-",(1463.45607-1257.24074)/1447581.46785*100)</f>
        <v>0.014245507736865297</v>
      </c>
      <c r="G71" s="27">
        <f>IF(OR(1432658.71897="",2121.7166="",1463.45607=""),"-",(2121.7166-1463.45607)/1432658.71897*100)</f>
        <v>0.0459467786210279</v>
      </c>
    </row>
    <row r="72" spans="1:7" ht="15.75">
      <c r="A72" s="11" t="s">
        <v>107</v>
      </c>
      <c r="B72" s="27">
        <f>IF(30773.45943="","-",30773.45943)</f>
        <v>30773.45943</v>
      </c>
      <c r="C72" s="27">
        <f>IF(OR(20849.27794="",30773.45943=""),"-",30773.45943/20849.27794*100)</f>
        <v>147.59964118930057</v>
      </c>
      <c r="D72" s="27">
        <f>IF(20849.27794="","-",20849.27794/1432658.71897*100)</f>
        <v>1.4552857330173818</v>
      </c>
      <c r="E72" s="27">
        <f>IF(30773.45943="","-",30773.45943/1651792.72482*100)</f>
        <v>1.863033961077257</v>
      </c>
      <c r="F72" s="27">
        <f>IF(OR(1447581.46785="",23968.41436="",20849.27794=""),"-",(20849.27794-23968.41436)/1447581.46785*100)</f>
        <v>-0.215472254189096</v>
      </c>
      <c r="G72" s="27">
        <f>IF(OR(1432658.71897="",30773.45943="",20849.27794=""),"-",(30773.45943-20849.27794)/1432658.71897*100)</f>
        <v>0.6927107871953566</v>
      </c>
    </row>
    <row r="73" spans="1:7" ht="15.75">
      <c r="A73" s="80" t="s">
        <v>27</v>
      </c>
      <c r="B73" s="80"/>
      <c r="C73" s="80"/>
      <c r="D73" s="80"/>
      <c r="E73" s="80"/>
      <c r="F73" s="80"/>
      <c r="G73" s="80"/>
    </row>
    <row r="74" spans="2:7" ht="15.7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K51" sqref="K51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4" t="s">
        <v>116</v>
      </c>
      <c r="B1" s="64"/>
      <c r="C1" s="64"/>
      <c r="D1" s="64"/>
      <c r="E1" s="64"/>
      <c r="F1" s="64"/>
      <c r="G1" s="64"/>
    </row>
    <row r="2" spans="1:7" ht="15.75">
      <c r="A2" s="64" t="s">
        <v>35</v>
      </c>
      <c r="B2" s="64"/>
      <c r="C2" s="64"/>
      <c r="D2" s="64"/>
      <c r="E2" s="64"/>
      <c r="F2" s="64"/>
      <c r="G2" s="64"/>
    </row>
    <row r="3" ht="15.75">
      <c r="A3" s="5"/>
    </row>
    <row r="4" spans="1:7" ht="55.5" customHeight="1">
      <c r="A4" s="65"/>
      <c r="B4" s="68" t="s">
        <v>246</v>
      </c>
      <c r="C4" s="69"/>
      <c r="D4" s="68" t="s">
        <v>0</v>
      </c>
      <c r="E4" s="69"/>
      <c r="F4" s="70" t="s">
        <v>219</v>
      </c>
      <c r="G4" s="71"/>
    </row>
    <row r="5" spans="1:7" ht="27" customHeight="1">
      <c r="A5" s="66"/>
      <c r="B5" s="72" t="s">
        <v>195</v>
      </c>
      <c r="C5" s="74" t="s">
        <v>247</v>
      </c>
      <c r="D5" s="76" t="s">
        <v>248</v>
      </c>
      <c r="E5" s="76"/>
      <c r="F5" s="76" t="s">
        <v>248</v>
      </c>
      <c r="G5" s="68"/>
    </row>
    <row r="6" spans="1:7" ht="27" customHeight="1">
      <c r="A6" s="67"/>
      <c r="B6" s="73"/>
      <c r="C6" s="75"/>
      <c r="D6" s="18">
        <v>2016</v>
      </c>
      <c r="E6" s="18">
        <v>2017</v>
      </c>
      <c r="F6" s="18" t="s">
        <v>2</v>
      </c>
      <c r="G6" s="19" t="s">
        <v>186</v>
      </c>
    </row>
    <row r="7" spans="1:7" ht="15.75">
      <c r="A7" s="7" t="s">
        <v>197</v>
      </c>
      <c r="B7" s="34">
        <f>IF(3438777.31382="","-",3438777.31382)</f>
        <v>3438777.31382</v>
      </c>
      <c r="C7" s="34">
        <f>IF(2895177.69157="","-",3438777.31382/2895177.69157*100)</f>
        <v>118.77603657394916</v>
      </c>
      <c r="D7" s="34">
        <v>100</v>
      </c>
      <c r="E7" s="34">
        <v>100</v>
      </c>
      <c r="F7" s="34">
        <f>IF(2962405.08414="","-",(2895177.69157-2962405.08414)/2962405.08414*100)</f>
        <v>-2.269351782101622</v>
      </c>
      <c r="G7" s="34">
        <f>IF(2895177.69157="","-",(3438777.31382-2895177.69157)/2895177.69157*100)</f>
        <v>18.776036573949153</v>
      </c>
    </row>
    <row r="8" spans="1:7" ht="12" customHeight="1">
      <c r="A8" s="8" t="s">
        <v>110</v>
      </c>
      <c r="B8" s="28"/>
      <c r="C8" s="28"/>
      <c r="D8" s="28"/>
      <c r="E8" s="28"/>
      <c r="F8" s="28"/>
      <c r="G8" s="28"/>
    </row>
    <row r="9" spans="1:7" ht="12.75" customHeight="1">
      <c r="A9" s="9" t="s">
        <v>36</v>
      </c>
      <c r="B9" s="26">
        <f>IF(354397.37372="","-",354397.37372)</f>
        <v>354397.37372</v>
      </c>
      <c r="C9" s="26">
        <f>IF(308678.35659="","-",354397.37372/308678.35659*100)</f>
        <v>114.81121567286495</v>
      </c>
      <c r="D9" s="26">
        <f>IF(308678.35659="","-",308678.35659/2895177.69157*100)</f>
        <v>10.661810412838928</v>
      </c>
      <c r="E9" s="26">
        <f>IF(354397.37372="","-",354397.37372/3438777.31382*100)</f>
        <v>10.305912287362224</v>
      </c>
      <c r="F9" s="26">
        <f>IF(2962405.08414="","-",(308678.35659-302849.73093)/2962405.08414*100)</f>
        <v>0.19675316151747824</v>
      </c>
      <c r="G9" s="26">
        <f>IF(2895177.69157="","-",(354397.37372-308678.35659)/2895177.69157*100)</f>
        <v>1.5791437348775452</v>
      </c>
    </row>
    <row r="10" spans="1:7" ht="14.25" customHeight="1">
      <c r="A10" s="8" t="s">
        <v>37</v>
      </c>
      <c r="B10" s="27">
        <f>IF(4912.09949="","-",4912.09949)</f>
        <v>4912.09949</v>
      </c>
      <c r="C10" s="27">
        <f>IF(OR(5126.37824="",4912.09949=""),"-",4912.09949/5126.37824*100)</f>
        <v>95.82007530525097</v>
      </c>
      <c r="D10" s="27">
        <f>IF(5126.37824="","-",5126.37824/2895177.69157*100)</f>
        <v>0.17706610046515187</v>
      </c>
      <c r="E10" s="27">
        <f>IF(4912.09949="","-",4912.09949/3438777.31382*100)</f>
        <v>0.14284436128675473</v>
      </c>
      <c r="F10" s="27">
        <f>IF(OR(2962405.08414="",6182.9832="",5126.37824=""),"-",(5126.37824-6182.9832)/2962405.08414*100)</f>
        <v>-0.03566713295412592</v>
      </c>
      <c r="G10" s="27">
        <f>IF(OR(2895177.69157="",4912.09949="",5126.37824=""),"-",(4912.09949-5126.37824)/2895177.69157*100)</f>
        <v>-0.0074012296593719985</v>
      </c>
    </row>
    <row r="11" spans="1:7" s="16" customFormat="1" ht="13.5" customHeight="1">
      <c r="A11" s="14" t="s">
        <v>38</v>
      </c>
      <c r="B11" s="27">
        <f>IF(26607.21006="","-",26607.21006)</f>
        <v>26607.21006</v>
      </c>
      <c r="C11" s="27">
        <f>IF(OR(18945.78982="",26607.21006=""),"-",26607.21006/18945.78982*100)</f>
        <v>140.43864263664673</v>
      </c>
      <c r="D11" s="27">
        <f>IF(18945.78982="","-",18945.78982/2895177.69157*100)</f>
        <v>0.6543912615507224</v>
      </c>
      <c r="E11" s="27">
        <f>IF(26607.21006="","-",26607.21006/3438777.31382*100)</f>
        <v>0.7737404208486859</v>
      </c>
      <c r="F11" s="27">
        <f>IF(OR(2962405.08414="",19180.43584="",18945.78982=""),"-",(18945.78982-19180.43584)/2962405.08414*100)</f>
        <v>-0.007920794534691912</v>
      </c>
      <c r="G11" s="27">
        <f>IF(OR(2895177.69157="",26607.21006="",18945.78982=""),"-",(26607.21006-18945.78982)/2895177.69157*100)</f>
        <v>0.2646269437039409</v>
      </c>
    </row>
    <row r="12" spans="1:7" s="16" customFormat="1" ht="13.5" customHeight="1">
      <c r="A12" s="14" t="s">
        <v>39</v>
      </c>
      <c r="B12" s="27">
        <f>IF(38041.53478="","-",38041.53478)</f>
        <v>38041.53478</v>
      </c>
      <c r="C12" s="27">
        <f>IF(OR(28699.23635="",38041.53478=""),"-",38041.53478/28699.23635*100)</f>
        <v>132.55242862934227</v>
      </c>
      <c r="D12" s="27">
        <f>IF(28699.23635="","-",28699.23635/2895177.69157*100)</f>
        <v>0.9912771997920773</v>
      </c>
      <c r="E12" s="27">
        <f>IF(38041.53478="","-",38041.53478/3438777.31382*100)</f>
        <v>1.1062517664960743</v>
      </c>
      <c r="F12" s="27">
        <f>IF(OR(2962405.08414="",24750.15736="",28699.23635=""),"-",(28699.23635-24750.15736)/2962405.08414*100)</f>
        <v>0.13330651541014468</v>
      </c>
      <c r="G12" s="27">
        <f>IF(OR(2895177.69157="",38041.53478="",28699.23635=""),"-",(38041.53478-28699.23635)/2895177.69157*100)</f>
        <v>0.3226848029812585</v>
      </c>
    </row>
    <row r="13" spans="1:7" s="16" customFormat="1" ht="14.25" customHeight="1">
      <c r="A13" s="14" t="s">
        <v>40</v>
      </c>
      <c r="B13" s="27">
        <f>IF(30612.98403="","-",30612.98403)</f>
        <v>30612.98403</v>
      </c>
      <c r="C13" s="27">
        <f>IF(OR(28795.4484="",30612.98403=""),"-",30612.98403/28795.4484*100)</f>
        <v>106.3118851450148</v>
      </c>
      <c r="D13" s="27">
        <f>IF(28795.4484="","-",28795.4484/2895177.69157*100)</f>
        <v>0.9946003826930836</v>
      </c>
      <c r="E13" s="27">
        <f>IF(30612.98403="","-",30612.98403/3438777.31382*100)</f>
        <v>0.8902287422616867</v>
      </c>
      <c r="F13" s="27">
        <f>IF(OR(2962405.08414="",24411.45742="",28795.4484=""),"-",(28795.4484-24411.45742)/2962405.08414*100)</f>
        <v>0.14798755927981724</v>
      </c>
      <c r="G13" s="27">
        <f>IF(OR(2895177.69157="",30612.98403="",28795.4484=""),"-",(30612.98403-28795.4484)/2895177.69157*100)</f>
        <v>0.06277803380746498</v>
      </c>
    </row>
    <row r="14" spans="1:7" s="16" customFormat="1" ht="15" customHeight="1">
      <c r="A14" s="14" t="s">
        <v>41</v>
      </c>
      <c r="B14" s="27">
        <f>IF(48286.01151="","-",48286.01151)</f>
        <v>48286.01151</v>
      </c>
      <c r="C14" s="27">
        <f>IF(OR(43352.58462="",48286.01151=""),"-",48286.01151/43352.58462*100)</f>
        <v>111.3797757002106</v>
      </c>
      <c r="D14" s="27">
        <f>IF(43352.58462="","-",43352.58462/2895177.69157*100)</f>
        <v>1.4974066961841888</v>
      </c>
      <c r="E14" s="27">
        <f>IF(48286.01151="","-",48286.01151/3438777.31382*100)</f>
        <v>1.4041622095139683</v>
      </c>
      <c r="F14" s="27">
        <f>IF(OR(2962405.08414="",43184.55072="",43352.58462=""),"-",(43352.58462-43184.55072)/2962405.08414*100)</f>
        <v>0.005672212112368259</v>
      </c>
      <c r="G14" s="27">
        <f>IF(OR(2895177.69157="",48286.01151="",43352.58462=""),"-",(48286.01151-43352.58462)/2895177.69157*100)</f>
        <v>0.17040152334569458</v>
      </c>
    </row>
    <row r="15" spans="1:7" s="16" customFormat="1" ht="14.25" customHeight="1">
      <c r="A15" s="14" t="s">
        <v>42</v>
      </c>
      <c r="B15" s="27">
        <f>IF(72145.58066="","-",72145.58066)</f>
        <v>72145.58066</v>
      </c>
      <c r="C15" s="27">
        <f>IF(OR(67008.12269="",72145.58066=""),"-",72145.58066/67008.12269*100)</f>
        <v>107.6669182238808</v>
      </c>
      <c r="D15" s="27">
        <f>IF(67008.12269="","-",67008.12269/2895177.69157*100)</f>
        <v>2.314473577394235</v>
      </c>
      <c r="E15" s="27">
        <f>IF(72145.58066="","-",72145.58066/3438777.31382*100)</f>
        <v>2.0980009484782944</v>
      </c>
      <c r="F15" s="27">
        <f>IF(OR(2962405.08414="",87089.62752="",67008.12269=""),"-",(67008.12269-87089.62752)/2962405.08414*100)</f>
        <v>-0.6778784217429111</v>
      </c>
      <c r="G15" s="27">
        <f>IF(OR(2895177.69157="",72145.58066="",67008.12269=""),"-",(72145.58066-67008.12269)/2895177.69157*100)</f>
        <v>0.17744879649214407</v>
      </c>
    </row>
    <row r="16" spans="1:7" s="16" customFormat="1" ht="14.25" customHeight="1">
      <c r="A16" s="14" t="s">
        <v>43</v>
      </c>
      <c r="B16" s="27">
        <f>IF(26967.12768="","-",26967.12768)</f>
        <v>26967.12768</v>
      </c>
      <c r="C16" s="27">
        <f>IF(OR(17720.54108="",26967.12768=""),"-",26967.12768/17720.54108*100)</f>
        <v>152.18004663771814</v>
      </c>
      <c r="D16" s="27">
        <f>IF(17720.54108="","-",17720.54108/2895177.69157*100)</f>
        <v>0.6120709320052299</v>
      </c>
      <c r="E16" s="27">
        <f>IF(26967.12768="","-",26967.12768/3438777.31382*100)</f>
        <v>0.7842068624688959</v>
      </c>
      <c r="F16" s="27">
        <f>IF(OR(2962405.08414="",7038.2524="",17720.54108=""),"-",(17720.54108-7038.2524)/2962405.08414*100)</f>
        <v>0.3605951372818791</v>
      </c>
      <c r="G16" s="27">
        <f>IF(OR(2895177.69157="",26967.12768="",17720.54108=""),"-",(26967.12768-17720.54108)/2895177.69157*100)</f>
        <v>0.3193788977762451</v>
      </c>
    </row>
    <row r="17" spans="1:7" s="16" customFormat="1" ht="25.5">
      <c r="A17" s="14" t="s">
        <v>44</v>
      </c>
      <c r="B17" s="27">
        <f>IF(33939.53998="","-",33939.53998)</f>
        <v>33939.53998</v>
      </c>
      <c r="C17" s="27">
        <f>IF(OR(31020.32887="",33939.53998=""),"-",33939.53998/31020.32887*100)</f>
        <v>109.41063881764062</v>
      </c>
      <c r="D17" s="27">
        <f>IF(31020.32887="","-",31020.32887/2895177.69157*100)</f>
        <v>1.0714481864212717</v>
      </c>
      <c r="E17" s="27">
        <f>IF(33939.53998="","-",33939.53998/3438777.31382*100)</f>
        <v>0.9869653333933952</v>
      </c>
      <c r="F17" s="27">
        <f>IF(OR(2962405.08414="",28996.24907="",31020.32887=""),"-",(31020.32887-28996.24907)/2962405.08414*100)</f>
        <v>0.06832555786635774</v>
      </c>
      <c r="G17" s="27">
        <f>IF(OR(2895177.69157="",33939.53998="",31020.32887=""),"-",(33939.53998-31020.32887)/2895177.69157*100)</f>
        <v>0.10083011894226665</v>
      </c>
    </row>
    <row r="18" spans="1:7" s="16" customFormat="1" ht="25.5">
      <c r="A18" s="14" t="s">
        <v>45</v>
      </c>
      <c r="B18" s="27">
        <f>IF(22659.83714="","-",22659.83714)</f>
        <v>22659.83714</v>
      </c>
      <c r="C18" s="27">
        <f>IF(OR(19546.8034="",22659.83714=""),"-",22659.83714/19546.8034*100)</f>
        <v>115.92605029219251</v>
      </c>
      <c r="D18" s="27">
        <f>IF(19546.8034="","-",19546.8034/2895177.69157*100)</f>
        <v>0.6751503873808913</v>
      </c>
      <c r="E18" s="27">
        <f>IF(22659.83714="","-",22659.83714/3438777.31382*100)</f>
        <v>0.6589504080108082</v>
      </c>
      <c r="F18" s="27">
        <f>IF(OR(2962405.08414="",17406.15611="",19546.8034=""),"-",(19546.8034-17406.15611)/2962405.08414*100)</f>
        <v>0.072260451531781</v>
      </c>
      <c r="G18" s="27">
        <f>IF(OR(2895177.69157="",22659.83714="",19546.8034=""),"-",(22659.83714-19546.8034)/2895177.69157*100)</f>
        <v>0.10752479024221342</v>
      </c>
    </row>
    <row r="19" spans="1:7" s="16" customFormat="1" ht="13.5" customHeight="1">
      <c r="A19" s="14" t="s">
        <v>46</v>
      </c>
      <c r="B19" s="27">
        <f>IF(50225.44839="","-",50225.44839)</f>
        <v>50225.44839</v>
      </c>
      <c r="C19" s="27">
        <f>IF(OR(48463.12312="",50225.44839=""),"-",50225.44839/48463.12312*100)</f>
        <v>103.63642529936894</v>
      </c>
      <c r="D19" s="27">
        <f>IF(48463.12312="","-",48463.12312/2895177.69157*100)</f>
        <v>1.6739256889520784</v>
      </c>
      <c r="E19" s="27">
        <f>IF(50225.44839="","-",50225.44839/3438777.31382*100)</f>
        <v>1.460561234603661</v>
      </c>
      <c r="F19" s="27">
        <f>IF(OR(2962405.08414="",44609.86129="",48463.12312=""),"-",(48463.12312-44609.86129)/2962405.08414*100)</f>
        <v>0.13007207726686087</v>
      </c>
      <c r="G19" s="27">
        <f>IF(OR(2895177.69157="",50225.44839="",48463.12312=""),"-",(50225.44839-48463.12312)/2895177.69157*100)</f>
        <v>0.06087105724568932</v>
      </c>
    </row>
    <row r="20" spans="1:7" s="16" customFormat="1" ht="13.5" customHeight="1">
      <c r="A20" s="15" t="s">
        <v>47</v>
      </c>
      <c r="B20" s="26">
        <f>IF(85814.32549="","-",85814.32549)</f>
        <v>85814.32549</v>
      </c>
      <c r="C20" s="26">
        <f>IF(79433.05311="","-",85814.32549/79433.05311*100)</f>
        <v>108.03352273412321</v>
      </c>
      <c r="D20" s="26">
        <f>IF(79433.05311="","-",79433.05311/2895177.69157*100)</f>
        <v>2.743633088265645</v>
      </c>
      <c r="E20" s="26">
        <f>IF(85814.32549="","-",85814.32549/3438777.31382*100)</f>
        <v>2.4954894620574404</v>
      </c>
      <c r="F20" s="26">
        <f>IF(2962405.08414="","-",(79433.05311-72806.84473)/2962405.08414*100)</f>
        <v>0.22367664758189595</v>
      </c>
      <c r="G20" s="26">
        <f>IF(2895177.69157="","-",(85814.32549-79433.05311)/2895177.69157*100)</f>
        <v>0.22041038788674716</v>
      </c>
    </row>
    <row r="21" spans="1:7" s="16" customFormat="1" ht="15" customHeight="1">
      <c r="A21" s="14" t="s">
        <v>48</v>
      </c>
      <c r="B21" s="27">
        <f>IF(41130.72005="","-",41130.72005)</f>
        <v>41130.72005</v>
      </c>
      <c r="C21" s="27">
        <f>IF(OR(37399.25337="",41130.72005=""),"-",41130.72005/37399.25337*100)</f>
        <v>109.97738281853835</v>
      </c>
      <c r="D21" s="27">
        <f>IF(37399.25337="","-",37399.25337/2895177.69157*100)</f>
        <v>1.2917774780766251</v>
      </c>
      <c r="E21" s="27">
        <f>IF(41130.72005="","-",41130.72005/3438777.31382*100)</f>
        <v>1.1960855936992774</v>
      </c>
      <c r="F21" s="27">
        <f>IF(OR(2962405.08414="",28842.69589="",37399.25337=""),"-",(37399.25337-28842.69589)/2962405.08414*100)</f>
        <v>0.28883819859106163</v>
      </c>
      <c r="G21" s="27">
        <f>IF(OR(2895177.69157="",41130.72005="",37399.25337=""),"-",(41130.72005-37399.25337)/2895177.69157*100)</f>
        <v>0.12888558415136522</v>
      </c>
    </row>
    <row r="22" spans="1:7" s="16" customFormat="1" ht="14.25" customHeight="1">
      <c r="A22" s="14" t="s">
        <v>49</v>
      </c>
      <c r="B22" s="27">
        <f>IF(44683.60544="","-",44683.60544)</f>
        <v>44683.60544</v>
      </c>
      <c r="C22" s="27">
        <f>IF(OR(42033.79974="",44683.60544=""),"-",44683.60544/42033.79974*100)</f>
        <v>106.30398802009422</v>
      </c>
      <c r="D22" s="27">
        <f>IF(42033.79974="","-",42033.79974/2895177.69157*100)</f>
        <v>1.4518556101890199</v>
      </c>
      <c r="E22" s="27">
        <f>IF(44683.60544="","-",44683.60544/3438777.31382*100)</f>
        <v>1.2994038683581628</v>
      </c>
      <c r="F22" s="27">
        <f>IF(OR(2962405.08414="",43964.14884="",42033.79974=""),"-",(42033.79974-43964.14884)/2962405.08414*100)</f>
        <v>-0.06516155100916554</v>
      </c>
      <c r="G22" s="27">
        <f>IF(OR(2895177.69157="",44683.60544="",42033.79974=""),"-",(44683.60544-42033.79974)/2895177.69157*100)</f>
        <v>0.09152480373538172</v>
      </c>
    </row>
    <row r="23" spans="1:7" s="16" customFormat="1" ht="25.5">
      <c r="A23" s="15" t="s">
        <v>50</v>
      </c>
      <c r="B23" s="26">
        <f>IF(85658.25519="","-",85658.25519)</f>
        <v>85658.25519</v>
      </c>
      <c r="C23" s="26">
        <f>IF(74655.34709="","-",85658.25519/74655.34709*100)</f>
        <v>114.73827197767301</v>
      </c>
      <c r="D23" s="26">
        <f>IF(74655.34709="","-",74655.34709/2895177.69157*100)</f>
        <v>2.578610194026323</v>
      </c>
      <c r="E23" s="26">
        <f>IF(85658.25519="","-",85658.25519/3438777.31382*100)</f>
        <v>2.490950921589211</v>
      </c>
      <c r="F23" s="26">
        <f>IF(2962405.08414="","-",(74655.34709-79589.32505)/2962405.08414*100)</f>
        <v>-0.16655311545390358</v>
      </c>
      <c r="G23" s="26">
        <f>IF(2895177.69157="","-",(85658.25519-74655.34709)/2895177.69157*100)</f>
        <v>0.38004258363960153</v>
      </c>
    </row>
    <row r="24" spans="1:7" s="16" customFormat="1" ht="14.25" customHeight="1">
      <c r="A24" s="14" t="s">
        <v>52</v>
      </c>
      <c r="B24" s="27">
        <f>IF(24961.05098="","-",24961.05098)</f>
        <v>24961.05098</v>
      </c>
      <c r="C24" s="27">
        <f>IF(OR(22765.81356="",24961.05098=""),"-",24961.05098/22765.81356*100)</f>
        <v>109.6426926022845</v>
      </c>
      <c r="D24" s="27">
        <f>IF(22765.81356="","-",22765.81356/2895177.69157*100)</f>
        <v>0.7863356237611285</v>
      </c>
      <c r="E24" s="27">
        <f>IF(24961.05098="","-",24961.05098/3438777.31382*100)</f>
        <v>0.7258699445202449</v>
      </c>
      <c r="F24" s="27">
        <f>IF(OR(2962405.08414="",19168.77277="",22765.81356=""),"-",(22765.81356-19168.77277)/2962405.08414*100)</f>
        <v>0.12142298868097699</v>
      </c>
      <c r="G24" s="27">
        <f>IF(OR(2895177.69157="",24961.05098="",22765.81356=""),"-",(24961.05098-22765.81356)/2895177.69157*100)</f>
        <v>0.075823927021542</v>
      </c>
    </row>
    <row r="25" spans="1:7" s="16" customFormat="1" ht="25.5">
      <c r="A25" s="14" t="s">
        <v>53</v>
      </c>
      <c r="B25" s="27">
        <f>IF(498.87214="","-",498.87214)</f>
        <v>498.87214</v>
      </c>
      <c r="C25" s="27">
        <f>IF(OR(502.49413="",498.87214=""),"-",498.87214/502.49413*100)</f>
        <v>99.2791975500291</v>
      </c>
      <c r="D25" s="27">
        <f>IF(502.49413="","-",502.49413/2895177.69157*100)</f>
        <v>0.017356244884834927</v>
      </c>
      <c r="E25" s="27">
        <f>IF(498.87214="","-",498.87214/3438777.31382*100)</f>
        <v>0.014507253435548083</v>
      </c>
      <c r="F25" s="27">
        <f>IF(OR(2962405.08414="",2412.0431="",502.49413=""),"-",(502.49413-2412.0431)/2962405.08414*100)</f>
        <v>-0.06445941442050795</v>
      </c>
      <c r="G25" s="27">
        <f>IF(OR(2895177.69157="",498.87214="",502.49413=""),"-",(498.87214-502.49413)/2895177.69157*100)</f>
        <v>-0.00012510423835283997</v>
      </c>
    </row>
    <row r="26" spans="1:7" s="16" customFormat="1" ht="13.5" customHeight="1">
      <c r="A26" s="14" t="s">
        <v>54</v>
      </c>
      <c r="B26" s="27">
        <f>IF(24289.92679="","-",24289.92679)</f>
        <v>24289.92679</v>
      </c>
      <c r="C26" s="27">
        <f>IF(OR(19863.48437="",24289.92679=""),"-",24289.92679/19863.48437*100)</f>
        <v>122.28431999919059</v>
      </c>
      <c r="D26" s="27">
        <f>IF(19863.48437="","-",19863.48437/2895177.69157*100)</f>
        <v>0.6860886096158197</v>
      </c>
      <c r="E26" s="27">
        <f>IF(24289.92679="","-",24289.92679/3438777.31382*100)</f>
        <v>0.7063535836525947</v>
      </c>
      <c r="F26" s="27">
        <f>IF(OR(2962405.08414="",20403.42857="",19863.48437=""),"-",(19863.48437-20403.42857)/2962405.08414*100)</f>
        <v>-0.01822654851933425</v>
      </c>
      <c r="G26" s="27">
        <f>IF(OR(2895177.69157="",24289.92679="",19863.48437=""),"-",(24289.92679-19863.48437)/2895177.69157*100)</f>
        <v>0.15289018124478665</v>
      </c>
    </row>
    <row r="27" spans="1:7" s="16" customFormat="1" ht="15" customHeight="1">
      <c r="A27" s="14" t="s">
        <v>55</v>
      </c>
      <c r="B27" s="27">
        <f>IF(389.13522="","-",389.13522)</f>
        <v>389.13522</v>
      </c>
      <c r="C27" s="27">
        <f>IF(OR(438.00222="",389.13522=""),"-",389.13522/438.00222*100)</f>
        <v>88.84320723305923</v>
      </c>
      <c r="D27" s="27">
        <f>IF(438.00222="","-",438.00222/2895177.69157*100)</f>
        <v>0.015128681782653546</v>
      </c>
      <c r="E27" s="27">
        <f>IF(389.13522="","-",389.13522/3438777.31382*100)</f>
        <v>0.011316092450538046</v>
      </c>
      <c r="F27" s="27">
        <f>IF(OR(2962405.08414="",262.29402="",438.00222=""),"-",(438.00222-262.29402)/2962405.08414*100)</f>
        <v>0.005931268513570248</v>
      </c>
      <c r="G27" s="27">
        <f>IF(OR(2895177.69157="",389.13522="",438.00222=""),"-",(389.13522-438.00222)/2895177.69157*100)</f>
        <v>-0.0016878756748605773</v>
      </c>
    </row>
    <row r="28" spans="1:7" s="16" customFormat="1" ht="38.25">
      <c r="A28" s="14" t="s">
        <v>56</v>
      </c>
      <c r="B28" s="27">
        <f>IF(6234.49803="","-",6234.49803)</f>
        <v>6234.49803</v>
      </c>
      <c r="C28" s="27">
        <f>IF(OR(5554.27329="",6234.49803=""),"-",6234.49803/5554.27329*100)</f>
        <v>112.24687199358172</v>
      </c>
      <c r="D28" s="27">
        <f>IF(5554.27329="","-",5554.27329/2895177.69157*100)</f>
        <v>0.19184567863218177</v>
      </c>
      <c r="E28" s="27">
        <f>IF(6234.49803="","-",6234.49803/3438777.31382*100)</f>
        <v>0.18129984762154738</v>
      </c>
      <c r="F28" s="27">
        <f>IF(OR(2962405.08414="",9128.3778="",5554.27329=""),"-",(5554.27329-9128.3778)/2962405.08414*100)</f>
        <v>-0.12064874345290896</v>
      </c>
      <c r="G28" s="27">
        <f>IF(OR(2895177.69157="",6234.49803="",5554.27329=""),"-",(6234.49803-5554.27329)/2895177.69157*100)</f>
        <v>0.023495094687301446</v>
      </c>
    </row>
    <row r="29" spans="1:7" s="16" customFormat="1" ht="38.25">
      <c r="A29" s="14" t="s">
        <v>57</v>
      </c>
      <c r="B29" s="27">
        <f>IF(7723.49311="","-",7723.49311)</f>
        <v>7723.49311</v>
      </c>
      <c r="C29" s="27">
        <f>IF(OR(7921.43757="",7723.49311=""),"-",7723.49311/7921.43757*100)</f>
        <v>97.50115483142034</v>
      </c>
      <c r="D29" s="27">
        <f>IF(7921.43757="","-",7921.43757/2895177.69157*100)</f>
        <v>0.2736079928035213</v>
      </c>
      <c r="E29" s="27">
        <f>IF(7723.49311="","-",7723.49311/3438777.31382*100)</f>
        <v>0.22459997857262473</v>
      </c>
      <c r="F29" s="27">
        <f>IF(OR(2962405.08414="",8304.39969="",7921.43757=""),"-",(7921.43757-8304.39969)/2962405.08414*100)</f>
        <v>-0.012927405574959572</v>
      </c>
      <c r="G29" s="27">
        <f>IF(OR(2895177.69157="",7723.49311="",7921.43757=""),"-",(7723.49311-7921.43757)/2895177.69157*100)</f>
        <v>-0.0068370401090186005</v>
      </c>
    </row>
    <row r="30" spans="1:7" s="16" customFormat="1" ht="14.25" customHeight="1">
      <c r="A30" s="14" t="s">
        <v>58</v>
      </c>
      <c r="B30" s="27">
        <f>IF(786.5072="","-",786.5072)</f>
        <v>786.5072</v>
      </c>
      <c r="C30" s="27">
        <f>IF(OR(614.13972="",786.5072=""),"-",786.5072/614.13972*100)</f>
        <v>128.0664927518448</v>
      </c>
      <c r="D30" s="27">
        <f>IF(614.13972="","-",614.13972/2895177.69157*100)</f>
        <v>0.02121250525617872</v>
      </c>
      <c r="E30" s="27">
        <f>IF(786.5072="","-",786.5072/3438777.31382*100)</f>
        <v>0.02287171073390329</v>
      </c>
      <c r="F30" s="27">
        <f>IF(OR(2962405.08414="",611.33595="",614.13972=""),"-",(614.13972-611.33595)/2962405.08414*100)</f>
        <v>9.464505765976071E-05</v>
      </c>
      <c r="G30" s="27">
        <f>IF(OR(2895177.69157="",786.5072="",614.13972=""),"-",(786.5072-614.13972)/2895177.69157*100)</f>
        <v>0.0059536062502101</v>
      </c>
    </row>
    <row r="31" spans="1:7" s="16" customFormat="1" ht="25.5">
      <c r="A31" s="14" t="s">
        <v>59</v>
      </c>
      <c r="B31" s="27">
        <f>IF(20747.80079="","-",20747.80079)</f>
        <v>20747.80079</v>
      </c>
      <c r="C31" s="27">
        <f>IF(OR(16950.10289="",20747.80079=""),"-",20747.80079/16950.10289*100)</f>
        <v>122.40516134117698</v>
      </c>
      <c r="D31" s="27">
        <f>IF(16950.10289="","-",16950.10289/2895177.69157*100)</f>
        <v>0.5854598472264505</v>
      </c>
      <c r="E31" s="27">
        <f>IF(20747.80079="","-",20747.80079/3438777.31382*100)</f>
        <v>0.6033481931678821</v>
      </c>
      <c r="F31" s="27">
        <f>IF(OR(2962405.08414="",19291.01172="",16950.10289=""),"-",(16950.10289-19291.01172)/2962405.08414*100)</f>
        <v>-0.07902055132610526</v>
      </c>
      <c r="G31" s="27">
        <f>IF(OR(2895177.69157="",20747.80079="",16950.10289=""),"-",(20747.80079-16950.10289)/2895177.69157*100)</f>
        <v>0.13117322335889453</v>
      </c>
    </row>
    <row r="32" spans="1:7" s="16" customFormat="1" ht="25.5">
      <c r="A32" s="15" t="s">
        <v>60</v>
      </c>
      <c r="B32" s="26">
        <f>IF(527962.62635="","-",527962.62635)</f>
        <v>527962.62635</v>
      </c>
      <c r="C32" s="26">
        <f>IF(419328.29727="","-",527962.62635/419328.29727*100)</f>
        <v>125.9067489094474</v>
      </c>
      <c r="D32" s="26">
        <f>IF(419328.29727="","-",419328.29727/2895177.69157*100)</f>
        <v>14.483680863215213</v>
      </c>
      <c r="E32" s="26">
        <f>IF(527962.62635="","-",527962.62635/3438777.31382*100)</f>
        <v>15.353207787785117</v>
      </c>
      <c r="F32" s="26">
        <f>IF(2962405.08414="","-",(419328.29727-548810.4034)/2962405.08414*100)</f>
        <v>-4.37084404233627</v>
      </c>
      <c r="G32" s="26">
        <f>IF(2895177.69157="","-",(527962.62635-419328.29727)/2895177.69157*100)</f>
        <v>3.752250834078848</v>
      </c>
    </row>
    <row r="33" spans="1:7" s="16" customFormat="1" ht="14.25" customHeight="1">
      <c r="A33" s="14" t="s">
        <v>61</v>
      </c>
      <c r="B33" s="27">
        <f>IF(16693.25802="","-",16693.25802)</f>
        <v>16693.25802</v>
      </c>
      <c r="C33" s="27" t="s">
        <v>189</v>
      </c>
      <c r="D33" s="27">
        <f>IF(6627.51781="","-",6627.51781/2895177.69157*100)</f>
        <v>0.22891575288444638</v>
      </c>
      <c r="E33" s="27">
        <f>IF(16693.25802="","-",16693.25802/3438777.31382*100)</f>
        <v>0.48544167000613747</v>
      </c>
      <c r="F33" s="27">
        <f>IF(OR(2962405.08414="",14176.61672="",6627.51781=""),"-",(6627.51781-14176.61672)/2962405.08414*100)</f>
        <v>-0.254830068663332</v>
      </c>
      <c r="G33" s="27">
        <f>IF(OR(2895177.69157="",16693.25802="",6627.51781=""),"-",(16693.25802-6627.51781)/2895177.69157*100)</f>
        <v>0.347672622627233</v>
      </c>
    </row>
    <row r="34" spans="1:7" s="16" customFormat="1" ht="25.5">
      <c r="A34" s="14" t="s">
        <v>62</v>
      </c>
      <c r="B34" s="27">
        <f>IF(332701.60862="","-",332701.60862)</f>
        <v>332701.60862</v>
      </c>
      <c r="C34" s="27">
        <f>IF(OR(261129.05381="",332701.60862=""),"-",332701.60862/261129.05381*100)</f>
        <v>127.40888222345296</v>
      </c>
      <c r="D34" s="27">
        <f>IF(261129.05381="","-",261129.05381/2895177.69157*100)</f>
        <v>9.01944825598579</v>
      </c>
      <c r="E34" s="27">
        <f>IF(332701.60862="","-",332701.60862/3438777.31382*100)</f>
        <v>9.674997194000188</v>
      </c>
      <c r="F34" s="27">
        <f>IF(OR(2962405.08414="",313497.28069="",261129.05381=""),"-",(261129.05381-313497.28069)/2962405.08414*100)</f>
        <v>-1.7677604983993171</v>
      </c>
      <c r="G34" s="27">
        <f>IF(OR(2895177.69157="",332701.60862="",261129.05381=""),"-",(332701.60862-261129.05381)/2895177.69157*100)</f>
        <v>2.4721299496884273</v>
      </c>
    </row>
    <row r="35" spans="1:7" s="16" customFormat="1" ht="25.5">
      <c r="A35" s="14" t="s">
        <v>63</v>
      </c>
      <c r="B35" s="27">
        <f>IF(129913.92541="","-",129913.92541)</f>
        <v>129913.92541</v>
      </c>
      <c r="C35" s="27">
        <f>IF(OR(151319.09036="",129913.92541=""),"-",129913.92541/151319.09036*100)</f>
        <v>85.8542865285038</v>
      </c>
      <c r="D35" s="27">
        <f>IF(151319.09036="","-",151319.09036/2895177.69157*100)</f>
        <v>5.226590782341326</v>
      </c>
      <c r="E35" s="27">
        <f>IF(129913.92541="","-",129913.92541/3438777.31382*100)</f>
        <v>3.7779103894832846</v>
      </c>
      <c r="F35" s="27">
        <f>IF(OR(2962405.08414="",220204.46524="",151319.09036=""),"-",(151319.09036-220204.46524)/2962405.08414*100)</f>
        <v>-2.32531922284348</v>
      </c>
      <c r="G35" s="27">
        <f>IF(OR(2895177.69157="",129913.92541="",151319.09036=""),"-",(129913.92541-151319.09036)/2895177.69157*100)</f>
        <v>-0.7393385563976349</v>
      </c>
    </row>
    <row r="36" spans="1:7" s="16" customFormat="1" ht="13.5" customHeight="1">
      <c r="A36" s="14" t="s">
        <v>64</v>
      </c>
      <c r="B36" s="27">
        <f>IF(48653.8343="","-",48653.8343)</f>
        <v>48653.8343</v>
      </c>
      <c r="C36" s="27" t="s">
        <v>273</v>
      </c>
      <c r="D36" s="27">
        <f>IF(252.63529="","-",252.63529/2895177.69157*100)</f>
        <v>0.008726072003649651</v>
      </c>
      <c r="E36" s="27">
        <f>IF(48653.8343="","-",48653.8343/3438777.31382*100)</f>
        <v>1.4148585342955056</v>
      </c>
      <c r="F36" s="27">
        <f>IF(OR(2962405.08414="",932.04075="",252.63529=""),"-",(252.63529-932.04075)/2962405.08414*100)</f>
        <v>-0.02293425243014105</v>
      </c>
      <c r="G36" s="27">
        <f>IF(OR(2895177.69157="",48653.8343="",252.63529=""),"-",(48653.8343-252.63529)/2895177.69157*100)</f>
        <v>1.6717868181608209</v>
      </c>
    </row>
    <row r="37" spans="1:7" s="16" customFormat="1" ht="25.5">
      <c r="A37" s="15" t="s">
        <v>65</v>
      </c>
      <c r="B37" s="26">
        <f>IF(12071.28384="","-",12071.28384)</f>
        <v>12071.28384</v>
      </c>
      <c r="C37" s="26" t="s">
        <v>215</v>
      </c>
      <c r="D37" s="26">
        <f>IF(7472.64316="","-",7472.64316/2895177.69157*100)</f>
        <v>0.25810654668134475</v>
      </c>
      <c r="E37" s="26">
        <f>IF(12071.28384="","-",12071.28384/3438777.31382*100)</f>
        <v>0.35103418274533443</v>
      </c>
      <c r="F37" s="26">
        <f>IF(2962405.08414="","-",(7472.64316-6484.45506)/2962405.08414*100)</f>
        <v>0.03335762908626236</v>
      </c>
      <c r="G37" s="26">
        <f>IF(2895177.69157="","-",(12071.28384-7472.64316)/2895177.69157*100)</f>
        <v>0.1588379426033172</v>
      </c>
    </row>
    <row r="38" spans="1:7" s="16" customFormat="1" ht="15" customHeight="1">
      <c r="A38" s="14" t="s">
        <v>66</v>
      </c>
      <c r="B38" s="27">
        <f>IF(901.37646="","-",901.37646)</f>
        <v>901.37646</v>
      </c>
      <c r="C38" s="27">
        <f>IF(OR(646.75002="",901.37646=""),"-",901.37646/646.75002*100)</f>
        <v>139.37014799009978</v>
      </c>
      <c r="D38" s="27">
        <f>IF(646.75002="","-",646.75002/2895177.69157*100)</f>
        <v>0.022338871354361665</v>
      </c>
      <c r="E38" s="27">
        <f>IF(901.37646="","-",901.37646/3438777.31382*100)</f>
        <v>0.026212120697013005</v>
      </c>
      <c r="F38" s="27">
        <f>IF(OR(2962405.08414="",529.77747="",646.75002=""),"-",(646.75002-529.77747)/2962405.08414*100)</f>
        <v>0.003948567014897547</v>
      </c>
      <c r="G38" s="27">
        <f>IF(OR(2895177.69157="",901.37646="",646.75002=""),"-",(901.37646-646.75002)/2895177.69157*100)</f>
        <v>0.008794846711530198</v>
      </c>
    </row>
    <row r="39" spans="1:7" s="16" customFormat="1" ht="25.5">
      <c r="A39" s="14" t="s">
        <v>111</v>
      </c>
      <c r="B39" s="27">
        <f>IF(9523.83665="","-",9523.83665)</f>
        <v>9523.83665</v>
      </c>
      <c r="C39" s="27" t="s">
        <v>214</v>
      </c>
      <c r="D39" s="27">
        <f>IF(5491.83228="","-",5491.83228/2895177.69157*100)</f>
        <v>0.18968895401449032</v>
      </c>
      <c r="E39" s="27">
        <f>IF(9523.83665="","-",9523.83665/3438777.31382*100)</f>
        <v>0.2769541549470195</v>
      </c>
      <c r="F39" s="27">
        <f>IF(OR(2962405.08414="",4496.73416="",5491.83228=""),"-",(5491.83228-4496.73416)/2962405.08414*100)</f>
        <v>0.03359088617986494</v>
      </c>
      <c r="G39" s="27">
        <f>IF(OR(2895177.69157="",9523.83665="",5491.83228=""),"-",(9523.83665-5491.83228)/2895177.69157*100)</f>
        <v>0.13926621435845343</v>
      </c>
    </row>
    <row r="40" spans="1:7" s="16" customFormat="1" ht="25.5">
      <c r="A40" s="14" t="s">
        <v>112</v>
      </c>
      <c r="B40" s="27">
        <f>IF(1646.07073="","-",1646.07073)</f>
        <v>1646.07073</v>
      </c>
      <c r="C40" s="27">
        <f>IF(OR(1334.06086="",1646.07073=""),"-",1646.07073/1334.06086*100)</f>
        <v>123.3879787163533</v>
      </c>
      <c r="D40" s="27">
        <f>IF(1334.06086="","-",1334.06086/2895177.69157*100)</f>
        <v>0.046078721312492715</v>
      </c>
      <c r="E40" s="27">
        <f>IF(1646.07073="","-",1646.07073/3438777.31382*100)</f>
        <v>0.04786790710130182</v>
      </c>
      <c r="F40" s="27">
        <f>IF(OR(2962405.08414="",1457.94343="",1334.06086=""),"-",(1334.06086-1457.94343)/2962405.08414*100)</f>
        <v>-0.004181824108500127</v>
      </c>
      <c r="G40" s="27">
        <f>IF(OR(2895177.69157="",1646.07073="",1334.06086=""),"-",(1646.07073-1334.06086)/2895177.69157*100)</f>
        <v>0.01077688153333355</v>
      </c>
    </row>
    <row r="41" spans="1:7" s="16" customFormat="1" ht="25.5">
      <c r="A41" s="15" t="s">
        <v>69</v>
      </c>
      <c r="B41" s="26">
        <f>IF(537514.12007="","-",537514.12007)</f>
        <v>537514.12007</v>
      </c>
      <c r="C41" s="26">
        <f>IF(464442.34771="","-",537514.12007/464442.34771*100)</f>
        <v>115.73322775588635</v>
      </c>
      <c r="D41" s="26">
        <f>IF(464442.34771="","-",464442.34771/2895177.69157*100)</f>
        <v>16.0419289310751</v>
      </c>
      <c r="E41" s="26">
        <f>IF(537514.12007="","-",537514.12007/3438777.31382*100)</f>
        <v>15.630966213188637</v>
      </c>
      <c r="F41" s="26">
        <f>IF(2962405.08414="","-",(464442.34771-463853.01498)/2962405.08414*100)</f>
        <v>0.019893725309721097</v>
      </c>
      <c r="G41" s="26">
        <f>IF(2895177.69157="","-",(537514.12007-464442.34771)/2895177.69157*100)</f>
        <v>2.5239132151634713</v>
      </c>
    </row>
    <row r="42" spans="1:7" s="16" customFormat="1" ht="14.25" customHeight="1">
      <c r="A42" s="14" t="s">
        <v>70</v>
      </c>
      <c r="B42" s="27">
        <f>IF(15218.21106="","-",15218.21106)</f>
        <v>15218.21106</v>
      </c>
      <c r="C42" s="27">
        <f>IF(OR(12575.41751="",15218.21106=""),"-",15218.21106/12575.41751*100)</f>
        <v>121.01555314484347</v>
      </c>
      <c r="D42" s="27">
        <f>IF(12575.41751="","-",12575.41751/2895177.69157*100)</f>
        <v>0.43435736419965953</v>
      </c>
      <c r="E42" s="27">
        <f>IF(15218.21106="","-",15218.21106/3438777.31382*100)</f>
        <v>0.44254715182748194</v>
      </c>
      <c r="F42" s="27">
        <f>IF(OR(2962405.08414="",13501.15351="",12575.41751=""),"-",(12575.41751-13501.15351)/2962405.08414*100)</f>
        <v>-0.031249473779131943</v>
      </c>
      <c r="G42" s="27">
        <f>IF(OR(2895177.69157="",15218.21106="",12575.41751=""),"-",(15218.21106-12575.41751)/2895177.69157*100)</f>
        <v>0.09128260271192072</v>
      </c>
    </row>
    <row r="43" spans="1:7" s="16" customFormat="1" ht="14.25" customHeight="1">
      <c r="A43" s="14" t="s">
        <v>71</v>
      </c>
      <c r="B43" s="27">
        <f>IF(9581.84691="","-",9581.84691)</f>
        <v>9581.84691</v>
      </c>
      <c r="C43" s="27">
        <f>IF(OR(10358.91643="",9581.84691=""),"-",9581.84691/10358.91643*100)</f>
        <v>92.49854436754057</v>
      </c>
      <c r="D43" s="27">
        <f>IF(10358.91643="","-",10358.91643/2895177.69157*100)</f>
        <v>0.35779898623018735</v>
      </c>
      <c r="E43" s="27">
        <f>IF(9581.84691="","-",9581.84691/3438777.31382*100)</f>
        <v>0.27864109930851877</v>
      </c>
      <c r="F43" s="27">
        <f>IF(OR(2962405.08414="",9115.54653="",10358.91643=""),"-",(10358.91643-9115.54653)/2962405.08414*100)</f>
        <v>0.04197163671696019</v>
      </c>
      <c r="G43" s="27">
        <f>IF(OR(2895177.69157="",9581.84691="",10358.91643=""),"-",(9581.84691-10358.91643)/2895177.69157*100)</f>
        <v>-0.026840132205447093</v>
      </c>
    </row>
    <row r="44" spans="1:7" s="16" customFormat="1" ht="15" customHeight="1">
      <c r="A44" s="14" t="s">
        <v>72</v>
      </c>
      <c r="B44" s="27">
        <f>IF(24881.26449="","-",24881.26449)</f>
        <v>24881.26449</v>
      </c>
      <c r="C44" s="27">
        <f>IF(OR(22675.31876="",24881.26449=""),"-",24881.26449/22675.31876*100)</f>
        <v>109.72840008710864</v>
      </c>
      <c r="D44" s="27">
        <f>IF(22675.31876="","-",22675.31876/2895177.69157*100)</f>
        <v>0.7832099157859842</v>
      </c>
      <c r="E44" s="27">
        <f>IF(24881.26449="","-",24881.26449/3438777.31382*100)</f>
        <v>0.7235497451377683</v>
      </c>
      <c r="F44" s="27">
        <f>IF(OR(2962405.08414="",21905.37642="",22675.31876=""),"-",(22675.31876-21905.37642)/2962405.08414*100)</f>
        <v>0.025990447563099414</v>
      </c>
      <c r="G44" s="27">
        <f>IF(OR(2895177.69157="",24881.26449="",22675.31876=""),"-",(24881.26449-22675.31876)/2895177.69157*100)</f>
        <v>0.07619379412956724</v>
      </c>
    </row>
    <row r="45" spans="1:7" s="16" customFormat="1" ht="15" customHeight="1">
      <c r="A45" s="14" t="s">
        <v>73</v>
      </c>
      <c r="B45" s="27">
        <f>IF(158114.35651="","-",158114.35651)</f>
        <v>158114.35651</v>
      </c>
      <c r="C45" s="27">
        <f>IF(OR(121983.52406="",158114.35651=""),"-",158114.35651/121983.52406*100)</f>
        <v>129.61943650048048</v>
      </c>
      <c r="D45" s="27">
        <f>IF(121983.52406="","-",121983.52406/2895177.69157*100)</f>
        <v>4.213334622437307</v>
      </c>
      <c r="E45" s="27">
        <f>IF(158114.35651="","-",158114.35651/3438777.31382*100)</f>
        <v>4.597981842981193</v>
      </c>
      <c r="F45" s="27">
        <f>IF(OR(2962405.08414="",127645.85618="",121983.52406=""),"-",(121983.52406-127645.85618)/2962405.08414*100)</f>
        <v>-0.19113969761646582</v>
      </c>
      <c r="G45" s="27">
        <f>IF(OR(2895177.69157="",158114.35651="",121983.52406=""),"-",(158114.35651-121983.52406)/2895177.69157*100)</f>
        <v>1.2479659730455768</v>
      </c>
    </row>
    <row r="46" spans="1:7" s="16" customFormat="1" ht="38.25">
      <c r="A46" s="14" t="s">
        <v>74</v>
      </c>
      <c r="B46" s="27">
        <f>IF(80732.36263="","-",80732.36263)</f>
        <v>80732.36263</v>
      </c>
      <c r="C46" s="27">
        <f>IF(OR(81724.67166="",80732.36263=""),"-",80732.36263/81724.67166*100)</f>
        <v>98.78579012941366</v>
      </c>
      <c r="D46" s="27">
        <f>IF(81724.67166="","-",81724.67166/2895177.69157*100)</f>
        <v>2.822786038244246</v>
      </c>
      <c r="E46" s="27">
        <f>IF(80732.36263="","-",80732.36263/3438777.31382*100)</f>
        <v>2.347705456400073</v>
      </c>
      <c r="F46" s="27">
        <f>IF(OR(2962405.08414="",81484.70885="",81724.67166=""),"-",(81724.67166-81484.70885)/2962405.08414*100)</f>
        <v>0.008100269989567418</v>
      </c>
      <c r="G46" s="27">
        <f>IF(OR(2895177.69157="",80732.36263="",81724.67166=""),"-",(80732.36263-81724.67166)/2895177.69157*100)</f>
        <v>-0.03427454670189496</v>
      </c>
    </row>
    <row r="47" spans="1:7" s="16" customFormat="1" ht="15.75">
      <c r="A47" s="14" t="s">
        <v>75</v>
      </c>
      <c r="B47" s="27">
        <f>IF(50799.97395="","-",50799.97395)</f>
        <v>50799.97395</v>
      </c>
      <c r="C47" s="27">
        <f>IF(OR(40378.25716="",50799.97395=""),"-",50799.97395/40378.25716*100)</f>
        <v>125.81021946713462</v>
      </c>
      <c r="D47" s="27">
        <f>IF(40378.25716="","-",40378.25716/2895177.69157*100)</f>
        <v>1.3946728478038126</v>
      </c>
      <c r="E47" s="27">
        <f>IF(50799.97395="","-",50799.97395/3438777.31382*100)</f>
        <v>1.4772684973185526</v>
      </c>
      <c r="F47" s="27">
        <f>IF(OR(2962405.08414="",37875.06275="",40378.25716=""),"-",(40378.25716-37875.06275)/2962405.08414*100)</f>
        <v>0.0844987211033866</v>
      </c>
      <c r="G47" s="27">
        <f>IF(OR(2895177.69157="",50799.97395="",40378.25716=""),"-",(50799.97395-40378.25716)/2895177.69157*100)</f>
        <v>0.35996812286670044</v>
      </c>
    </row>
    <row r="48" spans="1:7" s="16" customFormat="1" ht="14.25" customHeight="1">
      <c r="A48" s="14" t="s">
        <v>76</v>
      </c>
      <c r="B48" s="27">
        <f>IF(38401.12727="","-",38401.12727)</f>
        <v>38401.12727</v>
      </c>
      <c r="C48" s="27">
        <f>IF(OR(34403.14565="",38401.12727=""),"-",38401.12727/34403.14565*100)</f>
        <v>111.62097693238118</v>
      </c>
      <c r="D48" s="27">
        <f>IF(34403.14565="","-",34403.14565/2895177.69157*100)</f>
        <v>1.1882913352839433</v>
      </c>
      <c r="E48" s="27">
        <f>IF(38401.12727="","-",38401.12727/3438777.31382*100)</f>
        <v>1.1167087533022524</v>
      </c>
      <c r="F48" s="27">
        <f>IF(OR(2962405.08414="",38077.64471="",34403.14565=""),"-",(34403.14565-38077.64471)/2962405.08414*100)</f>
        <v>-0.12403769760160016</v>
      </c>
      <c r="G48" s="27">
        <f>IF(OR(2895177.69157="",38401.12727="",34403.14565=""),"-",(38401.12727-34403.14565)/2895177.69157*100)</f>
        <v>0.13809106196283136</v>
      </c>
    </row>
    <row r="49" spans="1:7" s="16" customFormat="1" ht="13.5" customHeight="1">
      <c r="A49" s="14" t="s">
        <v>77</v>
      </c>
      <c r="B49" s="27">
        <f>IF(71009.71596="","-",71009.71596)</f>
        <v>71009.71596</v>
      </c>
      <c r="C49" s="27">
        <f>IF(OR(63284.69459="",71009.71596=""),"-",71009.71596/63284.69459*100)</f>
        <v>112.20677672547492</v>
      </c>
      <c r="D49" s="27">
        <f>IF(63284.69459="","-",63284.69459/2895177.69157*100)</f>
        <v>2.185865647357966</v>
      </c>
      <c r="E49" s="27">
        <f>IF(71009.71596="","-",71009.71596/3438777.31382*100)</f>
        <v>2.0649698855061414</v>
      </c>
      <c r="F49" s="27">
        <f>IF(OR(2962405.08414="",63170.53954="",63284.69459=""),"-",(63284.69459-63170.53954)/2962405.08414*100)</f>
        <v>0.0038534584824728977</v>
      </c>
      <c r="G49" s="27">
        <f>IF(OR(2895177.69157="",71009.71596="",63284.69459=""),"-",(71009.71596-63284.69459)/2895177.69157*100)</f>
        <v>0.26682373909184376</v>
      </c>
    </row>
    <row r="50" spans="1:7" s="16" customFormat="1" ht="16.5" customHeight="1">
      <c r="A50" s="14" t="s">
        <v>78</v>
      </c>
      <c r="B50" s="27">
        <f>IF(88775.26129="","-",88775.26129)</f>
        <v>88775.26129</v>
      </c>
      <c r="C50" s="27">
        <f>IF(OR(77058.40189="",88775.26129=""),"-",88775.26129/77058.40189*100)</f>
        <v>115.20516791501294</v>
      </c>
      <c r="D50" s="27">
        <f>IF(77058.40189="","-",77058.40189/2895177.69157*100)</f>
        <v>2.6616121737319927</v>
      </c>
      <c r="E50" s="27">
        <f>IF(88775.26129="","-",88775.26129/3438777.31382*100)</f>
        <v>2.581593781406657</v>
      </c>
      <c r="F50" s="27">
        <f>IF(OR(2962405.08414="",71077.12649="",77058.40189=""),"-",(77058.40189-71077.12649)/2962405.08414*100)</f>
        <v>0.20190606045143183</v>
      </c>
      <c r="G50" s="27">
        <f>IF(OR(2895177.69157="",88775.26129="",77058.40189=""),"-",(88775.26129-77058.40189)/2895177.69157*100)</f>
        <v>0.4047026002623753</v>
      </c>
    </row>
    <row r="51" spans="1:7" s="16" customFormat="1" ht="25.5">
      <c r="A51" s="15" t="s">
        <v>79</v>
      </c>
      <c r="B51" s="26">
        <f>IF(716668.10912="","-",716668.10912)</f>
        <v>716668.10912</v>
      </c>
      <c r="C51" s="26">
        <f>IF(641430.03972="","-",716668.10912/641430.03972*100)</f>
        <v>111.7297389802391</v>
      </c>
      <c r="D51" s="26">
        <f>IF(641430.03972="","-",641430.03972/2895177.69157*100)</f>
        <v>22.155118201818027</v>
      </c>
      <c r="E51" s="26">
        <f>IF(716668.10912="","-",716668.10912/3438777.31382*100)</f>
        <v>20.840782746815385</v>
      </c>
      <c r="F51" s="26">
        <f>IF(2962405.08414="","-",(641430.03972-604601.39253)/2962405.08414*100)</f>
        <v>1.243200917631816</v>
      </c>
      <c r="G51" s="26">
        <f>IF(2895177.69157="","-",(716668.10912-641430.03972)/2895177.69157*100)</f>
        <v>2.598737535836699</v>
      </c>
    </row>
    <row r="52" spans="1:7" s="16" customFormat="1" ht="15.75">
      <c r="A52" s="14" t="s">
        <v>80</v>
      </c>
      <c r="B52" s="27">
        <f>IF(31500.52729="","-",31500.52729)</f>
        <v>31500.52729</v>
      </c>
      <c r="C52" s="27">
        <f>IF(OR(29117.57744="",31500.52729=""),"-",31500.52729/29117.57744*100)</f>
        <v>108.18388773897942</v>
      </c>
      <c r="D52" s="27">
        <f>IF(29117.57744="","-",29117.57744/2895177.69157*100)</f>
        <v>1.0057267823243723</v>
      </c>
      <c r="E52" s="27">
        <f>IF(31500.52729="","-",31500.52729/3438777.31382*100)</f>
        <v>0.9160385920717655</v>
      </c>
      <c r="F52" s="27">
        <f>IF(OR(2962405.08414="",22971.7644="",29117.57744=""),"-",(29117.57744-22971.7644)/2962405.08414*100)</f>
        <v>0.20746025156732267</v>
      </c>
      <c r="G52" s="27">
        <f>IF(OR(2895177.69157="",31500.52729="",29117.57744=""),"-",(31500.52729-29117.57744)/2895177.69157*100)</f>
        <v>0.08230755082627665</v>
      </c>
    </row>
    <row r="53" spans="1:7" s="16" customFormat="1" ht="15" customHeight="1">
      <c r="A53" s="14" t="s">
        <v>81</v>
      </c>
      <c r="B53" s="27">
        <f>IF(40414.12248="","-",40414.12248)</f>
        <v>40414.12248</v>
      </c>
      <c r="C53" s="27">
        <f>IF(OR(44808.16939="",40414.12248=""),"-",40414.12248/44808.16939*100)</f>
        <v>90.19364778829674</v>
      </c>
      <c r="D53" s="27">
        <f>IF(44808.16939="","-",44808.16939/2895177.69157*100)</f>
        <v>1.5476828769601836</v>
      </c>
      <c r="E53" s="27">
        <f>IF(40414.12248="","-",40414.12248/3438777.31382*100)</f>
        <v>1.175246862237368</v>
      </c>
      <c r="F53" s="27">
        <f>IF(OR(2962405.08414="",37444.06624="",44808.16939=""),"-",(44808.16939-37444.06624)/2962405.08414*100)</f>
        <v>0.24858528597002583</v>
      </c>
      <c r="G53" s="27">
        <f>IF(OR(2895177.69157="",40414.12248="",44808.16939=""),"-",(40414.12248-44808.16939)/2895177.69157*100)</f>
        <v>-0.15177123403493747</v>
      </c>
    </row>
    <row r="54" spans="1:7" s="16" customFormat="1" ht="13.5" customHeight="1">
      <c r="A54" s="14" t="s">
        <v>82</v>
      </c>
      <c r="B54" s="27">
        <f>IF(50034.163="","-",50034.163)</f>
        <v>50034.163</v>
      </c>
      <c r="C54" s="27">
        <f>IF(OR(42397.10687="",50034.163=""),"-",50034.163/42397.10687*100)</f>
        <v>118.01315394802079</v>
      </c>
      <c r="D54" s="27">
        <f>IF(42397.10687="","-",42397.10687/2895177.69157*100)</f>
        <v>1.4644043090498138</v>
      </c>
      <c r="E54" s="27">
        <f>IF(50034.163="","-",50034.163/3438777.31382*100)</f>
        <v>1.4549986356755116</v>
      </c>
      <c r="F54" s="27">
        <f>IF(OR(2962405.08414="",42322.42816="",42397.10687=""),"-",(42397.10687-42322.42816)/2962405.08414*100)</f>
        <v>0.002520881104336874</v>
      </c>
      <c r="G54" s="27">
        <f>IF(OR(2895177.69157="",50034.163="",42397.10687=""),"-",(50034.163-42397.10687)/2895177.69157*100)</f>
        <v>0.263785402610593</v>
      </c>
    </row>
    <row r="55" spans="1:7" s="16" customFormat="1" ht="25.5">
      <c r="A55" s="14" t="s">
        <v>83</v>
      </c>
      <c r="B55" s="27">
        <f>IF(63153.02721="","-",63153.02721)</f>
        <v>63153.02721</v>
      </c>
      <c r="C55" s="27">
        <f>IF(OR(58576.55592="",63153.02721=""),"-",63153.02721/58576.55592*100)</f>
        <v>107.81280363470027</v>
      </c>
      <c r="D55" s="27">
        <f>IF(58576.55592="","-",58576.55592/2895177.69157*100)</f>
        <v>2.023245622904584</v>
      </c>
      <c r="E55" s="27">
        <f>IF(63153.02721="","-",63153.02721/3438777.31382*100)</f>
        <v>1.8364965639442885</v>
      </c>
      <c r="F55" s="27">
        <f>IF(OR(2962405.08414="",58692.49499="",58576.55592=""),"-",(58576.55592-58692.49499)/2962405.08414*100)</f>
        <v>-0.003913680496320712</v>
      </c>
      <c r="G55" s="27">
        <f>IF(OR(2895177.69157="",63153.02721="",58576.55592=""),"-",(63153.02721-58576.55592)/2895177.69157*100)</f>
        <v>0.15807220756520363</v>
      </c>
    </row>
    <row r="56" spans="1:7" s="16" customFormat="1" ht="25.5">
      <c r="A56" s="14" t="s">
        <v>84</v>
      </c>
      <c r="B56" s="27">
        <f>IF(203077.72397="","-",203077.72397)</f>
        <v>203077.72397</v>
      </c>
      <c r="C56" s="27">
        <f>IF(OR(186463.0085="",203077.72397=""),"-",203077.72397/186463.0085*100)</f>
        <v>108.91046197508929</v>
      </c>
      <c r="D56" s="27">
        <f>IF(186463.0085="","-",186463.0085/2895177.69157*100)</f>
        <v>6.440468543362002</v>
      </c>
      <c r="E56" s="27">
        <f>IF(203077.72397="","-",203077.72397/3438777.31382*100)</f>
        <v>5.905521219820107</v>
      </c>
      <c r="F56" s="27">
        <f>IF(OR(2962405.08414="",150035.10529="",186463.0085=""),"-",(186463.0085-150035.10529)/2962405.08414*100)</f>
        <v>1.2296732612641725</v>
      </c>
      <c r="G56" s="27">
        <f>IF(OR(2895177.69157="",203077.72397="",186463.0085=""),"-",(203077.72397-186463.0085)/2895177.69157*100)</f>
        <v>0.5738755005738577</v>
      </c>
    </row>
    <row r="57" spans="1:7" s="16" customFormat="1" ht="13.5" customHeight="1">
      <c r="A57" s="14" t="s">
        <v>85</v>
      </c>
      <c r="B57" s="27">
        <f>IF(87217.61="","-",87217.61)</f>
        <v>87217.61</v>
      </c>
      <c r="C57" s="27">
        <f>IF(OR(77134.49978="",87217.61=""),"-",87217.61/77134.49978*100)</f>
        <v>113.07211461636317</v>
      </c>
      <c r="D57" s="27">
        <f>IF(77134.49978="","-",77134.49978/2895177.69157*100)</f>
        <v>2.6642406096384166</v>
      </c>
      <c r="E57" s="27">
        <f>IF(87217.61="","-",87217.61/3438777.31382*100)</f>
        <v>2.5362971207668417</v>
      </c>
      <c r="F57" s="27">
        <f>IF(OR(2962405.08414="",75917.0286="",77134.49978=""),"-",(77134.49978-75917.0286)/2962405.08414*100)</f>
        <v>0.041097390310259704</v>
      </c>
      <c r="G57" s="27">
        <f>IF(OR(2895177.69157="",87217.61="",77134.49978=""),"-",(87217.61-77134.49978)/2895177.69157*100)</f>
        <v>0.34827258614762685</v>
      </c>
    </row>
    <row r="58" spans="1:7" s="16" customFormat="1" ht="14.25" customHeight="1">
      <c r="A58" s="14" t="s">
        <v>86</v>
      </c>
      <c r="B58" s="27">
        <f>IF(82125.25545="","-",82125.25545)</f>
        <v>82125.25545</v>
      </c>
      <c r="C58" s="27">
        <f>IF(OR(71626.71376="",82125.25545=""),"-",82125.25545/71626.71376*100)</f>
        <v>114.65729912610192</v>
      </c>
      <c r="D58" s="27">
        <f>IF(71626.71376="","-",71626.71376/2895177.69157*100)</f>
        <v>2.474000610344514</v>
      </c>
      <c r="E58" s="27">
        <f>IF(82125.25545="","-",82125.25545/3438777.31382*100)</f>
        <v>2.388210923689337</v>
      </c>
      <c r="F58" s="27">
        <f>IF(OR(2962405.08414="",81153.6716="",71626.71376=""),"-",(71626.71376-81153.6716)/2962405.08414*100)</f>
        <v>-0.3215953783972702</v>
      </c>
      <c r="G58" s="27">
        <f>IF(OR(2895177.69157="",82125.25545="",71626.71376=""),"-",(82125.25545-71626.71376)/2895177.69157*100)</f>
        <v>0.36262166983978245</v>
      </c>
    </row>
    <row r="59" spans="1:7" s="16" customFormat="1" ht="14.25" customHeight="1">
      <c r="A59" s="14" t="s">
        <v>87</v>
      </c>
      <c r="B59" s="27">
        <f>IF(59298.62544="","-",59298.62544)</f>
        <v>59298.62544</v>
      </c>
      <c r="C59" s="27">
        <f>IF(OR(40301.39317="",59298.62544=""),"-",59298.62544/40301.39317*100)</f>
        <v>147.13790461254172</v>
      </c>
      <c r="D59" s="27">
        <f>IF(40301.39317="","-",40301.39317/2895177.69157*100)</f>
        <v>1.3920179506545356</v>
      </c>
      <c r="E59" s="27">
        <f>IF(59298.62544="","-",59298.62544/3438777.31382*100)</f>
        <v>1.7244101617655359</v>
      </c>
      <c r="F59" s="27">
        <f>IF(OR(2962405.08414="",51542.85776="",40301.39317=""),"-",(40301.39317-51542.85776)/2962405.08414*100)</f>
        <v>-0.37947087824633025</v>
      </c>
      <c r="G59" s="27">
        <f>IF(OR(2895177.69157="",59298.62544="",40301.39317=""),"-",(59298.62544-40301.39317)/2895177.69157*100)</f>
        <v>0.656168093768993</v>
      </c>
    </row>
    <row r="60" spans="1:7" s="16" customFormat="1" ht="15" customHeight="1">
      <c r="A60" s="14" t="s">
        <v>88</v>
      </c>
      <c r="B60" s="27">
        <f>IF(99847.05428="","-",99847.05428)</f>
        <v>99847.05428</v>
      </c>
      <c r="C60" s="27">
        <f>IF(OR(91005.01489="",99847.05428=""),"-",99847.05428/91005.01489*100)</f>
        <v>109.71599136672587</v>
      </c>
      <c r="D60" s="27">
        <f>IF(91005.01489="","-",91005.01489/2895177.69157*100)</f>
        <v>3.1433308965796054</v>
      </c>
      <c r="E60" s="27">
        <f>IF(99847.05428="","-",99847.05428/3438777.31382*100)</f>
        <v>2.9035626668446266</v>
      </c>
      <c r="F60" s="27">
        <f>IF(OR(2962405.08414="",84521.97549="",91005.01489=""),"-",(91005.01489-84521.97549)/2962405.08414*100)</f>
        <v>0.21884378455561776</v>
      </c>
      <c r="G60" s="27">
        <f>IF(OR(2895177.69157="",99847.05428="",91005.01489=""),"-",(99847.05428-91005.01489)/2895177.69157*100)</f>
        <v>0.3054057585393013</v>
      </c>
    </row>
    <row r="61" spans="1:7" s="16" customFormat="1" ht="15" customHeight="1">
      <c r="A61" s="15" t="s">
        <v>89</v>
      </c>
      <c r="B61" s="26">
        <f>IF(752749.85607="","-",752749.85607)</f>
        <v>752749.85607</v>
      </c>
      <c r="C61" s="26">
        <f>IF(614951.67206="","-",752749.85607/614951.67206*100)</f>
        <v>122.40796964554886</v>
      </c>
      <c r="D61" s="26">
        <f>IF(614951.67206="","-",614951.67206/2895177.69157*100)</f>
        <v>21.24055023809345</v>
      </c>
      <c r="E61" s="26">
        <f>IF(752749.85607="","-",752749.85607/3438777.31382*100)</f>
        <v>21.89004368049062</v>
      </c>
      <c r="F61" s="26">
        <f>IF(2962405.08414="","-",(614951.67206-609201.42564)/2962405.08414*100)</f>
        <v>0.19410736400586837</v>
      </c>
      <c r="G61" s="26">
        <f>IF(2895177.69157="","-",(752749.85607-614951.67206)/2895177.69157*100)</f>
        <v>4.759576049899536</v>
      </c>
    </row>
    <row r="62" spans="1:7" s="16" customFormat="1" ht="25.5">
      <c r="A62" s="14" t="s">
        <v>113</v>
      </c>
      <c r="B62" s="27">
        <f>IF(11290.03475="","-",11290.03475)</f>
        <v>11290.03475</v>
      </c>
      <c r="C62" s="27">
        <f>IF(OR(8727.68105="",11290.03475=""),"-",11290.03475/8727.68105*100)</f>
        <v>129.35892919689132</v>
      </c>
      <c r="D62" s="27">
        <f>IF(8727.68105="","-",8727.68105/2895177.69157*100)</f>
        <v>0.30145579925587035</v>
      </c>
      <c r="E62" s="27">
        <f>IF(11290.03475="","-",11290.03475/3438777.31382*100)</f>
        <v>0.32831537839414077</v>
      </c>
      <c r="F62" s="27">
        <f>IF(OR(2962405.08414="",10465.15994="",8727.68105=""),"-",(8727.68105-10465.15994)/2962405.08414*100)</f>
        <v>-0.05865095558004683</v>
      </c>
      <c r="G62" s="27">
        <f>IF(OR(2895177.69157="",11290.03475="",8727.68105=""),"-",(11290.03475-8727.68105)/2895177.69157*100)</f>
        <v>0.08850419466345383</v>
      </c>
    </row>
    <row r="63" spans="1:7" s="16" customFormat="1" ht="25.5">
      <c r="A63" s="14" t="s">
        <v>91</v>
      </c>
      <c r="B63" s="27">
        <f>IF(116869.84099="","-",116869.84099)</f>
        <v>116869.84099</v>
      </c>
      <c r="C63" s="27">
        <f>IF(OR(95995.38207="",116869.84099=""),"-",116869.84099/95995.38207*100)</f>
        <v>121.74527406409852</v>
      </c>
      <c r="D63" s="27">
        <f>IF(95995.38207="","-",95995.38207/2895177.69157*100)</f>
        <v>3.315699148605402</v>
      </c>
      <c r="E63" s="27">
        <f>IF(116869.84099="","-",116869.84099/3438777.31382*100)</f>
        <v>3.398587065243081</v>
      </c>
      <c r="F63" s="27">
        <f>IF(OR(2962405.08414="",92517.86293="",95995.38207=""),"-",(95995.38207-92517.86293)/2962405.08414*100)</f>
        <v>0.11738837333954766</v>
      </c>
      <c r="G63" s="27">
        <f>IF(OR(2895177.69157="",116869.84099="",95995.38207=""),"-",(116869.84099-95995.38207)/2895177.69157*100)</f>
        <v>0.7210078670052258</v>
      </c>
    </row>
    <row r="64" spans="1:7" s="16" customFormat="1" ht="25.5">
      <c r="A64" s="14" t="s">
        <v>92</v>
      </c>
      <c r="B64" s="27">
        <f>IF(7340.29977="","-",7340.29977)</f>
        <v>7340.29977</v>
      </c>
      <c r="C64" s="27">
        <f>IF(OR(5105.34525="",7340.29977=""),"-",7340.29977/5105.34525*100)</f>
        <v>143.77675574438376</v>
      </c>
      <c r="D64" s="27">
        <f>IF(5105.34525="","-",5105.34525/2895177.69157*100)</f>
        <v>0.17633961690384084</v>
      </c>
      <c r="E64" s="27">
        <f>IF(7340.29977="","-",7340.29977/3438777.31382*100)</f>
        <v>0.2134566766071268</v>
      </c>
      <c r="F64" s="27">
        <f>IF(OR(2962405.08414="",6572.26703="",5105.34525=""),"-",(5105.34525-6572.26703)/2962405.08414*100)</f>
        <v>-0.04951793351468184</v>
      </c>
      <c r="G64" s="27">
        <f>IF(OR(2895177.69157="",7340.29977="",5105.34525=""),"-",(7340.29977-5105.34525)/2895177.69157*100)</f>
        <v>0.07719576337257648</v>
      </c>
    </row>
    <row r="65" spans="1:7" s="16" customFormat="1" ht="38.25">
      <c r="A65" s="14" t="s">
        <v>93</v>
      </c>
      <c r="B65" s="27">
        <f>IF(108920.56945="","-",108920.56945)</f>
        <v>108920.56945</v>
      </c>
      <c r="C65" s="27">
        <f>IF(OR(85899.69891="",108920.56945=""),"-",108920.56945/85899.69891*100)</f>
        <v>126.79971039726196</v>
      </c>
      <c r="D65" s="27">
        <f>IF(85899.69891="","-",85899.69891/2895177.69157*100)</f>
        <v>2.966992290667252</v>
      </c>
      <c r="E65" s="27">
        <f>IF(108920.56945="","-",108920.56945/3438777.31382*100)</f>
        <v>3.167421426571077</v>
      </c>
      <c r="F65" s="27">
        <f>IF(OR(2962405.08414="",96705.63966="",85899.69891=""),"-",(85899.69891-96705.63966)/2962405.08414*100)</f>
        <v>-0.3647691805503706</v>
      </c>
      <c r="G65" s="27">
        <f>IF(OR(2895177.69157="",108920.56945="",85899.69891=""),"-",(108920.56945-85899.69891)/2895177.69157*100)</f>
        <v>0.7951453414079123</v>
      </c>
    </row>
    <row r="66" spans="1:7" s="16" customFormat="1" ht="25.5">
      <c r="A66" s="14" t="s">
        <v>94</v>
      </c>
      <c r="B66" s="27">
        <f>IF(31412.102="","-",31412.102)</f>
        <v>31412.102</v>
      </c>
      <c r="C66" s="27">
        <f>IF(OR(23985.73767="",31412.102=""),"-",31412.102/23985.73767*100)</f>
        <v>130.96158405538003</v>
      </c>
      <c r="D66" s="27">
        <f>IF(23985.73767="","-",23985.73767/2895177.69157*100)</f>
        <v>0.8284720395518449</v>
      </c>
      <c r="E66" s="27">
        <f>IF(31412.102="","-",31412.102/3438777.31382*100)</f>
        <v>0.9134671754916737</v>
      </c>
      <c r="F66" s="27">
        <f>IF(OR(2962405.08414="",19338.9426="",23985.73767=""),"-",(23985.73767-19338.9426)/2962405.08414*100)</f>
        <v>0.15685886764365267</v>
      </c>
      <c r="G66" s="27">
        <f>IF(OR(2895177.69157="",31412.102="",23985.73767=""),"-",(31412.102-23985.73767)/2895177.69157*100)</f>
        <v>0.25650806690116573</v>
      </c>
    </row>
    <row r="67" spans="1:7" s="16" customFormat="1" ht="38.25">
      <c r="A67" s="14" t="s">
        <v>95</v>
      </c>
      <c r="B67" s="27">
        <f>IF(76124.76344="","-",76124.76344)</f>
        <v>76124.76344</v>
      </c>
      <c r="C67" s="27">
        <f>IF(OR(54355.73124="",76124.76344=""),"-",76124.76344/54355.73124*100)</f>
        <v>140.04919389987035</v>
      </c>
      <c r="D67" s="27">
        <f>IF(54355.73124="","-",54355.73124/2895177.69157*100)</f>
        <v>1.8774575183509348</v>
      </c>
      <c r="E67" s="27">
        <f>IF(76124.76344="","-",76124.76344/3438777.31382*100)</f>
        <v>2.2137159953354484</v>
      </c>
      <c r="F67" s="27">
        <f>IF(OR(2962405.08414="",58014.89921="",54355.73124=""),"-",(54355.73124-58014.89921)/2962405.08414*100)</f>
        <v>-0.12352017587298585</v>
      </c>
      <c r="G67" s="27">
        <f>IF(OR(2895177.69157="",76124.76344="",54355.73124=""),"-",(76124.76344-54355.73124)/2895177.69157*100)</f>
        <v>0.7519066019120595</v>
      </c>
    </row>
    <row r="68" spans="1:7" s="16" customFormat="1" ht="38.25" customHeight="1">
      <c r="A68" s="14" t="s">
        <v>96</v>
      </c>
      <c r="B68" s="27">
        <f>IF(221151.20377="","-",221151.20377)</f>
        <v>221151.20377</v>
      </c>
      <c r="C68" s="27">
        <f>IF(OR(190206.48898="",221151.20377=""),"-",221151.20377/190206.48898*100)</f>
        <v>116.26901109207361</v>
      </c>
      <c r="D68" s="27">
        <f>IF(190206.48898="","-",190206.48898/2895177.69157*100)</f>
        <v>6.569769086499649</v>
      </c>
      <c r="E68" s="27">
        <f>IF(221151.20377="","-",221151.20377/3438777.31382*100)</f>
        <v>6.431099881961591</v>
      </c>
      <c r="F68" s="27">
        <f>IF(OR(2962405.08414="",197908.60336="",190206.48898=""),"-",(190206.48898-197908.60336)/2962405.08414*100)</f>
        <v>-0.2599953133092861</v>
      </c>
      <c r="G68" s="27">
        <f>IF(OR(2895177.69157="",221151.20377="",190206.48898=""),"-",(221151.20377-190206.48898)/2895177.69157*100)</f>
        <v>1.068836461406252</v>
      </c>
    </row>
    <row r="69" spans="1:7" s="16" customFormat="1" ht="25.5">
      <c r="A69" s="14" t="s">
        <v>97</v>
      </c>
      <c r="B69" s="27">
        <f>IF(177735.10105="","-",177735.10105)</f>
        <v>177735.10105</v>
      </c>
      <c r="C69" s="27">
        <f>IF(OR(149953.62997="",177735.10105=""),"-",177735.10105/149953.62997*100)</f>
        <v>118.52670794668857</v>
      </c>
      <c r="D69" s="27">
        <f>IF(149953.62997="","-",149953.62997/2895177.69157*100)</f>
        <v>5.179427515161703</v>
      </c>
      <c r="E69" s="27">
        <f>IF(177735.10105="","-",177735.10105/3438777.31382*100)</f>
        <v>5.1685551238140865</v>
      </c>
      <c r="F69" s="27">
        <f>IF(OR(2962405.08414="",124053.02597="",149953.62997=""),"-",(149953.62997-124053.02597)/2962405.08414*100)</f>
        <v>0.8743100036745675</v>
      </c>
      <c r="G69" s="27">
        <f>IF(OR(2895177.69157="",177735.10105="",149953.62997=""),"-",(177735.10105-149953.62997)/2895177.69157*100)</f>
        <v>0.9595774090444384</v>
      </c>
    </row>
    <row r="70" spans="1:7" s="16" customFormat="1" ht="14.25" customHeight="1">
      <c r="A70" s="14" t="s">
        <v>98</v>
      </c>
      <c r="B70" s="27">
        <f>IF(1905.94085="","-",1905.94085)</f>
        <v>1905.94085</v>
      </c>
      <c r="C70" s="27" t="s">
        <v>198</v>
      </c>
      <c r="D70" s="27">
        <f>IF(721.97692="","-",721.97692/2895177.69157*100)</f>
        <v>0.024937223096952142</v>
      </c>
      <c r="E70" s="27">
        <f>IF(1905.94085="","-",1905.94085/3438777.31382*100)</f>
        <v>0.055424957072395205</v>
      </c>
      <c r="F70" s="27">
        <f>IF(OR(2962405.08414="",3625.02494="",721.97692=""),"-",(721.97692-3625.02494)/2962405.08414*100)</f>
        <v>-0.09799632182452753</v>
      </c>
      <c r="G70" s="27">
        <f>IF(OR(2895177.69157="",1905.94085="",721.97692=""),"-",(1905.94085-721.97692)/2895177.69157*100)</f>
        <v>0.040894344186451596</v>
      </c>
    </row>
    <row r="71" spans="1:7" s="16" customFormat="1" ht="13.5" customHeight="1">
      <c r="A71" s="15" t="s">
        <v>99</v>
      </c>
      <c r="B71" s="26">
        <f>IF(365283.54675="","-",365283.54675)</f>
        <v>365283.54675</v>
      </c>
      <c r="C71" s="26">
        <f>IF(281302.05114="","-",365283.54675/281302.05114*100)</f>
        <v>129.85456212269267</v>
      </c>
      <c r="D71" s="26">
        <f>IF(281302.05114="","-",281302.05114/2895177.69157*100)</f>
        <v>9.716227503378395</v>
      </c>
      <c r="E71" s="26">
        <f>IF(365283.54675="","-",365283.54675/3438777.31382*100)</f>
        <v>10.622483325162488</v>
      </c>
      <c r="F71" s="26">
        <f>IF(2962405.08414="","-",(281302.05114-271334.40446)/2962405.08414*100)</f>
        <v>0.33647142767086025</v>
      </c>
      <c r="G71" s="26">
        <f>IF(2895177.69157="","-",(365283.54675-281302.05114)/2895177.69157*100)</f>
        <v>2.9007371759782528</v>
      </c>
    </row>
    <row r="72" spans="1:7" s="16" customFormat="1" ht="38.25">
      <c r="A72" s="14" t="s">
        <v>100</v>
      </c>
      <c r="B72" s="27">
        <f>IF(27284.99702="","-",27284.99702)</f>
        <v>27284.99702</v>
      </c>
      <c r="C72" s="27">
        <f>IF(OR(22676.25555="",27284.99702=""),"-",27284.99702/22676.25555*100)</f>
        <v>120.3240850758537</v>
      </c>
      <c r="D72" s="27">
        <f>IF(22676.25555="","-",22676.25555/2895177.69157*100)</f>
        <v>0.7832422726946027</v>
      </c>
      <c r="E72" s="27">
        <f>IF(27284.99702="","-",27284.99702/3438777.31382*100)</f>
        <v>0.7934505357571465</v>
      </c>
      <c r="F72" s="27">
        <f>IF(OR(2962405.08414="",24681.26483="",22676.25555=""),"-",(22676.25555-24681.26483)/2962405.08414*100)</f>
        <v>-0.06768180660822967</v>
      </c>
      <c r="G72" s="27">
        <f>IF(OR(2895177.69157="",27284.99702="",22676.25555=""),"-",(27284.99702-22676.25555)/2895177.69157*100)</f>
        <v>0.1591868258525011</v>
      </c>
    </row>
    <row r="73" spans="1:7" s="16" customFormat="1" ht="14.25" customHeight="1">
      <c r="A73" s="14" t="s">
        <v>101</v>
      </c>
      <c r="B73" s="27">
        <f>IF(32743.93057="","-",32743.93057)</f>
        <v>32743.93057</v>
      </c>
      <c r="C73" s="27">
        <f>IF(OR(29709.94651="",32743.93057=""),"-",32743.93057/29709.94651*100)</f>
        <v>110.21201454865897</v>
      </c>
      <c r="D73" s="27">
        <f>IF(29709.94651="","-",29709.94651/2895177.69157*100)</f>
        <v>1.0261873250995126</v>
      </c>
      <c r="E73" s="27">
        <f>IF(32743.93057="","-",32743.93057/3438777.31382*100)</f>
        <v>0.9521968880743279</v>
      </c>
      <c r="F73" s="27">
        <f>IF(OR(2962405.08414="",30225.98019="",29709.94651=""),"-",(29709.94651-30225.98019)/2962405.08414*100)</f>
        <v>-0.017419416499205875</v>
      </c>
      <c r="G73" s="27">
        <f>IF(OR(2895177.69157="",32743.93057="",29709.94651=""),"-",(32743.93057-29709.94651)/2895177.69157*100)</f>
        <v>0.10479439893565658</v>
      </c>
    </row>
    <row r="74" spans="1:7" s="16" customFormat="1" ht="15.75">
      <c r="A74" s="14" t="s">
        <v>102</v>
      </c>
      <c r="B74" s="27">
        <f>IF(11279.39917="","-",11279.39917)</f>
        <v>11279.39917</v>
      </c>
      <c r="C74" s="27" t="s">
        <v>274</v>
      </c>
      <c r="D74" s="27">
        <f>IF(3532.5906="","-",3532.5906/2895177.69157*100)</f>
        <v>0.12201636570653263</v>
      </c>
      <c r="E74" s="27">
        <f>IF(11279.39917="","-",11279.39917/3438777.31382*100)</f>
        <v>0.3280060946275747</v>
      </c>
      <c r="F74" s="27">
        <f>IF(OR(2962405.08414="",2864.47799="",3532.5906=""),"-",(3532.5906-2864.47799)/2962405.08414*100)</f>
        <v>0.022553046967712598</v>
      </c>
      <c r="G74" s="27">
        <f>IF(OR(2895177.69157="",11279.39917="",3532.5906=""),"-",(11279.39917-3532.5906)/2895177.69157*100)</f>
        <v>0.2675762732130978</v>
      </c>
    </row>
    <row r="75" spans="1:7" s="16" customFormat="1" ht="14.25" customHeight="1">
      <c r="A75" s="14" t="s">
        <v>103</v>
      </c>
      <c r="B75" s="27">
        <f>IF(93997.63102="","-",93997.63102)</f>
        <v>93997.63102</v>
      </c>
      <c r="C75" s="27">
        <f>IF(OR(71602.81228="",93997.63102=""),"-",93997.63102/71602.81228*100)</f>
        <v>131.27645133884678</v>
      </c>
      <c r="D75" s="27">
        <f>IF(71602.81228="","-",71602.81228/2895177.69157*100)</f>
        <v>2.473175048581255</v>
      </c>
      <c r="E75" s="27">
        <f>IF(93997.63102="","-",93997.63102/3438777.31382*100)</f>
        <v>2.7334608333675963</v>
      </c>
      <c r="F75" s="27">
        <f>IF(OR(2962405.08414="",57818.2592="",71602.81228=""),"-",(71602.81228-57818.2592)/2962405.08414*100)</f>
        <v>0.4653162781079185</v>
      </c>
      <c r="G75" s="27">
        <f>IF(OR(2895177.69157="",93997.63102="",71602.81228=""),"-",(93997.63102-71602.81228)/2895177.69157*100)</f>
        <v>0.7735213905940163</v>
      </c>
    </row>
    <row r="76" spans="1:7" s="16" customFormat="1" ht="15" customHeight="1">
      <c r="A76" s="14" t="s">
        <v>104</v>
      </c>
      <c r="B76" s="27">
        <f>IF(31032.88818="","-",31032.88818)</f>
        <v>31032.88818</v>
      </c>
      <c r="C76" s="27" t="s">
        <v>214</v>
      </c>
      <c r="D76" s="27">
        <f>IF(18184.06864="","-",18184.06864/2895177.69157*100)</f>
        <v>0.6280812639910583</v>
      </c>
      <c r="E76" s="27">
        <f>IF(31032.88818="","-",31032.88818/3438777.31382*100)</f>
        <v>0.9024395983794256</v>
      </c>
      <c r="F76" s="27">
        <f>IF(OR(2962405.08414="",12894.74045="",18184.06864=""),"-",(18184.06864-12894.74045)/2962405.08414*100)</f>
        <v>0.17854844424612237</v>
      </c>
      <c r="G76" s="27">
        <f>IF(OR(2895177.69157="",31032.88818="",18184.06864=""),"-",(31032.88818-18184.06864)/2895177.69157*100)</f>
        <v>0.4438007234378878</v>
      </c>
    </row>
    <row r="77" spans="1:7" s="16" customFormat="1" ht="25.5">
      <c r="A77" s="14" t="s">
        <v>105</v>
      </c>
      <c r="B77" s="27">
        <f>IF(34242.52556="","-",34242.52556)</f>
        <v>34242.52556</v>
      </c>
      <c r="C77" s="27">
        <f>IF(OR(27715.28032="",34242.52556=""),"-",34242.52556/27715.28032*100)</f>
        <v>123.55107061749537</v>
      </c>
      <c r="D77" s="27">
        <f>IF(27715.28032="","-",27715.28032/2895177.69157*100)</f>
        <v>0.957291167333171</v>
      </c>
      <c r="E77" s="27">
        <f>IF(34242.52556="","-",34242.52556/3438777.31382*100)</f>
        <v>0.9957761854012395</v>
      </c>
      <c r="F77" s="27">
        <f>IF(OR(2962405.08414="",41606.65245="",27715.28032=""),"-",(27715.28032-41606.65245)/2962405.08414*100)</f>
        <v>-0.46892209996435147</v>
      </c>
      <c r="G77" s="27">
        <f>IF(OR(2895177.69157="",34242.52556="",27715.28032=""),"-",(34242.52556-27715.28032)/2895177.69157*100)</f>
        <v>0.22545231883368097</v>
      </c>
    </row>
    <row r="78" spans="1:7" ht="25.5">
      <c r="A78" s="10" t="s">
        <v>106</v>
      </c>
      <c r="B78" s="27">
        <f>IF(7426.92287="","-",7426.92287)</f>
        <v>7426.92287</v>
      </c>
      <c r="C78" s="27">
        <f>IF(OR(5472.07119="",7426.92287=""),"-",7426.92287/5472.07119*100)</f>
        <v>135.72416388829913</v>
      </c>
      <c r="D78" s="27">
        <f>IF(5472.07119="","-",5472.07119/2895177.69157*100)</f>
        <v>0.18900640212630954</v>
      </c>
      <c r="E78" s="27">
        <f>IF(7426.92287="","-",7426.92287/3438777.31382*100)</f>
        <v>0.21597568531559636</v>
      </c>
      <c r="F78" s="27">
        <f>IF(OR(2962405.08414="",5331.41487="",5472.07119=""),"-",(5472.07119-5331.41487)/2962405.08414*100)</f>
        <v>0.004748044781351475</v>
      </c>
      <c r="G78" s="27">
        <f>IF(OR(2895177.69157="",7426.92287="",5472.07119=""),"-",(7426.92287-5472.07119)/2895177.69157*100)</f>
        <v>0.06752095685498052</v>
      </c>
    </row>
    <row r="79" spans="1:7" ht="13.5" customHeight="1">
      <c r="A79" s="11" t="s">
        <v>107</v>
      </c>
      <c r="B79" s="27">
        <f>IF(127275.25236="","-",127275.25236)</f>
        <v>127275.25236</v>
      </c>
      <c r="C79" s="27">
        <f>IF(OR(102409.02605="",127275.25236=""),"-",127275.25236/102409.02605*100)</f>
        <v>124.28128385661958</v>
      </c>
      <c r="D79" s="27">
        <f>IF(102409.02605="","-",102409.02605/2895177.69157*100)</f>
        <v>3.5372276578459516</v>
      </c>
      <c r="E79" s="27">
        <f>IF(127275.25236="","-",127275.25236/3438777.31382*100)</f>
        <v>3.701177504239582</v>
      </c>
      <c r="F79" s="27">
        <f>IF(OR(2962405.08414="",95911.61448="",102409.02605=""),"-",(102409.02605-95911.61448)/2962405.08414*100)</f>
        <v>0.21932893663954214</v>
      </c>
      <c r="G79" s="27">
        <f>IF(OR(2895177.69157="",127275.25236="",102409.02605=""),"-",(127275.25236-102409.02605)/2895177.69157*100)</f>
        <v>0.8588842882564323</v>
      </c>
    </row>
    <row r="80" spans="1:7" ht="15.75">
      <c r="A80" s="81" t="s">
        <v>117</v>
      </c>
      <c r="B80" s="81"/>
      <c r="C80" s="81"/>
      <c r="D80" s="81"/>
      <c r="E80" s="81"/>
      <c r="F80" s="81"/>
      <c r="G80" s="81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G74" sqref="G74"/>
    </sheetView>
  </sheetViews>
  <sheetFormatPr defaultColWidth="9.00390625" defaultRowHeight="15.75"/>
  <cols>
    <col min="1" max="1" width="42.50390625" style="0" customWidth="1"/>
    <col min="2" max="2" width="12.625" style="0" customWidth="1"/>
    <col min="3" max="3" width="12.125" style="0" customWidth="1"/>
    <col min="4" max="4" width="18.375" style="0" customWidth="1"/>
  </cols>
  <sheetData>
    <row r="1" spans="1:4" ht="15.75">
      <c r="A1" s="64" t="s">
        <v>118</v>
      </c>
      <c r="B1" s="64"/>
      <c r="C1" s="64"/>
      <c r="D1" s="64"/>
    </row>
    <row r="2" spans="1:4" ht="15.75">
      <c r="A2" s="64" t="s">
        <v>35</v>
      </c>
      <c r="B2" s="64"/>
      <c r="C2" s="64"/>
      <c r="D2" s="64"/>
    </row>
    <row r="3" ht="15.75">
      <c r="A3" s="5"/>
    </row>
    <row r="4" spans="1:5" ht="27.75" customHeight="1">
      <c r="A4" s="74"/>
      <c r="B4" s="78" t="s">
        <v>249</v>
      </c>
      <c r="C4" s="69"/>
      <c r="D4" s="70" t="s">
        <v>250</v>
      </c>
      <c r="E4" s="1"/>
    </row>
    <row r="5" spans="1:5" ht="27" customHeight="1">
      <c r="A5" s="75"/>
      <c r="B5" s="20">
        <v>2016</v>
      </c>
      <c r="C5" s="19">
        <v>2017</v>
      </c>
      <c r="D5" s="79"/>
      <c r="E5" s="1"/>
    </row>
    <row r="6" spans="1:4" ht="28.5">
      <c r="A6" s="7" t="s">
        <v>199</v>
      </c>
      <c r="B6" s="34">
        <f>IF(-1462518.9726="","-",-1462518.9726)</f>
        <v>-1462518.9726</v>
      </c>
      <c r="C6" s="34">
        <f>IF(-1786984.589="","-",-1786984.589)</f>
        <v>-1786984.589</v>
      </c>
      <c r="D6" s="34">
        <f>IF(-1462518.9726="","-",-1786984.589/-1462518.9726*100)</f>
        <v>122.18539536777288</v>
      </c>
    </row>
    <row r="7" spans="1:4" ht="15.75">
      <c r="A7" s="8" t="s">
        <v>32</v>
      </c>
      <c r="B7" s="28"/>
      <c r="C7" s="28"/>
      <c r="D7" s="28"/>
    </row>
    <row r="8" spans="1:4" ht="15.75">
      <c r="A8" s="9" t="s">
        <v>36</v>
      </c>
      <c r="B8" s="26">
        <f>IF(26220.3016="","-",26220.3016)</f>
        <v>26220.3016</v>
      </c>
      <c r="C8" s="26">
        <f>IF(18151.3379="","-",18151.3379)</f>
        <v>18151.3379</v>
      </c>
      <c r="D8" s="26">
        <f>IF(26220.3016="","-",18151.3379/26220.3016*100)</f>
        <v>69.22627426985814</v>
      </c>
    </row>
    <row r="9" spans="1:4" ht="15.75">
      <c r="A9" s="8" t="s">
        <v>37</v>
      </c>
      <c r="B9" s="27">
        <f>IF(OR(2367.65087="",2367.65087=0),"-",2367.65087)</f>
        <v>2367.65087</v>
      </c>
      <c r="C9" s="27">
        <f>IF(OR(563.33821="",563.33821=0),"-",563.33821)</f>
        <v>563.33821</v>
      </c>
      <c r="D9" s="27">
        <f>IF(OR(2367.65087="",563.33821="",2367.65087=0,563.33821=0),"-",563.33821/2367.65087*100)</f>
        <v>23.79312833399293</v>
      </c>
    </row>
    <row r="10" spans="1:4" ht="15.75">
      <c r="A10" s="8" t="s">
        <v>38</v>
      </c>
      <c r="B10" s="27">
        <f>IF(OR(-14196.40122="",-14196.40122=0),"-",-14196.40122)</f>
        <v>-14196.40122</v>
      </c>
      <c r="C10" s="27">
        <f>IF(OR(-19028.40855="",-19028.40855=0),"-",-19028.40855)</f>
        <v>-19028.40855</v>
      </c>
      <c r="D10" s="27">
        <f>IF(OR(-14196.40122="",-19028.40855="",-14196.40122=0,-19028.40855=0),"-",-19028.40855/-14196.40122*100)</f>
        <v>134.03684676925468</v>
      </c>
    </row>
    <row r="11" spans="1:4" ht="15.75">
      <c r="A11" s="8" t="s">
        <v>39</v>
      </c>
      <c r="B11" s="27">
        <f>IF(OR(-13957.81219="",-13957.81219=0),"-",-13957.81219)</f>
        <v>-13957.81219</v>
      </c>
      <c r="C11" s="27">
        <f>IF(OR(-20950.87821="",-20950.87821=0),"-",-20950.87821)</f>
        <v>-20950.87821</v>
      </c>
      <c r="D11" s="27">
        <f>IF(OR(-13957.81219="",-20950.87821="",-13957.81219=0,-20950.87821=0),"-",-20950.87821/-13957.81219*100)</f>
        <v>150.10144802643313</v>
      </c>
    </row>
    <row r="12" spans="1:4" ht="15.75">
      <c r="A12" s="8" t="s">
        <v>40</v>
      </c>
      <c r="B12" s="27">
        <f>IF(OR(-28779.03688="",-28779.03688=0),"-",-28779.03688)</f>
        <v>-28779.03688</v>
      </c>
      <c r="C12" s="27">
        <f>IF(OR(-30591.873="",-30591.873=0),"-",-30591.873)</f>
        <v>-30591.873</v>
      </c>
      <c r="D12" s="27">
        <f>IF(OR(-28779.03688="",-30591.873="",-28779.03688=0,-30591.873=0),"-",-30591.873/-28779.03688*100)</f>
        <v>106.29915492849531</v>
      </c>
    </row>
    <row r="13" spans="1:4" ht="15.75">
      <c r="A13" s="8" t="s">
        <v>41</v>
      </c>
      <c r="B13" s="27">
        <f>IF(OR(86029.3344="",86029.3344=0),"-",86029.3344)</f>
        <v>86029.3344</v>
      </c>
      <c r="C13" s="27">
        <f>IF(OR(92447.48252="",92447.48252=0),"-",92447.48252)</f>
        <v>92447.48252</v>
      </c>
      <c r="D13" s="27">
        <f>IF(OR(86029.3344="",92447.48252="",86029.3344=0,92447.48252=0),"-",92447.48252/86029.3344*100)</f>
        <v>107.4604181989347</v>
      </c>
    </row>
    <row r="14" spans="1:4" ht="15.75">
      <c r="A14" s="8" t="s">
        <v>42</v>
      </c>
      <c r="B14" s="27">
        <f>IF(OR(56218.4354="",56218.4354=0),"-",56218.4354)</f>
        <v>56218.4354</v>
      </c>
      <c r="C14" s="27">
        <f>IF(OR(78485.14784="",78485.14784=0),"-",78485.14784)</f>
        <v>78485.14784</v>
      </c>
      <c r="D14" s="27">
        <f>IF(OR(56218.4354="",78485.14784="",56218.4354=0,78485.14784=0),"-",78485.14784/56218.4354*100)</f>
        <v>139.60749224266033</v>
      </c>
    </row>
    <row r="15" spans="1:4" ht="15.75">
      <c r="A15" s="8" t="s">
        <v>43</v>
      </c>
      <c r="B15" s="27">
        <f>IF(OR(18403.47556="",18403.47556=0),"-",18403.47556)</f>
        <v>18403.47556</v>
      </c>
      <c r="C15" s="27">
        <f>IF(OR(6810.39098="",6810.39098=0),"-",6810.39098)</f>
        <v>6810.39098</v>
      </c>
      <c r="D15" s="27">
        <f>IF(OR(18403.47556="",6810.39098="",18403.47556=0,6810.39098=0),"-",6810.39098/18403.47556*100)</f>
        <v>37.00600442452513</v>
      </c>
    </row>
    <row r="16" spans="1:4" ht="15.75">
      <c r="A16" s="8" t="s">
        <v>44</v>
      </c>
      <c r="B16" s="27">
        <f>IF(OR(-25602.85253="",-25602.85253=0),"-",-25602.85253)</f>
        <v>-25602.85253</v>
      </c>
      <c r="C16" s="27">
        <f>IF(OR(-27129.63856="",-27129.63856=0),"-",-27129.63856)</f>
        <v>-27129.63856</v>
      </c>
      <c r="D16" s="27">
        <f>IF(OR(-25602.85253="",-27129.63856="",-25602.85253=0,-27129.63856=0),"-",-27129.63856/-25602.85253*100)</f>
        <v>105.96334345249613</v>
      </c>
    </row>
    <row r="17" spans="1:4" ht="15.75">
      <c r="A17" s="8" t="s">
        <v>45</v>
      </c>
      <c r="B17" s="27">
        <f>IF(OR(-10990.821="",-10990.821=0),"-",-10990.821)</f>
        <v>-10990.821</v>
      </c>
      <c r="C17" s="27">
        <f>IF(OR(-14311.7933="",-14311.7933=0),"-",-14311.7933)</f>
        <v>-14311.7933</v>
      </c>
      <c r="D17" s="27">
        <f>IF(OR(-10990.821="",-14311.7933="",-10990.821=0,-14311.7933=0),"-",-14311.7933/-10990.821*100)</f>
        <v>130.21587104366452</v>
      </c>
    </row>
    <row r="18" spans="1:4" ht="15.75">
      <c r="A18" s="8" t="s">
        <v>46</v>
      </c>
      <c r="B18" s="27">
        <f>IF(OR(-43271.67081="",-43271.67081=0),"-",-43271.67081)</f>
        <v>-43271.67081</v>
      </c>
      <c r="C18" s="27">
        <f>IF(OR(-48142.43003="",-48142.43003=0),"-",-48142.43003)</f>
        <v>-48142.43003</v>
      </c>
      <c r="D18" s="27">
        <f>IF(OR(-43271.67081="",-48142.43003="",-43271.67081=0,-48142.43003=0),"-",-48142.43003/-43271.67081*100)</f>
        <v>111.25623099091051</v>
      </c>
    </row>
    <row r="19" spans="1:4" ht="15.75">
      <c r="A19" s="9" t="s">
        <v>47</v>
      </c>
      <c r="B19" s="26">
        <f>IF(44937.57594="","-",44937.57594)</f>
        <v>44937.57594</v>
      </c>
      <c r="C19" s="26">
        <f>IF(54501.13986="","-",54501.13986)</f>
        <v>54501.13986</v>
      </c>
      <c r="D19" s="26">
        <f>IF(44937.57594="","-",54501.13986/44937.57594*100)</f>
        <v>121.28188652803419</v>
      </c>
    </row>
    <row r="20" spans="1:4" ht="15.75">
      <c r="A20" s="8" t="s">
        <v>48</v>
      </c>
      <c r="B20" s="27">
        <f>IF(OR(77724.22078="",77724.22078=0),"-",77724.22078)</f>
        <v>77724.22078</v>
      </c>
      <c r="C20" s="27">
        <f>IF(OR(85609.12562="",85609.12562=0),"-",85609.12562)</f>
        <v>85609.12562</v>
      </c>
      <c r="D20" s="27">
        <f>IF(OR(77724.22078="",85609.12562="",77724.22078=0,85609.12562=0),"-",85609.12562/77724.22078*100)</f>
        <v>110.1447203469796</v>
      </c>
    </row>
    <row r="21" spans="1:4" ht="15.75">
      <c r="A21" s="8" t="s">
        <v>49</v>
      </c>
      <c r="B21" s="27">
        <f>IF(OR(-32786.64484="",-32786.64484=0),"-",-32786.64484)</f>
        <v>-32786.64484</v>
      </c>
      <c r="C21" s="27">
        <f>IF(OR(-31107.98576="",-31107.98576=0),"-",-31107.98576)</f>
        <v>-31107.98576</v>
      </c>
      <c r="D21" s="27">
        <f>IF(OR(-32786.64484="",-31107.98576="",-32786.64484=0,-31107.98576=0),"-",-31107.98576/-32786.64484*100)</f>
        <v>94.88005226459762</v>
      </c>
    </row>
    <row r="22" spans="1:4" ht="15.75">
      <c r="A22" s="9" t="s">
        <v>50</v>
      </c>
      <c r="B22" s="26">
        <f>IF(66107.97857="","-",66107.97857)</f>
        <v>66107.97857</v>
      </c>
      <c r="C22" s="26">
        <f>IF(97412.89059="","-",97412.89059)</f>
        <v>97412.89059</v>
      </c>
      <c r="D22" s="26">
        <f>IF(66107.97857="","-",97412.89059/66107.97857*100)</f>
        <v>147.35421154475634</v>
      </c>
    </row>
    <row r="23" spans="1:4" ht="15.75">
      <c r="A23" s="8" t="s">
        <v>51</v>
      </c>
      <c r="B23" s="27">
        <f>IF(OR(2695.0135="",2695.0135=0),"-",2695.0135)</f>
        <v>2695.0135</v>
      </c>
      <c r="C23" s="27">
        <f>IF(OR(2895.19967="",2895.19967=0),"-",2895.19967)</f>
        <v>2895.19967</v>
      </c>
      <c r="D23" s="27">
        <f>IF(OR(2695.0135="",2895.19967="",2695.0135=0,2895.19967=0),"-",2895.19967/2695.0135*100)</f>
        <v>107.42802104701887</v>
      </c>
    </row>
    <row r="24" spans="1:4" ht="15.75">
      <c r="A24" s="8" t="s">
        <v>52</v>
      </c>
      <c r="B24" s="27">
        <f>IF(OR(96021.10892="",96021.10892=0),"-",96021.10892)</f>
        <v>96021.10892</v>
      </c>
      <c r="C24" s="27">
        <f>IF(OR(131149.16878="",131149.16878=0),"-",131149.16878)</f>
        <v>131149.16878</v>
      </c>
      <c r="D24" s="27">
        <f>IF(OR(96021.10892="",131149.16878="",96021.10892=0,131149.16878=0),"-",131149.16878/96021.10892*100)</f>
        <v>136.58368483253713</v>
      </c>
    </row>
    <row r="25" spans="1:4" ht="15.75">
      <c r="A25" s="8" t="s">
        <v>53</v>
      </c>
      <c r="B25" s="27">
        <f>IF(OR(-385.75542="",-385.75542=0),"-",-385.75542)</f>
        <v>-385.75542</v>
      </c>
      <c r="C25" s="27">
        <f>IF(OR(-498.40789="",-498.40789=0),"-",-498.40789)</f>
        <v>-498.40789</v>
      </c>
      <c r="D25" s="27">
        <f>IF(OR(-385.75542="",-498.40789="",-385.75542=0,-498.40789=0),"-",-498.40789/-385.75542*100)</f>
        <v>129.20308157951482</v>
      </c>
    </row>
    <row r="26" spans="1:4" ht="15.75">
      <c r="A26" s="8" t="s">
        <v>54</v>
      </c>
      <c r="B26" s="27">
        <f>IF(OR(-18330.16015="",-18330.16015=0),"-",-18330.16015)</f>
        <v>-18330.16015</v>
      </c>
      <c r="C26" s="27">
        <f>IF(OR(-23837.01095="",-23837.01095=0),"-",-23837.01095)</f>
        <v>-23837.01095</v>
      </c>
      <c r="D26" s="27">
        <f>IF(OR(-18330.16015="",-23837.01095="",-18330.16015=0,-23837.01095=0),"-",-23837.01095/-18330.16015*100)</f>
        <v>130.0425678495777</v>
      </c>
    </row>
    <row r="27" spans="1:4" ht="15.75">
      <c r="A27" s="8" t="s">
        <v>55</v>
      </c>
      <c r="B27" s="27">
        <f>IF(OR(1463.04288="",1463.04288=0),"-",1463.04288)</f>
        <v>1463.04288</v>
      </c>
      <c r="C27" s="27">
        <f>IF(OR(1763.94185="",1763.94185=0),"-",1763.94185)</f>
        <v>1763.94185</v>
      </c>
      <c r="D27" s="27">
        <f>IF(OR(1463.04288="",1763.94185="",1463.04288=0,1763.94185=0),"-",1763.94185/1463.04288*100)</f>
        <v>120.56665420496766</v>
      </c>
    </row>
    <row r="28" spans="1:4" ht="25.5">
      <c r="A28" s="8" t="s">
        <v>56</v>
      </c>
      <c r="B28" s="27">
        <f>IF(OR(-4812.48662="",-4812.48662=0),"-",-4812.48662)</f>
        <v>-4812.48662</v>
      </c>
      <c r="C28" s="27">
        <f>IF(OR(-5907.59204="",-5907.59204=0),"-",-5907.59204)</f>
        <v>-5907.59204</v>
      </c>
      <c r="D28" s="27">
        <f>IF(OR(-4812.48662="",-5907.59204="",-4812.48662=0,-5907.59204=0),"-",-5907.59204/-4812.48662*100)</f>
        <v>122.75550056490341</v>
      </c>
    </row>
    <row r="29" spans="1:4" ht="25.5">
      <c r="A29" s="8" t="s">
        <v>57</v>
      </c>
      <c r="B29" s="27">
        <f>IF(OR(-2474.17228="",-2474.17228=0),"-",-2474.17228)</f>
        <v>-2474.17228</v>
      </c>
      <c r="C29" s="27">
        <f>IF(OR(374.19169="",374.19169=0),"-",374.19169)</f>
        <v>374.19169</v>
      </c>
      <c r="D29" s="27" t="s">
        <v>33</v>
      </c>
    </row>
    <row r="30" spans="1:4" ht="15.75">
      <c r="A30" s="8" t="s">
        <v>58</v>
      </c>
      <c r="B30" s="27">
        <f>IF(OR(7694.80006="",7694.80006=0),"-",7694.80006)</f>
        <v>7694.80006</v>
      </c>
      <c r="C30" s="27">
        <f>IF(OR(10720.12507="",10720.12507=0),"-",10720.12507)</f>
        <v>10720.12507</v>
      </c>
      <c r="D30" s="27">
        <f>IF(OR(7694.80006="",10720.12507="",7694.80006=0,10720.12507=0),"-",10720.12507/7694.80006*100)</f>
        <v>139.31648628177612</v>
      </c>
    </row>
    <row r="31" spans="1:4" ht="15.75">
      <c r="A31" s="8" t="s">
        <v>59</v>
      </c>
      <c r="B31" s="27">
        <f>IF(OR(-15763.41232="",-15763.41232=0),"-",-15763.41232)</f>
        <v>-15763.41232</v>
      </c>
      <c r="C31" s="27">
        <f>IF(OR(-19246.72559="",-19246.72559=0),"-",-19246.72559)</f>
        <v>-19246.72559</v>
      </c>
      <c r="D31" s="27">
        <f>IF(OR(-15763.41232="",-19246.72559="",-15763.41232=0,-19246.72559=0),"-",-19246.72559/-15763.41232*100)</f>
        <v>122.09745706886387</v>
      </c>
    </row>
    <row r="32" spans="1:4" ht="15.75">
      <c r="A32" s="9" t="s">
        <v>60</v>
      </c>
      <c r="B32" s="26">
        <f>IF(-415057.60563="","-",-415057.60563)</f>
        <v>-415057.60563</v>
      </c>
      <c r="C32" s="26">
        <f>IF(-515942.03439="","-",-515942.03439)</f>
        <v>-515942.03439</v>
      </c>
      <c r="D32" s="26">
        <f>IF(-415057.60563="","-",-515942.03439/-415057.60563*100)</f>
        <v>124.30612700299068</v>
      </c>
    </row>
    <row r="33" spans="1:4" ht="15.75">
      <c r="A33" s="8" t="s">
        <v>61</v>
      </c>
      <c r="B33" s="27">
        <f>IF(OR(-6627.51781="",-6627.51781=0),"-",-6627.51781)</f>
        <v>-6627.51781</v>
      </c>
      <c r="C33" s="27">
        <f>IF(OR(-16690.05639="",-16690.05639=0),"-",-16690.05639)</f>
        <v>-16690.05639</v>
      </c>
      <c r="D33" s="27" t="s">
        <v>189</v>
      </c>
    </row>
    <row r="34" spans="1:4" ht="15.75">
      <c r="A34" s="8" t="s">
        <v>62</v>
      </c>
      <c r="B34" s="27">
        <f>IF(OR(-256863.38328="",-256863.38328=0),"-",-256863.38328)</f>
        <v>-256863.38328</v>
      </c>
      <c r="C34" s="27">
        <f>IF(OR(-320689.45573="",-320689.45573=0),"-",-320689.45573)</f>
        <v>-320689.45573</v>
      </c>
      <c r="D34" s="27">
        <f>IF(OR(-256863.38328="",-320689.45573="",-256863.38328=0,-320689.45573=0),"-",-320689.45573/-256863.38328*100)</f>
        <v>124.84825654594172</v>
      </c>
    </row>
    <row r="35" spans="1:4" ht="15.75">
      <c r="A35" s="8" t="s">
        <v>63</v>
      </c>
      <c r="B35" s="27">
        <f>IF(OR(-151319.09036="",-151319.09036=0),"-",-151319.09036)</f>
        <v>-151319.09036</v>
      </c>
      <c r="C35" s="27">
        <f>IF(OR(-129913.92541="",-129913.92541=0),"-",-129913.92541)</f>
        <v>-129913.92541</v>
      </c>
      <c r="D35" s="27">
        <f>IF(OR(-151319.09036="",-129913.92541="",-151319.09036=0,-129913.92541=0),"-",-129913.92541/-151319.09036*100)</f>
        <v>85.8542865285038</v>
      </c>
    </row>
    <row r="36" spans="1:4" ht="15.75">
      <c r="A36" s="8" t="s">
        <v>64</v>
      </c>
      <c r="B36" s="27">
        <f>IF(OR(-247.61418="",-247.61418=0),"-",-247.61418)</f>
        <v>-247.61418</v>
      </c>
      <c r="C36" s="27">
        <f>IF(OR(-48648.59686="",-48648.59686=0),"-",-48648.59686)</f>
        <v>-48648.59686</v>
      </c>
      <c r="D36" s="27" t="s">
        <v>275</v>
      </c>
    </row>
    <row r="37" spans="1:4" ht="15.75">
      <c r="A37" s="9" t="s">
        <v>65</v>
      </c>
      <c r="B37" s="26">
        <f>IF(18715.65256="","-",18715.65256)</f>
        <v>18715.65256</v>
      </c>
      <c r="C37" s="26">
        <f>IF(13910.12324="","-",13910.12324)</f>
        <v>13910.12324</v>
      </c>
      <c r="D37" s="26">
        <f>IF(18715.65256="","-",13910.12324/18715.65256*100)</f>
        <v>74.32347440414337</v>
      </c>
    </row>
    <row r="38" spans="1:4" ht="15.75">
      <c r="A38" s="8" t="s">
        <v>66</v>
      </c>
      <c r="B38" s="27">
        <f>IF(OR(-621.11205="",-621.11205=0),"-",-621.11205)</f>
        <v>-621.11205</v>
      </c>
      <c r="C38" s="27">
        <f>IF(OR(-901.37646="",-901.37646=0),"-",-901.37646)</f>
        <v>-901.37646</v>
      </c>
      <c r="D38" s="27">
        <f>IF(OR(-621.11205="",-901.37646="",-621.11205=0,-901.37646=0),"-",-901.37646/-621.11205*100)</f>
        <v>145.12300316826892</v>
      </c>
    </row>
    <row r="39" spans="1:4" ht="25.5">
      <c r="A39" s="8" t="s">
        <v>67</v>
      </c>
      <c r="B39" s="27">
        <f>IF(OR(20567.28316="",20567.28316=0),"-",20567.28316)</f>
        <v>20567.28316</v>
      </c>
      <c r="C39" s="27">
        <f>IF(OR(16357.06656="",16357.06656=0),"-",16357.06656)</f>
        <v>16357.06656</v>
      </c>
      <c r="D39" s="27">
        <f>IF(OR(20567.28316="",16357.06656="",20567.28316=0,16357.06656=0),"-",16357.06656/20567.28316*100)</f>
        <v>79.52954424146704</v>
      </c>
    </row>
    <row r="40" spans="1:4" ht="25.5">
      <c r="A40" s="8" t="s">
        <v>68</v>
      </c>
      <c r="B40" s="27">
        <f>IF(OR(-1230.51855="",-1230.51855=0),"-",-1230.51855)</f>
        <v>-1230.51855</v>
      </c>
      <c r="C40" s="27">
        <f>IF(OR(-1545.56686="",-1545.56686=0),"-",-1545.56686)</f>
        <v>-1545.56686</v>
      </c>
      <c r="D40" s="27">
        <f>IF(OR(-1230.51855="",-1545.56686="",-1230.51855=0,-1545.56686=0),"-",-1545.56686/-1230.51855*100)</f>
        <v>125.60288993611677</v>
      </c>
    </row>
    <row r="41" spans="1:4" ht="25.5">
      <c r="A41" s="9" t="s">
        <v>69</v>
      </c>
      <c r="B41" s="26">
        <f>IF(-384561.78539="","-",-384561.78539)</f>
        <v>-384561.78539</v>
      </c>
      <c r="C41" s="26">
        <f>IF(-441913.2158="","-",-441913.2158)</f>
        <v>-441913.2158</v>
      </c>
      <c r="D41" s="26">
        <f>IF(-384561.78539="","-",-441913.2158/-384561.78539*100)</f>
        <v>114.91345021498628</v>
      </c>
    </row>
    <row r="42" spans="1:4" ht="15.75">
      <c r="A42" s="8" t="s">
        <v>70</v>
      </c>
      <c r="B42" s="27">
        <f>IF(OR(-959.40603="",-959.40603=0),"-",-959.40603)</f>
        <v>-959.40603</v>
      </c>
      <c r="C42" s="27">
        <f>IF(OR(1760.06485="",1760.06485=0),"-",1760.06485)</f>
        <v>1760.06485</v>
      </c>
      <c r="D42" s="27" t="s">
        <v>33</v>
      </c>
    </row>
    <row r="43" spans="1:4" ht="15.75">
      <c r="A43" s="8" t="s">
        <v>71</v>
      </c>
      <c r="B43" s="27">
        <f>IF(OR(-9662.44792="",-9662.44792=0),"-",-9662.44792)</f>
        <v>-9662.44792</v>
      </c>
      <c r="C43" s="27">
        <f>IF(OR(-8720.02666="",-8720.02666=0),"-",-8720.02666)</f>
        <v>-8720.02666</v>
      </c>
      <c r="D43" s="27">
        <f>IF(OR(-9662.44792="",-8720.02666="",-9662.44792=0,-8720.02666=0),"-",-8720.02666/-9662.44792*100)</f>
        <v>90.24655793435831</v>
      </c>
    </row>
    <row r="44" spans="1:4" ht="15.75">
      <c r="A44" s="8" t="s">
        <v>72</v>
      </c>
      <c r="B44" s="27">
        <f>IF(OR(-21510.67272="",-21510.67272=0),"-",-21510.67272)</f>
        <v>-21510.67272</v>
      </c>
      <c r="C44" s="27">
        <f>IF(OR(-24034.60342="",-24034.60342=0),"-",-24034.60342)</f>
        <v>-24034.60342</v>
      </c>
      <c r="D44" s="27">
        <f>IF(OR(-21510.67272="",-24034.60342="",-21510.67272=0,-24034.60342=0),"-",-24034.60342/-21510.67272*100)</f>
        <v>111.7333880388284</v>
      </c>
    </row>
    <row r="45" spans="1:4" ht="15.75">
      <c r="A45" s="8" t="s">
        <v>73</v>
      </c>
      <c r="B45" s="27">
        <f>IF(OR(-91966.66463="",-91966.66463=0),"-",-91966.66463)</f>
        <v>-91966.66463</v>
      </c>
      <c r="C45" s="27">
        <f>IF(OR(-112981.9273="",-112981.9273=0),"-",-112981.9273)</f>
        <v>-112981.9273</v>
      </c>
      <c r="D45" s="27">
        <f>IF(OR(-91966.66463="",-112981.9273="",-91966.66463=0,-112981.9273=0),"-",-112981.9273/-91966.66463*100)</f>
        <v>122.85095665320532</v>
      </c>
    </row>
    <row r="46" spans="1:4" ht="25.5">
      <c r="A46" s="8" t="s">
        <v>74</v>
      </c>
      <c r="B46" s="27">
        <f>IF(OR(-52803.46791="",-52803.46791=0),"-",-52803.46791)</f>
        <v>-52803.46791</v>
      </c>
      <c r="C46" s="27">
        <f>IF(OR(-57883.55322="",-57883.55322=0),"-",-57883.55322)</f>
        <v>-57883.55322</v>
      </c>
      <c r="D46" s="27">
        <f>IF(OR(-52803.46791="",-57883.55322="",-52803.46791=0,-57883.55322=0),"-",-57883.55322/-52803.46791*100)</f>
        <v>109.62074180176702</v>
      </c>
    </row>
    <row r="47" spans="1:4" ht="15.75">
      <c r="A47" s="8" t="s">
        <v>75</v>
      </c>
      <c r="B47" s="27">
        <f>IF(OR(-40356.81083="",-40356.81083=0),"-",-40356.81083)</f>
        <v>-40356.81083</v>
      </c>
      <c r="C47" s="27">
        <f>IF(OR(-50749.57395="",-50749.57395=0),"-",-50749.57395)</f>
        <v>-50749.57395</v>
      </c>
      <c r="D47" s="27">
        <f>IF(OR(-40356.81083="",-50749.57395="",-40356.81083=0,-50749.57395=0),"-",-50749.57395/-40356.81083*100)</f>
        <v>125.75219128136443</v>
      </c>
    </row>
    <row r="48" spans="1:4" ht="15.75">
      <c r="A48" s="8" t="s">
        <v>76</v>
      </c>
      <c r="B48" s="27">
        <f>IF(OR(-31695.08332="",-31695.08332=0),"-",-31695.08332)</f>
        <v>-31695.08332</v>
      </c>
      <c r="C48" s="27">
        <f>IF(OR(-35555.84568="",-35555.84568=0),"-",-35555.84568)</f>
        <v>-35555.84568</v>
      </c>
      <c r="D48" s="27">
        <f>IF(OR(-31695.08332="",-35555.84568="",-31695.08332=0,-35555.84568=0),"-",-35555.84568/-31695.08332*100)</f>
        <v>112.18095034179578</v>
      </c>
    </row>
    <row r="49" spans="1:4" ht="15.75">
      <c r="A49" s="8" t="s">
        <v>77</v>
      </c>
      <c r="B49" s="27">
        <f>IF(OR(-61044.23051="",-61044.23051=0),"-",-61044.23051)</f>
        <v>-61044.23051</v>
      </c>
      <c r="C49" s="27">
        <f>IF(OR(-68654.2708="",-68654.2708=0),"-",-68654.2708)</f>
        <v>-68654.2708</v>
      </c>
      <c r="D49" s="27">
        <f>IF(OR(-61044.23051="",-68654.2708="",-61044.23051=0,-68654.2708=0),"-",-68654.2708/-61044.23051*100)</f>
        <v>112.46643659264957</v>
      </c>
    </row>
    <row r="50" spans="1:4" ht="15.75">
      <c r="A50" s="8" t="s">
        <v>78</v>
      </c>
      <c r="B50" s="27">
        <f>IF(OR(-74563.00152="",-74563.00152=0),"-",-74563.00152)</f>
        <v>-74563.00152</v>
      </c>
      <c r="C50" s="27">
        <f>IF(OR(-85093.47962="",-85093.47962=0),"-",-85093.47962)</f>
        <v>-85093.47962</v>
      </c>
      <c r="D50" s="27">
        <f>IF(OR(-74563.00152="",-85093.47962="",-74563.00152=0,-85093.47962=0),"-",-85093.47962/-74563.00152*100)</f>
        <v>114.12292676707148</v>
      </c>
    </row>
    <row r="51" spans="1:4" ht="25.5">
      <c r="A51" s="9" t="s">
        <v>79</v>
      </c>
      <c r="B51" s="26">
        <f>IF(-507433.69255="","-",-507433.69255)</f>
        <v>-507433.69255</v>
      </c>
      <c r="C51" s="26">
        <f>IF(-591198.6533="","-",-591198.6533)</f>
        <v>-591198.6533</v>
      </c>
      <c r="D51" s="26">
        <f>IF(-507433.69255="","-",-591198.6533/-507433.69255*100)</f>
        <v>116.5075677827101</v>
      </c>
    </row>
    <row r="52" spans="1:4" ht="15.75">
      <c r="A52" s="8" t="s">
        <v>80</v>
      </c>
      <c r="B52" s="27">
        <f>IF(OR(-27767.24728="",-27767.24728=0),"-",-27767.24728)</f>
        <v>-27767.24728</v>
      </c>
      <c r="C52" s="27">
        <f>IF(OR(-29702.09343="",-29702.09343=0),"-",-29702.09343)</f>
        <v>-29702.09343</v>
      </c>
      <c r="D52" s="27">
        <f>IF(OR(-27767.24728="",-29702.09343="",-27767.24728=0,-29702.09343=0),"-",-29702.09343/-27767.24728*100)</f>
        <v>106.9680877275639</v>
      </c>
    </row>
    <row r="53" spans="1:4" ht="15.75">
      <c r="A53" s="8" t="s">
        <v>81</v>
      </c>
      <c r="B53" s="27">
        <f>IF(OR(-34008.19759="",-34008.19759=0),"-",-34008.19759)</f>
        <v>-34008.19759</v>
      </c>
      <c r="C53" s="27">
        <f>IF(OR(-38686.81041="",-38686.81041=0),"-",-38686.81041)</f>
        <v>-38686.81041</v>
      </c>
      <c r="D53" s="27">
        <f>IF(OR(-34008.19759="",-38686.81041="",-34008.19759=0,-38686.81041=0),"-",-38686.81041/-34008.19759*100)</f>
        <v>113.757308977103</v>
      </c>
    </row>
    <row r="54" spans="1:4" ht="15.75">
      <c r="A54" s="8" t="s">
        <v>82</v>
      </c>
      <c r="B54" s="27">
        <f>IF(OR(-36291.50062="",-36291.50062=0),"-",-36291.50062)</f>
        <v>-36291.50062</v>
      </c>
      <c r="C54" s="27">
        <f>IF(OR(-42848.84776="",-42848.84776=0),"-",-42848.84776)</f>
        <v>-42848.84776</v>
      </c>
      <c r="D54" s="27">
        <f>IF(OR(-36291.50062="",-42848.84776="",-36291.50062=0,-42848.84776=0),"-",-42848.84776/-36291.50062*100)</f>
        <v>118.06854780864666</v>
      </c>
    </row>
    <row r="55" spans="1:4" ht="25.5">
      <c r="A55" s="8" t="s">
        <v>83</v>
      </c>
      <c r="B55" s="27">
        <f>IF(OR(-53620.46309="",-53620.46309=0),"-",-53620.46309)</f>
        <v>-53620.46309</v>
      </c>
      <c r="C55" s="27">
        <f>IF(OR(-57741.83733="",-57741.83733=0),"-",-57741.83733)</f>
        <v>-57741.83733</v>
      </c>
      <c r="D55" s="27">
        <f>IF(OR(-53620.46309="",-57741.83733="",-53620.46309=0,-57741.83733=0),"-",-57741.83733/-53620.46309*100)</f>
        <v>107.6861966542184</v>
      </c>
    </row>
    <row r="56" spans="1:4" ht="25.5">
      <c r="A56" s="8" t="s">
        <v>84</v>
      </c>
      <c r="B56" s="27">
        <f>IF(OR(-129663.12038="",-129663.12038=0),"-",-129663.12038)</f>
        <v>-129663.12038</v>
      </c>
      <c r="C56" s="27">
        <f>IF(OR(-141478.05723="",-141478.05723=0),"-",-141478.05723)</f>
        <v>-141478.05723</v>
      </c>
      <c r="D56" s="27">
        <f>IF(OR(-129663.12038="",-141478.05723="",-129663.12038=0,-141478.05723=0),"-",-141478.05723/-129663.12038*100)</f>
        <v>109.1120256981124</v>
      </c>
    </row>
    <row r="57" spans="1:4" ht="15.75">
      <c r="A57" s="8" t="s">
        <v>85</v>
      </c>
      <c r="B57" s="27">
        <f>IF(OR(-49900.03849="",-49900.03849=0),"-",-49900.03849)</f>
        <v>-49900.03849</v>
      </c>
      <c r="C57" s="27">
        <f>IF(OR(-63661.25878="",-63661.25878=0),"-",-63661.25878)</f>
        <v>-63661.25878</v>
      </c>
      <c r="D57" s="27">
        <f>IF(OR(-49900.03849="",-63661.25878="",-49900.03849=0,-63661.25878=0),"-",-63661.25878/-49900.03849*100)</f>
        <v>127.57757449978271</v>
      </c>
    </row>
    <row r="58" spans="1:4" ht="15.75">
      <c r="A58" s="8" t="s">
        <v>86</v>
      </c>
      <c r="B58" s="27">
        <f>IF(OR(-68786.138="",-68786.138=0),"-",-68786.138)</f>
        <v>-68786.138</v>
      </c>
      <c r="C58" s="27">
        <f>IF(OR(-80177.10596="",-80177.10596=0),"-",-80177.10596)</f>
        <v>-80177.10596</v>
      </c>
      <c r="D58" s="27">
        <f>IF(OR(-68786.138="",-80177.10596="",-68786.138=0,-80177.10596=0),"-",-80177.10596/-68786.138*100)</f>
        <v>116.55997602307605</v>
      </c>
    </row>
    <row r="59" spans="1:4" ht="15.75">
      <c r="A59" s="8" t="s">
        <v>87</v>
      </c>
      <c r="B59" s="27">
        <f>IF(OR(-38562.95881="",-38562.95881=0),"-",-38562.95881)</f>
        <v>-38562.95881</v>
      </c>
      <c r="C59" s="27">
        <f>IF(OR(-56830.66296="",-56830.66296=0),"-",-56830.66296)</f>
        <v>-56830.66296</v>
      </c>
      <c r="D59" s="27">
        <f>IF(OR(-38562.95881="",-56830.66296="",-38562.95881=0,-56830.66296=0),"-",-56830.66296/-38562.95881*100)</f>
        <v>147.37111651625366</v>
      </c>
    </row>
    <row r="60" spans="1:4" ht="15.75">
      <c r="A60" s="8" t="s">
        <v>88</v>
      </c>
      <c r="B60" s="27">
        <f>IF(OR(-68834.02829="",-68834.02829=0),"-",-68834.02829)</f>
        <v>-68834.02829</v>
      </c>
      <c r="C60" s="27">
        <f>IF(OR(-80071.97944="",-80071.97944=0),"-",-80071.97944)</f>
        <v>-80071.97944</v>
      </c>
      <c r="D60" s="27">
        <f>IF(OR(-68834.02829="",-80071.97944="",-68834.02829=0,-80071.97944=0),"-",-80071.97944/-68834.02829*100)</f>
        <v>116.32615645078062</v>
      </c>
    </row>
    <row r="61" spans="1:4" ht="15.75">
      <c r="A61" s="9" t="s">
        <v>89</v>
      </c>
      <c r="B61" s="26">
        <f>IF(-379746.7051="","-",-379746.7051)</f>
        <v>-379746.7051</v>
      </c>
      <c r="C61" s="26">
        <f>IF(-444489.17968="","-",-444489.17968)</f>
        <v>-444489.17968</v>
      </c>
      <c r="D61" s="26">
        <f>IF(-379746.7051="","-",-444489.17968/-379746.7051*100)</f>
        <v>117.048857491193</v>
      </c>
    </row>
    <row r="62" spans="1:4" ht="15.75">
      <c r="A62" s="8" t="s">
        <v>90</v>
      </c>
      <c r="B62" s="27">
        <f>IF(OR(-6833.56818="",-6833.56818=0),"-",-6833.56818)</f>
        <v>-6833.56818</v>
      </c>
      <c r="C62" s="27">
        <f>IF(OR(-9214.99846="",-9214.99846=0),"-",-9214.99846)</f>
        <v>-9214.99846</v>
      </c>
      <c r="D62" s="27">
        <f>IF(OR(-6833.56818="",-9214.99846="",-6833.56818=0,-9214.99846=0),"-",-9214.99846/-6833.56818*100)</f>
        <v>134.84900153582723</v>
      </c>
    </row>
    <row r="63" spans="1:4" ht="15.75">
      <c r="A63" s="8" t="s">
        <v>91</v>
      </c>
      <c r="B63" s="27">
        <f>IF(OR(-89105.35219="",-89105.35219=0),"-",-89105.35219)</f>
        <v>-89105.35219</v>
      </c>
      <c r="C63" s="27">
        <f>IF(OR(-110185.82373="",-110185.82373=0),"-",-110185.82373)</f>
        <v>-110185.82373</v>
      </c>
      <c r="D63" s="27">
        <f>IF(OR(-89105.35219="",-110185.82373="",-89105.35219=0,-110185.82373=0),"-",-110185.82373/-89105.35219*100)</f>
        <v>123.65791843238547</v>
      </c>
    </row>
    <row r="64" spans="1:4" ht="15.75">
      <c r="A64" s="8" t="s">
        <v>92</v>
      </c>
      <c r="B64" s="27">
        <f>IF(OR(-3698.85919="",-3698.85919=0),"-",-3698.85919)</f>
        <v>-3698.85919</v>
      </c>
      <c r="C64" s="27">
        <f>IF(OR(-6158.00992="",-6158.00992=0),"-",-6158.00992)</f>
        <v>-6158.00992</v>
      </c>
      <c r="D64" s="27" t="s">
        <v>214</v>
      </c>
    </row>
    <row r="65" spans="1:4" ht="25.5">
      <c r="A65" s="8" t="s">
        <v>93</v>
      </c>
      <c r="B65" s="27">
        <f>IF(OR(-63584.9104="",-63584.9104=0),"-",-63584.9104)</f>
        <v>-63584.9104</v>
      </c>
      <c r="C65" s="27">
        <f>IF(OR(-86572.64661="",-86572.64661=0),"-",-86572.64661)</f>
        <v>-86572.64661</v>
      </c>
      <c r="D65" s="27">
        <f>IF(OR(-63584.9104="",-86572.64661="",-63584.9104=0,-86572.64661=0),"-",-86572.64661/-63584.9104*100)</f>
        <v>136.15281686392058</v>
      </c>
    </row>
    <row r="66" spans="1:4" ht="25.5">
      <c r="A66" s="8" t="s">
        <v>94</v>
      </c>
      <c r="B66" s="27">
        <f>IF(OR(-21943.84468="",-21943.84468=0),"-",-21943.84468)</f>
        <v>-21943.84468</v>
      </c>
      <c r="C66" s="27">
        <f>IF(OR(-30801.463="",-30801.463=0),"-",-30801.463)</f>
        <v>-30801.463</v>
      </c>
      <c r="D66" s="27">
        <f>IF(OR(-21943.84468="",-30801.463="",-21943.84468=0,-30801.463=0),"-",-30801.463/-21943.84468*100)</f>
        <v>140.36493353451863</v>
      </c>
    </row>
    <row r="67" spans="1:4" ht="25.5">
      <c r="A67" s="8" t="s">
        <v>95</v>
      </c>
      <c r="B67" s="27">
        <f>IF(OR(-51977.05939="",-51977.05939=0),"-",-51977.05939)</f>
        <v>-51977.05939</v>
      </c>
      <c r="C67" s="27">
        <f>IF(OR(-72999.49491="",-72999.49491=0),"-",-72999.49491)</f>
        <v>-72999.49491</v>
      </c>
      <c r="D67" s="27">
        <f>IF(OR(-51977.05939="",-72999.49491="",-51977.05939=0,-72999.49491=0),"-",-72999.49491/-51977.05939*100)</f>
        <v>140.4456038235294</v>
      </c>
    </row>
    <row r="68" spans="1:4" ht="38.25">
      <c r="A68" s="8" t="s">
        <v>96</v>
      </c>
      <c r="B68" s="27">
        <f>IF(OR(-10283.1004="",-10283.1004=0),"-",-10283.1004)</f>
        <v>-10283.1004</v>
      </c>
      <c r="C68" s="27">
        <f>IF(OR(16041.82372="",16041.82372=0),"-",16041.82372)</f>
        <v>16041.82372</v>
      </c>
      <c r="D68" s="27" t="s">
        <v>33</v>
      </c>
    </row>
    <row r="69" spans="1:4" ht="15.75">
      <c r="A69" s="8" t="s">
        <v>97</v>
      </c>
      <c r="B69" s="27">
        <f>IF(OR(-131956.89736="",-131956.89736=0),"-",-131956.89736)</f>
        <v>-131956.89736</v>
      </c>
      <c r="C69" s="27">
        <f>IF(OR(-158011.29071="",-158011.29071=0),"-",-158011.29071)</f>
        <v>-158011.29071</v>
      </c>
      <c r="D69" s="27">
        <f>IF(OR(-131956.89736="",-158011.29071="",-131956.89736=0,-158011.29071=0),"-",-158011.29071/-131956.89736*100)</f>
        <v>119.74462409412321</v>
      </c>
    </row>
    <row r="70" spans="1:4" ht="15.75">
      <c r="A70" s="8" t="s">
        <v>98</v>
      </c>
      <c r="B70" s="27">
        <f>IF(OR(-363.11331="",-363.11331=0),"-",-363.11331)</f>
        <v>-363.11331</v>
      </c>
      <c r="C70" s="27">
        <f>IF(OR(13412.72394="",13412.72394=0),"-",13412.72394)</f>
        <v>13412.72394</v>
      </c>
      <c r="D70" s="27" t="s">
        <v>33</v>
      </c>
    </row>
    <row r="71" spans="1:4" ht="15.75">
      <c r="A71" s="9" t="s">
        <v>99</v>
      </c>
      <c r="B71" s="26">
        <f>IF(71521.93203="","-",71521.93203)</f>
        <v>71521.93203</v>
      </c>
      <c r="C71" s="26">
        <f>IF(22895.0754="","-",22895.0754)</f>
        <v>22895.0754</v>
      </c>
      <c r="D71" s="26">
        <f>IF(71521.93203="","-",22895.0754/71521.93203*100)</f>
        <v>32.011265286285365</v>
      </c>
    </row>
    <row r="72" spans="1:4" ht="25.5">
      <c r="A72" s="8" t="s">
        <v>100</v>
      </c>
      <c r="B72" s="27">
        <f>IF(OR(-18930.40289="",-18930.40289=0),"-",-18930.40289)</f>
        <v>-18930.40289</v>
      </c>
      <c r="C72" s="27">
        <f>IF(OR(-20426.21395="",-20426.21395=0),"-",-20426.21395)</f>
        <v>-20426.21395</v>
      </c>
      <c r="D72" s="27">
        <f>IF(OR(-18930.40289="",-20426.21395="",-18930.40289=0,-20426.21395=0),"-",-20426.21395/-18930.40289*100)</f>
        <v>107.90163351879936</v>
      </c>
    </row>
    <row r="73" spans="1:4" ht="15.75">
      <c r="A73" s="8" t="s">
        <v>101</v>
      </c>
      <c r="B73" s="27">
        <f>IF(OR(60963.49772="",60963.49772=0),"-",60963.49772)</f>
        <v>60963.49772</v>
      </c>
      <c r="C73" s="27">
        <f>IF(OR(63327.21739="",63327.21739=0),"-",63327.21739)</f>
        <v>63327.21739</v>
      </c>
      <c r="D73" s="27">
        <f>IF(OR(60963.49772="",63327.21739="",60963.49772=0,63327.21739=0),"-",63327.21739/60963.49772*100)</f>
        <v>103.87727042968622</v>
      </c>
    </row>
    <row r="74" spans="1:4" ht="15.75">
      <c r="A74" s="8" t="s">
        <v>102</v>
      </c>
      <c r="B74" s="27">
        <f>IF(OR(7183.77213="",7183.77213=0),"-",7183.77213)</f>
        <v>7183.77213</v>
      </c>
      <c r="C74" s="27">
        <f>IF(OR(-2273.95114="",-2273.95114=0),"-",-2273.95114)</f>
        <v>-2273.95114</v>
      </c>
      <c r="D74" s="27" t="s">
        <v>33</v>
      </c>
    </row>
    <row r="75" spans="1:4" ht="15.75">
      <c r="A75" s="8" t="s">
        <v>103</v>
      </c>
      <c r="B75" s="27">
        <f>IF(OR(113637.54407="",113637.54407=0),"-",113637.54407)</f>
        <v>113637.54407</v>
      </c>
      <c r="C75" s="27">
        <f>IF(OR(107077.75892="",107077.75892=0),"-",107077.75892)</f>
        <v>107077.75892</v>
      </c>
      <c r="D75" s="27">
        <f>IF(OR(113637.54407="",107077.75892="",113637.54407=0,107077.75892=0),"-",107077.75892/113637.54407*100)</f>
        <v>94.2274490321973</v>
      </c>
    </row>
    <row r="76" spans="1:4" ht="15.75">
      <c r="A76" s="8" t="s">
        <v>104</v>
      </c>
      <c r="B76" s="27">
        <f>IF(OR(4077.57127="",4077.57127=0),"-",4077.57127)</f>
        <v>4077.57127</v>
      </c>
      <c r="C76" s="27">
        <f>IF(OR(-5973.0644="",-5973.0644=0),"-",-5973.0644)</f>
        <v>-5973.0644</v>
      </c>
      <c r="D76" s="27" t="s">
        <v>33</v>
      </c>
    </row>
    <row r="77" spans="1:4" ht="15.75">
      <c r="A77" s="8" t="s">
        <v>105</v>
      </c>
      <c r="B77" s="27">
        <f>IF(OR(-9841.68704="",-9841.68704=0),"-",-9841.68704)</f>
        <v>-9841.68704</v>
      </c>
      <c r="C77" s="27">
        <f>IF(OR(-17029.67222="",-17029.67222=0),"-",-17029.67222)</f>
        <v>-17029.67222</v>
      </c>
      <c r="D77" s="27" t="s">
        <v>214</v>
      </c>
    </row>
    <row r="78" spans="1:4" ht="25.5">
      <c r="A78" s="8" t="s">
        <v>106</v>
      </c>
      <c r="B78" s="27">
        <f>IF(OR(-4008.61512="",-4008.61512=0),"-",-4008.61512)</f>
        <v>-4008.61512</v>
      </c>
      <c r="C78" s="27">
        <f>IF(OR(-5305.20627="",-5305.20627=0),"-",-5305.20627)</f>
        <v>-5305.20627</v>
      </c>
      <c r="D78" s="27">
        <f>IF(OR(-4008.61512="",-5305.20627="",-4008.61512=0,-5305.20627=0),"-",-5305.20627/-4008.61512*100)</f>
        <v>132.34511448931522</v>
      </c>
    </row>
    <row r="79" spans="1:4" ht="15.75">
      <c r="A79" s="11" t="s">
        <v>107</v>
      </c>
      <c r="B79" s="27">
        <f>IF(OR(-81559.74811="",-81559.74811=0),"-",-81559.74811)</f>
        <v>-81559.74811</v>
      </c>
      <c r="C79" s="27">
        <f>IF(OR(-96501.79293="",-96501.79293=0),"-",-96501.79293)</f>
        <v>-96501.79293</v>
      </c>
      <c r="D79" s="27">
        <f>IF(OR(-81559.74811="",-96501.79293="",-81559.74811=0,-96501.79293=0),"-",-96501.79293/-81559.74811*100)</f>
        <v>118.32036656102419</v>
      </c>
    </row>
    <row r="80" spans="1:4" ht="15.75">
      <c r="A80" s="82" t="s">
        <v>27</v>
      </c>
      <c r="B80" s="82"/>
      <c r="C80" s="82"/>
      <c r="D80" s="82"/>
    </row>
    <row r="81" spans="2:4" ht="15.75">
      <c r="B81" s="21"/>
      <c r="C81" s="21"/>
      <c r="D81" s="22"/>
    </row>
    <row r="82" spans="2:4" ht="15.75">
      <c r="B82" s="21"/>
      <c r="C82" s="21"/>
      <c r="D82" s="22"/>
    </row>
    <row r="83" spans="2:4" ht="15.75">
      <c r="B83" s="21"/>
      <c r="C83" s="21"/>
      <c r="D83" s="22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2017-11-06T11:24:03Z</cp:lastPrinted>
  <dcterms:created xsi:type="dcterms:W3CDTF">2016-09-01T07:59:47Z</dcterms:created>
  <dcterms:modified xsi:type="dcterms:W3CDTF">2017-11-06T12:50:17Z</dcterms:modified>
  <cp:category/>
  <cp:version/>
  <cp:contentType/>
  <cp:contentStatus/>
</cp:coreProperties>
</file>