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85" activeTab="0"/>
  </bookViews>
  <sheets>
    <sheet name="Cuprins" sheetId="1" r:id="rId1"/>
    <sheet name="Export_Tari" sheetId="2" r:id="rId2"/>
    <sheet name="Import_Tari" sheetId="3" r:id="rId3"/>
    <sheet name="Balanta Comerciala_Tari" sheetId="4" r:id="rId4"/>
    <sheet name="Export_Moduri_Transport" sheetId="5" r:id="rId5"/>
    <sheet name="Import_Moduri_Transport" sheetId="6" r:id="rId6"/>
    <sheet name="Export_Grupe_Marfuri_CSCI" sheetId="7" r:id="rId7"/>
    <sheet name="Import_Grupe_Marfuri_CSCI" sheetId="8" r:id="rId8"/>
    <sheet name="Balanta_Comerciala_Gr_Marf_CSCI" sheetId="9" r:id="rId9"/>
  </sheets>
  <definedNames>
    <definedName name="_xlnm.Print_Titles" localSheetId="3">'Balanta Comerciala_Tari'!$3:$4</definedName>
    <definedName name="_xlnm.Print_Titles" localSheetId="8">'Balanta_Comerciala_Gr_Marf_CSCI'!$4:$5</definedName>
    <definedName name="_xlnm.Print_Titles" localSheetId="6">'Export_Grupe_Marfuri_CSCI'!$4:$6</definedName>
    <definedName name="_xlnm.Print_Titles" localSheetId="1">'Export_Tari'!$3:$5</definedName>
    <definedName name="_xlnm.Print_Titles" localSheetId="7">'Import_Grupe_Marfuri_CSCI'!$4:$6</definedName>
    <definedName name="_xlnm.Print_Titles" localSheetId="2">'Import_Tari'!$3:$5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<sst xmlns="http://schemas.openxmlformats.org/spreadsheetml/2006/main" count="844" uniqueCount="318">
  <si>
    <t>Structura, %</t>
  </si>
  <si>
    <t>Gradul de influenţă a ţărilor, grupelor de ţări  la creşterea (+),  scăderea (-) exporturilor, %</t>
  </si>
  <si>
    <t xml:space="preserve">      din care:</t>
  </si>
  <si>
    <t>Ţările Uniunii Europene (UE-28)</t>
  </si>
  <si>
    <t>Italia</t>
  </si>
  <si>
    <t>Germania</t>
  </si>
  <si>
    <t>Polonia</t>
  </si>
  <si>
    <t>Bulgaria</t>
  </si>
  <si>
    <t>Austria</t>
  </si>
  <si>
    <t>Grecia</t>
  </si>
  <si>
    <t>Olanda</t>
  </si>
  <si>
    <t>Ţările CSI</t>
  </si>
  <si>
    <t>Belarus</t>
  </si>
  <si>
    <t>Ucraina</t>
  </si>
  <si>
    <t>Kazahstan</t>
  </si>
  <si>
    <t>Azerbaidjan</t>
  </si>
  <si>
    <t>Uzbekistan</t>
  </si>
  <si>
    <t>Turkmenistan</t>
  </si>
  <si>
    <t>Armenia</t>
  </si>
  <si>
    <t>Tadjikistan</t>
  </si>
  <si>
    <t>Celelalte ţări ale lumii</t>
  </si>
  <si>
    <t>Statele Unite ale Americii</t>
  </si>
  <si>
    <t>de 2,0 ori</t>
  </si>
  <si>
    <t>¹ În preţuri curente</t>
  </si>
  <si>
    <t xml:space="preserve">IMPORT – total      </t>
  </si>
  <si>
    <t xml:space="preserve">EXPORT – total      </t>
  </si>
  <si>
    <t xml:space="preserve">  din care:</t>
  </si>
  <si>
    <t>x</t>
  </si>
  <si>
    <t>conform Clasificării Standard de Comerţ Internaţional</t>
  </si>
  <si>
    <t>Produse alimentare şi animale vii</t>
  </si>
  <si>
    <t>Animale vii</t>
  </si>
  <si>
    <t>Carne şi preparate din carne</t>
  </si>
  <si>
    <t>Produse lactate şi ouă de păsări</t>
  </si>
  <si>
    <t>Peşte, crustacee, moluşte</t>
  </si>
  <si>
    <t>Cereale şi preparate pe bază de cereale</t>
  </si>
  <si>
    <t>Legume şi fructe</t>
  </si>
  <si>
    <t>Zahăr, preparate pe bază de zahăr; miere</t>
  </si>
  <si>
    <t>Cafea, ceai, cacao, condimente şi înlocuitori ai acestora</t>
  </si>
  <si>
    <t>Hrană destinată animalelor (exclusiv cereale nemăcinate)</t>
  </si>
  <si>
    <t>Produse şi preparate alimentare diverse</t>
  </si>
  <si>
    <t>Băuturi şi tutun</t>
  </si>
  <si>
    <t>Băuturi (alcoolice şi nealcoolice)</t>
  </si>
  <si>
    <t>Tutun brut şi prelucrat</t>
  </si>
  <si>
    <t>Materiale brute necomestibile, exclusiv combustibili</t>
  </si>
  <si>
    <t>Piei crude, piei tăbăcite şi blănuri brute</t>
  </si>
  <si>
    <t>Seminţe şi fructe oleaginoase</t>
  </si>
  <si>
    <t>Cauciuc brut (inclusiv cauciuc sintetic şi regenerat)</t>
  </si>
  <si>
    <t>Lemn şi plută</t>
  </si>
  <si>
    <t>Pastă de hîrtie şi deşeuri de hîrtie</t>
  </si>
  <si>
    <t>Fibre textile (cu excepţia lînii în fuior şi a lînii pieptănate) şi deşeurile lor (neprelucrate în fire sau ţesături)</t>
  </si>
  <si>
    <t>Îngrăşăminte naturale şi minerale naturale (exclusiv cărbune, petrol şi pietre preţioase)</t>
  </si>
  <si>
    <t>Minereuri metalifere şi deşeuri de metale</t>
  </si>
  <si>
    <t>Alte materii brute de origine animală sau vegetală</t>
  </si>
  <si>
    <t>Combustibili minerali, lubrifianţi şi materiale derivate</t>
  </si>
  <si>
    <t>Cărbune, cocs şi brichete</t>
  </si>
  <si>
    <t>Petrol, produse petroliere şi produse înrudite</t>
  </si>
  <si>
    <t>Gaz şi produse industriale obţinute din gaz</t>
  </si>
  <si>
    <t>Energie electrică</t>
  </si>
  <si>
    <t>Uleiuri, grăsimi şi ceruri de origine animală sau vegetală</t>
  </si>
  <si>
    <t>Uleiuri şi grăsimi de origine animală</t>
  </si>
  <si>
    <t>Grăsimi şi uleiuri vegetale fixate, brute, rafinate sau fracţionate</t>
  </si>
  <si>
    <t>Alte uleiuri şi grăsimi animale sau vegetale prelucrate; ceară de origine animală sau vegetală</t>
  </si>
  <si>
    <t>Produse chimice şi produse derivate nespecificate în altă parte</t>
  </si>
  <si>
    <t>Produse chimice organice</t>
  </si>
  <si>
    <t>Produse chimice anorganice</t>
  </si>
  <si>
    <t>Produse tanante şi colorante</t>
  </si>
  <si>
    <t>Produse medicinale şi farmaceutice</t>
  </si>
  <si>
    <t>Uleiuri esenţiale, rezinoide şi substanţe parfumate, preparate pentru toaletă, produse pentru înfrumuseţare</t>
  </si>
  <si>
    <t>Îngrăşăminte minerale sau chimice</t>
  </si>
  <si>
    <t>Materiale plastice sub forme primare</t>
  </si>
  <si>
    <t>Materiale plastice prelucrate</t>
  </si>
  <si>
    <t>Alte materiale şi produse chimice</t>
  </si>
  <si>
    <t>Mărfuri manufacturate, clasificate mai ales după materia primă</t>
  </si>
  <si>
    <t>Piele, altă piele şi blană prelucrate</t>
  </si>
  <si>
    <t>Cauciuc prelucrat</t>
  </si>
  <si>
    <t>Articole din lemn (exclusiv mobilă)</t>
  </si>
  <si>
    <t>Hîrtie, carton şi articole din pastă de celuloză, din hîrtie sau din carton</t>
  </si>
  <si>
    <t>Fire, ţesături, articole textile necuprinse în altă parte şi produse conexe</t>
  </si>
  <si>
    <t>Articole din minerale nemetalice</t>
  </si>
  <si>
    <t>Fier şi oţel</t>
  </si>
  <si>
    <t>Metale neferoase</t>
  </si>
  <si>
    <t>Articole prelucrate din metal</t>
  </si>
  <si>
    <t>Maşini şi echipamente pentru transport</t>
  </si>
  <si>
    <t>Maşini  generatoare de putere şi echipamentele lor</t>
  </si>
  <si>
    <t>Maşini şi aparate specializate pentru industriile specifice</t>
  </si>
  <si>
    <t>Maşini şi aparate pentru prelucrarea metalelor</t>
  </si>
  <si>
    <t>Maşini şi aparate industriale cu aplicaţii generale; părţi şi piese detaşate ale acestor maşini</t>
  </si>
  <si>
    <t>Maşini şi aparate de birou sau pentru prelucrarea automată a datelor</t>
  </si>
  <si>
    <t>Aparate şi echipamente de telecomunicaţii şi pentru înregistrarea şi reproducerea sunetului şi imaginii</t>
  </si>
  <si>
    <t>Maşini şi aparate electrice şi părţi ale acestora (inclusiv echivalente neelectrice ale maşinilor şi aparatelor de uz casnic)</t>
  </si>
  <si>
    <t>Vehicule rutiere (inclusiv vehicule cu pernă de aer)</t>
  </si>
  <si>
    <t>Alte echipamente de transport</t>
  </si>
  <si>
    <t>Articole manufacturate diverse</t>
  </si>
  <si>
    <t>Construcţii prefabricate; alte instalaţii şi accesorii pentru instalaţii sanitare, de încălzire şi de iluminat</t>
  </si>
  <si>
    <t>Mobilă şi părţile ei</t>
  </si>
  <si>
    <t>Articole de voiaj; sacoşe şi similare</t>
  </si>
  <si>
    <t>Îmbrăcăminte şi accesorii</t>
  </si>
  <si>
    <t>Încălţăminte</t>
  </si>
  <si>
    <t>Instrumente şi aparate, profesionale, ştiinţifice şi de control</t>
  </si>
  <si>
    <t>Aparate fotografice, echipamente şi furnituri de optică; ceasuri şi orologii</t>
  </si>
  <si>
    <t>Alte articole diverse</t>
  </si>
  <si>
    <t xml:space="preserve">       din care:</t>
  </si>
  <si>
    <t>Instrumente şi aparate profesionale, ştiinţifice şi de control</t>
  </si>
  <si>
    <t xml:space="preserve">    din care:</t>
  </si>
  <si>
    <t>Coreea de Sud</t>
  </si>
  <si>
    <t>Hong Kong, RAS a Chinei</t>
  </si>
  <si>
    <t>Africa de Sud</t>
  </si>
  <si>
    <t>de 2,4 ori</t>
  </si>
  <si>
    <t>Spania</t>
  </si>
  <si>
    <t>Belgia</t>
  </si>
  <si>
    <t>Ungaria</t>
  </si>
  <si>
    <t>Lituania</t>
  </si>
  <si>
    <t>Slovacia</t>
  </si>
  <si>
    <t>Letonia</t>
  </si>
  <si>
    <t>Estonia</t>
  </si>
  <si>
    <t>Cipru</t>
  </si>
  <si>
    <t>Danemarca</t>
  </si>
  <si>
    <t>Finlanda</t>
  </si>
  <si>
    <t>Suedia</t>
  </si>
  <si>
    <t>Portugalia</t>
  </si>
  <si>
    <t>Slovenia</t>
  </si>
  <si>
    <t>Irlanda</t>
  </si>
  <si>
    <t>Luxemburg</t>
  </si>
  <si>
    <t>Malta</t>
  </si>
  <si>
    <t>Turcia</t>
  </si>
  <si>
    <t>Irak</t>
  </si>
  <si>
    <t>Georgia</t>
  </si>
  <si>
    <t>China</t>
  </si>
  <si>
    <t>Liban</t>
  </si>
  <si>
    <t>Malaysia</t>
  </si>
  <si>
    <t>Israel</t>
  </si>
  <si>
    <t>Egipt</t>
  </si>
  <si>
    <t>Myanmar</t>
  </si>
  <si>
    <t>Macedonia</t>
  </si>
  <si>
    <t>Indonezia</t>
  </si>
  <si>
    <t>Serbia</t>
  </si>
  <si>
    <t>Iordania</t>
  </si>
  <si>
    <t>Canada</t>
  </si>
  <si>
    <t>India</t>
  </si>
  <si>
    <t>Taiwan,  provincie a Chinei</t>
  </si>
  <si>
    <t>Bangladesh</t>
  </si>
  <si>
    <t>Vietnam</t>
  </si>
  <si>
    <t>Iran</t>
  </si>
  <si>
    <t>Pakistan</t>
  </si>
  <si>
    <t>Emiratele Arabe Unite</t>
  </si>
  <si>
    <t>Japonia</t>
  </si>
  <si>
    <t>Nigeria</t>
  </si>
  <si>
    <t>Norvegia</t>
  </si>
  <si>
    <t>Cote D'Ivoire</t>
  </si>
  <si>
    <t>Cambodjia</t>
  </si>
  <si>
    <t>Ecuador</t>
  </si>
  <si>
    <t>Islanda</t>
  </si>
  <si>
    <t>Argentina</t>
  </si>
  <si>
    <t>Thailanda</t>
  </si>
  <si>
    <t>Brazilia</t>
  </si>
  <si>
    <t>Mexic</t>
  </si>
  <si>
    <t>Maroc</t>
  </si>
  <si>
    <t>Singapore</t>
  </si>
  <si>
    <t>Filipine</t>
  </si>
  <si>
    <t>Chile</t>
  </si>
  <si>
    <t>Costa Rica</t>
  </si>
  <si>
    <t>Sri Lanka</t>
  </si>
  <si>
    <t>Uruguay</t>
  </si>
  <si>
    <t>Tunisia</t>
  </si>
  <si>
    <t>Columbia</t>
  </si>
  <si>
    <t>Australia</t>
  </si>
  <si>
    <t>de 2,1 ori</t>
  </si>
  <si>
    <t>2017¹</t>
  </si>
  <si>
    <t>Mongolia</t>
  </si>
  <si>
    <t>de 2,5 ori</t>
  </si>
  <si>
    <t>Peru</t>
  </si>
  <si>
    <t>Kenya</t>
  </si>
  <si>
    <t>de 2,2 ori</t>
  </si>
  <si>
    <t>mii dolari        SUA</t>
  </si>
  <si>
    <t>EXPORT - total</t>
  </si>
  <si>
    <t xml:space="preserve">IMPORT - total </t>
  </si>
  <si>
    <t>de 2,6 ori</t>
  </si>
  <si>
    <t>BALANŢA COMERCIALĂ – total, mii dolari SUA</t>
  </si>
  <si>
    <t>Oman</t>
  </si>
  <si>
    <t>Ghana</t>
  </si>
  <si>
    <t>de 3,1 ori</t>
  </si>
  <si>
    <t>Albania</t>
  </si>
  <si>
    <t>de 1,8 ori</t>
  </si>
  <si>
    <t>de 1,7 ori</t>
  </si>
  <si>
    <t>de 1,9 ori</t>
  </si>
  <si>
    <t>Gradul de influenţă a grupelor de mărfuri  la creşterea (+),  scăderea (-) exporturilor, %</t>
  </si>
  <si>
    <t>Panama</t>
  </si>
  <si>
    <t>ins.Virgine Britanice</t>
  </si>
  <si>
    <t>Qatar</t>
  </si>
  <si>
    <t xml:space="preserve">. </t>
  </si>
  <si>
    <t>Gibraltar</t>
  </si>
  <si>
    <t>Ponderea, %</t>
  </si>
  <si>
    <t>Swaziland</t>
  </si>
  <si>
    <t>de 2,9 ori</t>
  </si>
  <si>
    <t>de 2,3 ori</t>
  </si>
  <si>
    <t>Andorra</t>
  </si>
  <si>
    <t>de 3,7 ori</t>
  </si>
  <si>
    <t>2018¹</t>
  </si>
  <si>
    <t>mii dolari         SUA</t>
  </si>
  <si>
    <t>Belize</t>
  </si>
  <si>
    <t>Angola</t>
  </si>
  <si>
    <t>Nepal</t>
  </si>
  <si>
    <t>de 5,5 ori</t>
  </si>
  <si>
    <t>de 4,3 ori</t>
  </si>
  <si>
    <t>de 4,8 ori</t>
  </si>
  <si>
    <t>Transport maritim</t>
  </si>
  <si>
    <t>Transport feroviar</t>
  </si>
  <si>
    <t>Transport rutier</t>
  </si>
  <si>
    <t>Transport aerian</t>
  </si>
  <si>
    <t>Expedieri poștale</t>
  </si>
  <si>
    <t>Instalații fixe de transport</t>
  </si>
  <si>
    <t>Autopropulsie</t>
  </si>
  <si>
    <t xml:space="preserve"> </t>
  </si>
  <si>
    <t>Gradul de influenţă a grupelor de mărfuri  la creşterea (+),  scăderea (-) importurilor, %</t>
  </si>
  <si>
    <t>Gradul de influenţă a ţărilor, grupelor de ţări  la creşterea (+),  scăderea (-) importurilor, %</t>
  </si>
  <si>
    <t>Etiopia</t>
  </si>
  <si>
    <t>Senegal</t>
  </si>
  <si>
    <t>Mali</t>
  </si>
  <si>
    <t>Rep.Yemen</t>
  </si>
  <si>
    <t>Siria</t>
  </si>
  <si>
    <t>Kosovo</t>
  </si>
  <si>
    <t>Somalia</t>
  </si>
  <si>
    <t>de 3,4 ori</t>
  </si>
  <si>
    <t>ins.Faroe</t>
  </si>
  <si>
    <t>San Marino</t>
  </si>
  <si>
    <t>Madagascar</t>
  </si>
  <si>
    <t>de 3,3 ori</t>
  </si>
  <si>
    <t>de 2,7 ori</t>
  </si>
  <si>
    <t>mii dolari SUA</t>
  </si>
  <si>
    <t>Benin</t>
  </si>
  <si>
    <t>Burkina Faso</t>
  </si>
  <si>
    <t>de 36,3 ori</t>
  </si>
  <si>
    <t>de 6,0 ori</t>
  </si>
  <si>
    <t>de 4,7 ori</t>
  </si>
  <si>
    <t>de 4,1 ori</t>
  </si>
  <si>
    <t>-</t>
  </si>
  <si>
    <t>de 4,0 ori</t>
  </si>
  <si>
    <t>Pește, crustacee, moluște</t>
  </si>
  <si>
    <t>Cauciuc brut (inclusiv cauciuc sintetic și regenerat)</t>
  </si>
  <si>
    <t>Cărbune, cocs și brichete</t>
  </si>
  <si>
    <t>Gaz și produse industriale obținute din gaz</t>
  </si>
  <si>
    <t>Uleiuri și grăsimi de origine animală</t>
  </si>
  <si>
    <t>Alte uleiuri și grăsimi animale sau vegetale prelucrate; ceară de origine animală sau vegetală, amestecuri sau preparate necomestibile din uleiuri animale sau vegetale</t>
  </si>
  <si>
    <t>Îngrășăminte minerale sau chimice</t>
  </si>
  <si>
    <r>
      <rPr>
        <b/>
        <sz val="12"/>
        <rFont val="Times New Roman"/>
        <family val="1"/>
      </rPr>
      <t xml:space="preserve">Anexa 1.  </t>
    </r>
    <r>
      <rPr>
        <b/>
        <i/>
        <sz val="12"/>
        <rFont val="Times New Roman"/>
        <family val="1"/>
      </rPr>
      <t>Exporturile structurate pe principalele ţări de destinaţie a mărfurilor şi grupe de ţări</t>
    </r>
  </si>
  <si>
    <r>
      <rPr>
        <b/>
        <sz val="12"/>
        <color indexed="8"/>
        <rFont val="Times New Roman"/>
        <family val="1"/>
      </rPr>
      <t xml:space="preserve">Anexa 2.  </t>
    </r>
    <r>
      <rPr>
        <b/>
        <i/>
        <sz val="12"/>
        <color indexed="8"/>
        <rFont val="Times New Roman"/>
        <family val="1"/>
      </rPr>
      <t>Importurile structurate pe principalele ţări de origine a mărfurilor şi grupe de ţări</t>
    </r>
  </si>
  <si>
    <r>
      <rPr>
        <b/>
        <sz val="12"/>
        <color indexed="8"/>
        <rFont val="Times New Roman"/>
        <family val="1"/>
      </rPr>
      <t xml:space="preserve">Anexa 3.  </t>
    </r>
    <r>
      <rPr>
        <b/>
        <i/>
        <sz val="12"/>
        <color indexed="8"/>
        <rFont val="Times New Roman"/>
        <family val="1"/>
      </rPr>
      <t>Balanţa comercială structurată pe principalele ţări şi grupe de ţări</t>
    </r>
  </si>
  <si>
    <r>
      <rPr>
        <b/>
        <sz val="12"/>
        <rFont val="Times New Roman"/>
        <family val="1"/>
      </rPr>
      <t xml:space="preserve">Anexa 4.  </t>
    </r>
    <r>
      <rPr>
        <b/>
        <i/>
        <sz val="12"/>
        <rFont val="Times New Roman"/>
        <family val="1"/>
      </rPr>
      <t xml:space="preserve">Exporturile structurate pe moduri de transport a mărfurilor și grupe de ţări </t>
    </r>
  </si>
  <si>
    <r>
      <rPr>
        <b/>
        <sz val="12"/>
        <rFont val="Times New Roman"/>
        <family val="1"/>
      </rPr>
      <t>Anexa 5.</t>
    </r>
    <r>
      <rPr>
        <b/>
        <i/>
        <sz val="12"/>
        <rFont val="Times New Roman"/>
        <family val="1"/>
      </rPr>
      <t xml:space="preserve">  Importurile structurate pe moduri de transport a mărfurilor și grupe de ţări</t>
    </r>
  </si>
  <si>
    <r>
      <rPr>
        <b/>
        <sz val="12"/>
        <color indexed="8"/>
        <rFont val="Times New Roman"/>
        <family val="1"/>
      </rPr>
      <t>Anexa 6.</t>
    </r>
    <r>
      <rPr>
        <b/>
        <i/>
        <sz val="12"/>
        <color indexed="8"/>
        <rFont val="Times New Roman"/>
        <family val="1"/>
      </rPr>
      <t xml:space="preserve">  Exporturile structurate pe grupe de mărfuri, </t>
    </r>
  </si>
  <si>
    <r>
      <rPr>
        <b/>
        <sz val="12"/>
        <color indexed="8"/>
        <rFont val="Times New Roman"/>
        <family val="1"/>
      </rPr>
      <t>Anexa 7.</t>
    </r>
    <r>
      <rPr>
        <b/>
        <i/>
        <sz val="12"/>
        <color indexed="8"/>
        <rFont val="Times New Roman"/>
        <family val="1"/>
      </rPr>
      <t xml:space="preserve">  Importurile structurate pe grupe de mărfuri, </t>
    </r>
  </si>
  <si>
    <r>
      <rPr>
        <b/>
        <sz val="12"/>
        <color indexed="8"/>
        <rFont val="Times New Roman"/>
        <family val="1"/>
      </rPr>
      <t xml:space="preserve">Anexa 8.  </t>
    </r>
    <r>
      <rPr>
        <b/>
        <i/>
        <sz val="12"/>
        <color indexed="8"/>
        <rFont val="Times New Roman"/>
        <family val="1"/>
      </rPr>
      <t xml:space="preserve">Balanţa comercială structurată pe grupe de mărfuri, </t>
    </r>
  </si>
  <si>
    <t>Ianuarie-mai 2018</t>
  </si>
  <si>
    <t>în % faţă de ianuarie-mai 2017¹</t>
  </si>
  <si>
    <t>ianuarie-mai</t>
  </si>
  <si>
    <t>Ianuarie-mai</t>
  </si>
  <si>
    <t>Ianuarie-mai 2018           în % faţă de                 ianuarie-mai 2017¹</t>
  </si>
  <si>
    <t>Ianuarie-mai 2018    în % faţă de                          ianuarie-mai 2017¹</t>
  </si>
  <si>
    <t>Romania</t>
  </si>
  <si>
    <t>Regatul Unit al Marii Britanii si Irlandei de Nord</t>
  </si>
  <si>
    <t>Franta</t>
  </si>
  <si>
    <t>Republica Ceha</t>
  </si>
  <si>
    <t>Croatia</t>
  </si>
  <si>
    <t>203,0 ori</t>
  </si>
  <si>
    <t>Federatia Rusa</t>
  </si>
  <si>
    <t>Kirgizstan</t>
  </si>
  <si>
    <t>Elvetia</t>
  </si>
  <si>
    <t>Arabia Saudita</t>
  </si>
  <si>
    <t>Bosnia si Hertegovina</t>
  </si>
  <si>
    <t>Libia</t>
  </si>
  <si>
    <t>Liberia</t>
  </si>
  <si>
    <t>Sierra Leone</t>
  </si>
  <si>
    <t>de 2235,8 ori</t>
  </si>
  <si>
    <t>de 33,8 ori</t>
  </si>
  <si>
    <t>de 5,3 ori</t>
  </si>
  <si>
    <t>de 75,0 ori</t>
  </si>
  <si>
    <t xml:space="preserve"> de 5,0 ori</t>
  </si>
  <si>
    <t>de 4,5 ori</t>
  </si>
  <si>
    <t>Palau</t>
  </si>
  <si>
    <t>de 37,2 ori</t>
  </si>
  <si>
    <t>Noua Zeelanda</t>
  </si>
  <si>
    <t>ins.Folkland</t>
  </si>
  <si>
    <t>de 5,8 ori</t>
  </si>
  <si>
    <t>de 5,7 ori</t>
  </si>
  <si>
    <t>Guatemala</t>
  </si>
  <si>
    <t>Cuba</t>
  </si>
  <si>
    <t>de 53,9 ori</t>
  </si>
  <si>
    <t>Tarile CSI - total</t>
  </si>
  <si>
    <t>Celelalte ţări ale lumii - total</t>
  </si>
  <si>
    <t>de 18,6 ori</t>
  </si>
  <si>
    <t xml:space="preserve"> de 3,6 ori</t>
  </si>
  <si>
    <t>de 35,9 ori</t>
  </si>
  <si>
    <t xml:space="preserve"> -</t>
  </si>
  <si>
    <t>de 5,9 ori</t>
  </si>
  <si>
    <t>de 3,8 ori</t>
  </si>
  <si>
    <t xml:space="preserve">   din care:</t>
  </si>
  <si>
    <t>Țările Uniunii Europene - total</t>
  </si>
  <si>
    <t>de1,8 ori</t>
  </si>
  <si>
    <t>de 3,5 ori</t>
  </si>
  <si>
    <t>Țările CSI - total</t>
  </si>
  <si>
    <t>Celelalte țări ale lumii - total</t>
  </si>
  <si>
    <t>de 3,6 ori</t>
  </si>
  <si>
    <t>de 4,6 ori</t>
  </si>
  <si>
    <t>Bunuri neclasificate în altă secţiune din CSCI</t>
  </si>
  <si>
    <t>de 613,2 ori</t>
  </si>
  <si>
    <t xml:space="preserve"> de 1,9 ori</t>
  </si>
  <si>
    <t>de 3,9 ori</t>
  </si>
  <si>
    <t>de 2,8ori</t>
  </si>
  <si>
    <t>de 1,6 ori</t>
  </si>
  <si>
    <t>Cuprins:</t>
  </si>
  <si>
    <t>Anexa 1.  Exporturile structurate pe principalele ţări de destinaţie a mărfurilor şi grupe de ţări</t>
  </si>
  <si>
    <t>Anexa 2.  Importurile structurate pe principalele ţări de origine a mărfurilor şi grupe de ţări</t>
  </si>
  <si>
    <t>Anexa 3.  Balanţa comercială structurată pe principalele ţări şi grupe de ţări</t>
  </si>
  <si>
    <t xml:space="preserve">Anexa 4.  Exporturile structurate pe moduri de transport a mărfurilor și grupe de ţări </t>
  </si>
  <si>
    <t>Anexa 5.  Importurile structurate pe moduri de transport a mărfurilor și grupe de ţări</t>
  </si>
  <si>
    <t>Anexa 6.  Exporturile structurate pe grupe de mărfuri, conform Clasificării Standard de Comerţ Internaţional</t>
  </si>
  <si>
    <t>Anexa 7.  Importurile structurate pe grupe de mărfuri, conform Clasificării Standard de Comerţ Internaţional</t>
  </si>
  <si>
    <t>Anexa 8.  Balanţa comercială structurată pe grupe de mărfuri, conform Clasificării Standard de Comerţ Internaţional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</si>
</sst>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0.0"/>
    <numFmt numFmtId="165" formatCode="#,##0.0"/>
  </numFmts>
  <fonts count="66">
    <font>
      <sz val="12"/>
      <color indexed="8"/>
      <name val="Times New Roman"/>
      <family val="2"/>
    </font>
    <font>
      <sz val="11"/>
      <color indexed="8"/>
      <name val="Calibri"/>
      <family val="2"/>
    </font>
    <font>
      <b/>
      <i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6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name val="Times New Roman"/>
      <family val="2"/>
    </font>
    <font>
      <sz val="10"/>
      <name val="Times New Roman"/>
      <family val="1"/>
    </font>
    <font>
      <b/>
      <i/>
      <sz val="8"/>
      <color indexed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2"/>
      <color indexed="10"/>
      <name val="Times New Roman"/>
      <family val="1"/>
    </font>
    <font>
      <sz val="10"/>
      <color indexed="10"/>
      <name val="Arial"/>
      <family val="2"/>
    </font>
    <font>
      <b/>
      <i/>
      <sz val="12"/>
      <name val="Times New Roman"/>
      <family val="1"/>
    </font>
    <font>
      <sz val="12"/>
      <color indexed="6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name val="Calibri"/>
      <family val="2"/>
    </font>
    <font>
      <b/>
      <sz val="9"/>
      <name val="Times New Roman"/>
      <family val="1"/>
    </font>
    <font>
      <u val="single"/>
      <sz val="12"/>
      <color indexed="12"/>
      <name val="Times New Roman"/>
      <family val="2"/>
    </font>
    <font>
      <i/>
      <sz val="12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Times New Roman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  <font>
      <sz val="10"/>
      <color rgb="FFFF0000"/>
      <name val="Arial"/>
      <family val="2"/>
    </font>
    <font>
      <sz val="12"/>
      <color rgb="FFC00000"/>
      <name val="Times New Roman"/>
      <family val="1"/>
    </font>
    <font>
      <sz val="12"/>
      <color rgb="FF000000"/>
      <name val="Times New Roman"/>
      <family val="1"/>
    </font>
    <font>
      <i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</cellStyleXfs>
  <cellXfs count="129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6" fillId="0" borderId="0" xfId="0" applyFont="1" applyAlignment="1">
      <alignment horizontal="justify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165" fontId="13" fillId="0" borderId="0" xfId="0" applyNumberFormat="1" applyFont="1" applyFill="1" applyAlignment="1" applyProtection="1">
      <alignment horizontal="right"/>
      <protection/>
    </xf>
    <xf numFmtId="165" fontId="11" fillId="0" borderId="0" xfId="0" applyNumberFormat="1" applyFont="1" applyFill="1" applyAlignment="1" applyProtection="1">
      <alignment horizontal="right"/>
      <protection/>
    </xf>
    <xf numFmtId="0" fontId="11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15" fillId="0" borderId="0" xfId="0" applyFont="1" applyAlignment="1">
      <alignment/>
    </xf>
    <xf numFmtId="0" fontId="9" fillId="0" borderId="0" xfId="0" applyFont="1" applyBorder="1" applyAlignment="1">
      <alignment vertical="top" wrapText="1"/>
    </xf>
    <xf numFmtId="4" fontId="11" fillId="0" borderId="0" xfId="0" applyNumberFormat="1" applyFont="1" applyFill="1" applyAlignment="1" applyProtection="1">
      <alignment horizontal="right"/>
      <protection/>
    </xf>
    <xf numFmtId="164" fontId="11" fillId="0" borderId="0" xfId="0" applyNumberFormat="1" applyFont="1" applyFill="1" applyAlignment="1" applyProtection="1">
      <alignment horizontal="right"/>
      <protection/>
    </xf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16" fillId="0" borderId="0" xfId="0" applyFont="1" applyAlignment="1">
      <alignment/>
    </xf>
    <xf numFmtId="4" fontId="13" fillId="0" borderId="0" xfId="0" applyNumberFormat="1" applyFont="1" applyFill="1" applyAlignment="1" applyProtection="1">
      <alignment horizontal="right" vertical="top"/>
      <protection/>
    </xf>
    <xf numFmtId="4" fontId="11" fillId="0" borderId="0" xfId="0" applyNumberFormat="1" applyFont="1" applyFill="1" applyAlignment="1" applyProtection="1">
      <alignment horizontal="right" vertical="top"/>
      <protection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2" fontId="15" fillId="0" borderId="0" xfId="0" applyNumberFormat="1" applyFont="1" applyFill="1" applyAlignment="1" applyProtection="1">
      <alignment horizontal="right"/>
      <protection/>
    </xf>
    <xf numFmtId="4" fontId="13" fillId="0" borderId="0" xfId="0" applyNumberFormat="1" applyFont="1" applyBorder="1" applyAlignment="1">
      <alignment horizontal="right" vertical="top" wrapText="1"/>
    </xf>
    <xf numFmtId="4" fontId="13" fillId="0" borderId="0" xfId="0" applyNumberFormat="1" applyFont="1" applyAlignment="1">
      <alignment horizontal="right" vertical="top" wrapText="1"/>
    </xf>
    <xf numFmtId="4" fontId="5" fillId="0" borderId="0" xfId="0" applyNumberFormat="1" applyFont="1" applyAlignment="1">
      <alignment horizontal="right" vertical="top" wrapText="1"/>
    </xf>
    <xf numFmtId="4" fontId="5" fillId="0" borderId="0" xfId="0" applyNumberFormat="1" applyFont="1" applyAlignment="1">
      <alignment horizontal="right" vertical="top" wrapText="1"/>
    </xf>
    <xf numFmtId="4" fontId="5" fillId="0" borderId="0" xfId="0" applyNumberFormat="1" applyFont="1" applyAlignment="1">
      <alignment horizontal="right" vertical="top" wrapText="1" indent="1"/>
    </xf>
    <xf numFmtId="0" fontId="5" fillId="0" borderId="0" xfId="0" applyFont="1" applyAlignment="1">
      <alignment horizontal="left" vertical="top" wrapText="1"/>
    </xf>
    <xf numFmtId="4" fontId="4" fillId="0" borderId="0" xfId="0" applyNumberFormat="1" applyFont="1" applyAlignment="1">
      <alignment horizontal="right" vertical="top" wrapText="1"/>
    </xf>
    <xf numFmtId="38" fontId="11" fillId="0" borderId="0" xfId="0" applyNumberFormat="1" applyFont="1" applyFill="1" applyAlignment="1" applyProtection="1">
      <alignment horizontal="left" vertical="top" wrapText="1"/>
      <protection/>
    </xf>
    <xf numFmtId="2" fontId="5" fillId="0" borderId="0" xfId="0" applyNumberFormat="1" applyFont="1" applyAlignment="1">
      <alignment horizontal="right" vertical="top" wrapText="1"/>
    </xf>
    <xf numFmtId="4" fontId="13" fillId="0" borderId="0" xfId="0" applyNumberFormat="1" applyFont="1" applyFill="1" applyAlignment="1" applyProtection="1">
      <alignment horizontal="right"/>
      <protection/>
    </xf>
    <xf numFmtId="0" fontId="1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13" fillId="0" borderId="0" xfId="0" applyNumberFormat="1" applyFont="1" applyFill="1" applyAlignment="1" applyProtection="1">
      <alignment horizontal="left" vertical="top" wrapText="1"/>
      <protection/>
    </xf>
    <xf numFmtId="0" fontId="11" fillId="0" borderId="0" xfId="0" applyNumberFormat="1" applyFont="1" applyFill="1" applyAlignment="1" applyProtection="1">
      <alignment horizontal="left" vertical="top" wrapText="1"/>
      <protection/>
    </xf>
    <xf numFmtId="4" fontId="13" fillId="0" borderId="0" xfId="0" applyNumberFormat="1" applyFont="1" applyFill="1" applyAlignment="1" applyProtection="1">
      <alignment horizontal="right" vertical="top" wrapText="1"/>
      <protection/>
    </xf>
    <xf numFmtId="2" fontId="23" fillId="0" borderId="0" xfId="0" applyNumberFormat="1" applyFont="1" applyAlignment="1">
      <alignment horizontal="right" vertical="top" wrapText="1"/>
    </xf>
    <xf numFmtId="4" fontId="13" fillId="0" borderId="0" xfId="0" applyNumberFormat="1" applyFont="1" applyFill="1" applyBorder="1" applyAlignment="1" applyProtection="1">
      <alignment horizontal="right" vertical="top" wrapText="1"/>
      <protection/>
    </xf>
    <xf numFmtId="4" fontId="14" fillId="0" borderId="0" xfId="0" applyNumberFormat="1" applyFont="1" applyFill="1" applyBorder="1" applyAlignment="1" applyProtection="1">
      <alignment horizontal="right"/>
      <protection/>
    </xf>
    <xf numFmtId="4" fontId="14" fillId="0" borderId="0" xfId="0" applyNumberFormat="1" applyFont="1" applyFill="1" applyBorder="1" applyAlignment="1" applyProtection="1">
      <alignment horizontal="right" vertical="top"/>
      <protection/>
    </xf>
    <xf numFmtId="4" fontId="11" fillId="0" borderId="0" xfId="0" applyNumberFormat="1" applyFont="1" applyFill="1" applyAlignment="1" applyProtection="1">
      <alignment horizontal="right" vertical="top" wrapText="1"/>
      <protection/>
    </xf>
    <xf numFmtId="2" fontId="11" fillId="0" borderId="0" xfId="0" applyNumberFormat="1" applyFont="1" applyAlignment="1">
      <alignment horizontal="right" vertical="top" wrapText="1"/>
    </xf>
    <xf numFmtId="2" fontId="13" fillId="0" borderId="0" xfId="0" applyNumberFormat="1" applyFont="1" applyAlignment="1">
      <alignment horizontal="right" vertical="top" wrapText="1"/>
    </xf>
    <xf numFmtId="0" fontId="24" fillId="0" borderId="0" xfId="0" applyFont="1" applyAlignment="1">
      <alignment/>
    </xf>
    <xf numFmtId="4" fontId="11" fillId="0" borderId="0" xfId="0" applyNumberFormat="1" applyFont="1" applyBorder="1" applyAlignment="1">
      <alignment horizontal="right" vertical="top" wrapText="1"/>
    </xf>
    <xf numFmtId="4" fontId="14" fillId="0" borderId="13" xfId="0" applyNumberFormat="1" applyFont="1" applyFill="1" applyBorder="1" applyAlignment="1" applyProtection="1">
      <alignment horizontal="right"/>
      <protection/>
    </xf>
    <xf numFmtId="164" fontId="14" fillId="0" borderId="13" xfId="0" applyNumberFormat="1" applyFont="1" applyFill="1" applyBorder="1" applyAlignment="1" applyProtection="1">
      <alignment horizontal="right"/>
      <protection/>
    </xf>
    <xf numFmtId="2" fontId="14" fillId="0" borderId="13" xfId="0" applyNumberFormat="1" applyFont="1" applyFill="1" applyBorder="1" applyAlignment="1" applyProtection="1">
      <alignment horizontal="right"/>
      <protection/>
    </xf>
    <xf numFmtId="2" fontId="11" fillId="0" borderId="0" xfId="0" applyNumberFormat="1" applyFont="1" applyFill="1" applyAlignment="1" applyProtection="1">
      <alignment horizontal="right" vertical="top" wrapText="1"/>
      <protection/>
    </xf>
    <xf numFmtId="164" fontId="13" fillId="0" borderId="0" xfId="0" applyNumberFormat="1" applyFont="1" applyFill="1" applyAlignment="1" applyProtection="1">
      <alignment horizontal="right" vertical="top"/>
      <protection/>
    </xf>
    <xf numFmtId="2" fontId="13" fillId="0" borderId="0" xfId="0" applyNumberFormat="1" applyFont="1" applyFill="1" applyAlignment="1" applyProtection="1">
      <alignment horizontal="right" vertical="top"/>
      <protection/>
    </xf>
    <xf numFmtId="0" fontId="5" fillId="0" borderId="0" xfId="0" applyFont="1" applyAlignment="1">
      <alignment/>
    </xf>
    <xf numFmtId="38" fontId="11" fillId="0" borderId="14" xfId="0" applyNumberFormat="1" applyFont="1" applyFill="1" applyBorder="1" applyAlignment="1" applyProtection="1">
      <alignment horizontal="left" vertical="top" wrapText="1"/>
      <protection/>
    </xf>
    <xf numFmtId="2" fontId="11" fillId="0" borderId="0" xfId="0" applyNumberFormat="1" applyFont="1" applyFill="1" applyAlignment="1" applyProtection="1">
      <alignment horizontal="right" vertical="top"/>
      <protection/>
    </xf>
    <xf numFmtId="4" fontId="15" fillId="0" borderId="0" xfId="0" applyNumberFormat="1" applyFont="1" applyFill="1" applyAlignment="1" applyProtection="1">
      <alignment horizontal="right" vertical="top"/>
      <protection/>
    </xf>
    <xf numFmtId="164" fontId="15" fillId="0" borderId="0" xfId="0" applyNumberFormat="1" applyFont="1" applyFill="1" applyAlignment="1" applyProtection="1">
      <alignment horizontal="right" vertical="top"/>
      <protection/>
    </xf>
    <xf numFmtId="4" fontId="11" fillId="0" borderId="14" xfId="0" applyNumberFormat="1" applyFont="1" applyFill="1" applyBorder="1" applyAlignment="1" applyProtection="1">
      <alignment horizontal="right" vertical="top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4" fontId="11" fillId="0" borderId="0" xfId="0" applyNumberFormat="1" applyFont="1" applyFill="1" applyBorder="1" applyAlignment="1" applyProtection="1">
      <alignment horizontal="right" vertical="top"/>
      <protection/>
    </xf>
    <xf numFmtId="2" fontId="11" fillId="0" borderId="0" xfId="0" applyNumberFormat="1" applyFont="1" applyBorder="1" applyAlignment="1">
      <alignment horizontal="right" vertical="top" wrapText="1"/>
    </xf>
    <xf numFmtId="0" fontId="11" fillId="0" borderId="14" xfId="0" applyNumberFormat="1" applyFont="1" applyFill="1" applyBorder="1" applyAlignment="1" applyProtection="1">
      <alignment horizontal="left" vertical="top" wrapText="1"/>
      <protection/>
    </xf>
    <xf numFmtId="2" fontId="11" fillId="0" borderId="14" xfId="0" applyNumberFormat="1" applyFont="1" applyBorder="1" applyAlignment="1">
      <alignment horizontal="right" vertical="top" wrapText="1"/>
    </xf>
    <xf numFmtId="0" fontId="13" fillId="0" borderId="0" xfId="0" applyNumberFormat="1" applyFont="1" applyFill="1" applyBorder="1" applyAlignment="1" applyProtection="1">
      <alignment horizontal="left" vertical="top" wrapText="1"/>
      <protection/>
    </xf>
    <xf numFmtId="2" fontId="13" fillId="0" borderId="0" xfId="0" applyNumberFormat="1" applyFont="1" applyFill="1" applyAlignment="1" applyProtection="1">
      <alignment horizontal="right" vertical="top" wrapText="1"/>
      <protection/>
    </xf>
    <xf numFmtId="4" fontId="11" fillId="0" borderId="0" xfId="0" applyNumberFormat="1" applyFont="1" applyFill="1" applyBorder="1" applyAlignment="1" applyProtection="1">
      <alignment horizontal="right" vertical="top" wrapText="1"/>
      <protection/>
    </xf>
    <xf numFmtId="2" fontId="11" fillId="0" borderId="0" xfId="0" applyNumberFormat="1" applyFont="1" applyFill="1" applyBorder="1" applyAlignment="1" applyProtection="1">
      <alignment horizontal="right" vertical="top" wrapText="1"/>
      <protection/>
    </xf>
    <xf numFmtId="0" fontId="5" fillId="0" borderId="0" xfId="0" applyFont="1" applyBorder="1" applyAlignment="1">
      <alignment horizontal="left" vertical="top" wrapText="1"/>
    </xf>
    <xf numFmtId="38" fontId="13" fillId="0" borderId="14" xfId="0" applyNumberFormat="1" applyFont="1" applyFill="1" applyBorder="1" applyAlignment="1" applyProtection="1">
      <alignment horizontal="left" vertical="top" wrapText="1"/>
      <protection/>
    </xf>
    <xf numFmtId="4" fontId="13" fillId="0" borderId="14" xfId="0" applyNumberFormat="1" applyFont="1" applyFill="1" applyBorder="1" applyAlignment="1" applyProtection="1">
      <alignment horizontal="right" vertical="top" wrapText="1"/>
      <protection/>
    </xf>
    <xf numFmtId="2" fontId="13" fillId="0" borderId="14" xfId="0" applyNumberFormat="1" applyFont="1" applyFill="1" applyBorder="1" applyAlignment="1" applyProtection="1">
      <alignment horizontal="right" vertical="top" wrapText="1"/>
      <protection/>
    </xf>
    <xf numFmtId="164" fontId="11" fillId="0" borderId="0" xfId="0" applyNumberFormat="1" applyFont="1" applyFill="1" applyAlignment="1" applyProtection="1">
      <alignment horizontal="right" vertical="top"/>
      <protection/>
    </xf>
    <xf numFmtId="4" fontId="13" fillId="0" borderId="14" xfId="0" applyNumberFormat="1" applyFont="1" applyFill="1" applyBorder="1" applyAlignment="1" applyProtection="1">
      <alignment horizontal="right" vertical="top"/>
      <protection/>
    </xf>
    <xf numFmtId="164" fontId="13" fillId="0" borderId="14" xfId="0" applyNumberFormat="1" applyFont="1" applyFill="1" applyBorder="1" applyAlignment="1" applyProtection="1">
      <alignment horizontal="right" vertical="top"/>
      <protection/>
    </xf>
    <xf numFmtId="164" fontId="11" fillId="0" borderId="14" xfId="0" applyNumberFormat="1" applyFont="1" applyFill="1" applyBorder="1" applyAlignment="1" applyProtection="1">
      <alignment horizontal="right" vertical="top"/>
      <protection/>
    </xf>
    <xf numFmtId="2" fontId="11" fillId="0" borderId="14" xfId="0" applyNumberFormat="1" applyFont="1" applyFill="1" applyBorder="1" applyAlignment="1" applyProtection="1">
      <alignment horizontal="right" vertical="top"/>
      <protection/>
    </xf>
    <xf numFmtId="0" fontId="11" fillId="0" borderId="14" xfId="0" applyFont="1" applyBorder="1" applyAlignment="1">
      <alignment horizontal="right" vertical="top"/>
    </xf>
    <xf numFmtId="0" fontId="14" fillId="0" borderId="0" xfId="0" applyFont="1" applyAlignment="1">
      <alignment horizontal="left" wrapText="1"/>
    </xf>
    <xf numFmtId="4" fontId="14" fillId="0" borderId="0" xfId="0" applyNumberFormat="1" applyFont="1" applyFill="1" applyAlignment="1" applyProtection="1">
      <alignment horizontal="right"/>
      <protection/>
    </xf>
    <xf numFmtId="4" fontId="14" fillId="0" borderId="13" xfId="0" applyNumberFormat="1" applyFont="1" applyFill="1" applyBorder="1" applyAlignment="1" applyProtection="1">
      <alignment horizontal="right" wrapText="1"/>
      <protection/>
    </xf>
    <xf numFmtId="4" fontId="14" fillId="0" borderId="0" xfId="0" applyNumberFormat="1" applyFont="1" applyFill="1" applyAlignment="1" applyProtection="1">
      <alignment horizontal="right" wrapText="1"/>
      <protection/>
    </xf>
    <xf numFmtId="0" fontId="3" fillId="0" borderId="0" xfId="0" applyFont="1" applyAlignment="1">
      <alignment horizontal="left" wrapText="1"/>
    </xf>
    <xf numFmtId="2" fontId="14" fillId="0" borderId="13" xfId="0" applyNumberFormat="1" applyFont="1" applyFill="1" applyBorder="1" applyAlignment="1" applyProtection="1">
      <alignment horizontal="right" wrapText="1"/>
      <protection/>
    </xf>
    <xf numFmtId="0" fontId="0" fillId="0" borderId="0" xfId="0" applyFont="1" applyAlignment="1">
      <alignment horizontal="left"/>
    </xf>
    <xf numFmtId="0" fontId="64" fillId="0" borderId="0" xfId="0" applyFont="1" applyAlignment="1">
      <alignment horizontal="left"/>
    </xf>
    <xf numFmtId="0" fontId="65" fillId="0" borderId="0" xfId="0" applyFont="1" applyAlignment="1">
      <alignment horizontal="left"/>
    </xf>
    <xf numFmtId="0" fontId="53" fillId="0" borderId="0" xfId="52" applyAlignment="1">
      <alignment horizontal="left"/>
    </xf>
    <xf numFmtId="0" fontId="22" fillId="0" borderId="0" xfId="0" applyFont="1" applyAlignment="1">
      <alignment/>
    </xf>
    <xf numFmtId="0" fontId="19" fillId="0" borderId="0" xfId="0" applyFont="1" applyAlignment="1">
      <alignment horizontal="center"/>
    </xf>
    <xf numFmtId="0" fontId="11" fillId="0" borderId="15" xfId="0" applyFont="1" applyBorder="1" applyAlignment="1">
      <alignment vertical="top" wrapText="1"/>
    </xf>
    <xf numFmtId="0" fontId="11" fillId="0" borderId="16" xfId="0" applyFont="1" applyBorder="1" applyAlignment="1">
      <alignment vertical="top" wrapText="1"/>
    </xf>
    <xf numFmtId="0" fontId="11" fillId="0" borderId="17" xfId="0" applyFont="1" applyBorder="1" applyAlignment="1">
      <alignment vertical="top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4" fillId="0" borderId="15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  <cellStyle name="Обычный 2" xfId="64"/>
    <cellStyle name="Обычный 3" xfId="65"/>
    <cellStyle name="Обычный 3 2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3:G12"/>
  <sheetViews>
    <sheetView tabSelected="1" zoomScalePageLayoutView="0" workbookViewId="0" topLeftCell="A1">
      <selection activeCell="B4" sqref="B4"/>
    </sheetView>
  </sheetViews>
  <sheetFormatPr defaultColWidth="9.00390625" defaultRowHeight="15.75"/>
  <sheetData>
    <row r="3" ht="15.75">
      <c r="A3" s="97" t="s">
        <v>309</v>
      </c>
    </row>
    <row r="4" spans="1:7" ht="15.75">
      <c r="A4" s="96" t="s">
        <v>310</v>
      </c>
      <c r="B4" s="96"/>
      <c r="C4" s="96"/>
      <c r="D4" s="96"/>
      <c r="E4" s="96"/>
      <c r="F4" s="96"/>
      <c r="G4" s="96"/>
    </row>
    <row r="5" spans="1:7" ht="15.75">
      <c r="A5" s="96" t="s">
        <v>311</v>
      </c>
      <c r="B5" s="96"/>
      <c r="C5" s="96"/>
      <c r="D5" s="96"/>
      <c r="E5" s="96"/>
      <c r="F5" s="96"/>
      <c r="G5" s="96"/>
    </row>
    <row r="6" spans="1:7" ht="15.75">
      <c r="A6" s="96" t="s">
        <v>312</v>
      </c>
      <c r="B6" s="96"/>
      <c r="C6" s="96"/>
      <c r="D6" s="96"/>
      <c r="E6" s="93"/>
      <c r="F6" s="93"/>
      <c r="G6" s="93"/>
    </row>
    <row r="7" spans="1:7" ht="15.75">
      <c r="A7" s="96" t="s">
        <v>313</v>
      </c>
      <c r="B7" s="96"/>
      <c r="C7" s="96"/>
      <c r="D7" s="96"/>
      <c r="E7" s="96"/>
      <c r="F7" s="93"/>
      <c r="G7" s="93"/>
    </row>
    <row r="8" spans="1:7" ht="15.75">
      <c r="A8" s="96" t="s">
        <v>314</v>
      </c>
      <c r="B8" s="96"/>
      <c r="C8" s="96"/>
      <c r="D8" s="96"/>
      <c r="E8" s="96"/>
      <c r="F8" s="93"/>
      <c r="G8" s="93"/>
    </row>
    <row r="9" spans="1:7" ht="15.75">
      <c r="A9" s="96" t="s">
        <v>315</v>
      </c>
      <c r="B9" s="94"/>
      <c r="C9" s="94"/>
      <c r="D9" s="94"/>
      <c r="E9" s="94"/>
      <c r="F9" s="94"/>
      <c r="G9" s="94"/>
    </row>
    <row r="10" spans="1:7" ht="15.75">
      <c r="A10" s="96" t="s">
        <v>316</v>
      </c>
      <c r="B10" s="94"/>
      <c r="C10" s="94"/>
      <c r="D10" s="94"/>
      <c r="E10" s="94"/>
      <c r="F10" s="94"/>
      <c r="G10" s="94"/>
    </row>
    <row r="11" spans="1:7" ht="15.75">
      <c r="A11" s="96" t="s">
        <v>317</v>
      </c>
      <c r="B11" s="94"/>
      <c r="C11" s="94"/>
      <c r="D11" s="94"/>
      <c r="E11" s="93"/>
      <c r="F11" s="93"/>
      <c r="G11" s="93"/>
    </row>
    <row r="12" spans="1:7" ht="15.75">
      <c r="A12" s="95"/>
      <c r="B12" s="95"/>
      <c r="C12" s="95"/>
      <c r="D12" s="95"/>
      <c r="E12" s="93"/>
      <c r="F12" s="93"/>
      <c r="G12" s="93"/>
    </row>
  </sheetData>
  <sheetProtection/>
  <hyperlinks>
    <hyperlink ref="A4:G4" location="Export_Tari!A1" display="Anexa 1.  Exporturile structurate pe principalele ţări de destinaţie a mărfurilor şi grupe de ţări"/>
    <hyperlink ref="A5:G5" location="Import_Tari!A1" display="Anexa 2.  Importurile structurate pe principalele ţări de origine a mărfurilor şi grupe de ţări"/>
    <hyperlink ref="A6:D6" location="'Balanta Comerciala_Tari'!A1" display="Anexa 3.  Balanţa comercială structurată pe principalele ţări şi grupe de ţări"/>
    <hyperlink ref="A7:E7" location="Export_Moduri_Transport!A1" display="Anexa 4.  Exporturile structurate pe moduri de transport a mărfurilor și grupe de ţări "/>
    <hyperlink ref="A8:E8" location="Import_Moduri_Transport!A1" display="Anexa 5.  Importurile structurate pe moduri de transport a mărfurilor și grupe de ţări"/>
    <hyperlink ref="A9" location="Export_Grupe_Marfuri_CSCI!A1" display="Anexa 6.  Exporturile structurate pe grupe de mărfuri, conform Clasificării Standard de Comerţ Internaţional"/>
    <hyperlink ref="A10" location="Import_Grupe_Marfuri_CSCI!A1" display="Anexa 7.  Importurile structurate pe grupe de mărfuri, conform Clasificării Standard de Comerţ Internaţional"/>
    <hyperlink ref="A11" location="Balanta_Comerciala_Gr_Marf_CSCI!A1" display="Anexa 8.  Balanţa comercială structurată pe grupe de mărfuri, conform Clasificării Standard de Comerţ Internaţional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07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:G1"/>
    </sheetView>
  </sheetViews>
  <sheetFormatPr defaultColWidth="9.00390625" defaultRowHeight="15.75"/>
  <cols>
    <col min="1" max="1" width="32.375" style="14" customWidth="1"/>
    <col min="2" max="2" width="11.125" style="14" customWidth="1"/>
    <col min="3" max="3" width="10.75390625" style="14" customWidth="1"/>
    <col min="4" max="4" width="7.875" style="14" customWidth="1"/>
    <col min="5" max="5" width="7.625" style="14" customWidth="1"/>
    <col min="6" max="7" width="9.75390625" style="14" customWidth="1"/>
  </cols>
  <sheetData>
    <row r="1" spans="1:7" ht="15.75">
      <c r="A1" s="98" t="s">
        <v>244</v>
      </c>
      <c r="B1" s="98"/>
      <c r="C1" s="98"/>
      <c r="D1" s="98"/>
      <c r="E1" s="98"/>
      <c r="F1" s="98"/>
      <c r="G1" s="98"/>
    </row>
    <row r="3" spans="1:7" ht="55.5" customHeight="1">
      <c r="A3" s="99"/>
      <c r="B3" s="102" t="s">
        <v>252</v>
      </c>
      <c r="C3" s="103"/>
      <c r="D3" s="102" t="s">
        <v>191</v>
      </c>
      <c r="E3" s="103"/>
      <c r="F3" s="104" t="s">
        <v>1</v>
      </c>
      <c r="G3" s="105"/>
    </row>
    <row r="4" spans="1:7" ht="21.75" customHeight="1">
      <c r="A4" s="100"/>
      <c r="B4" s="106" t="s">
        <v>173</v>
      </c>
      <c r="C4" s="108" t="s">
        <v>253</v>
      </c>
      <c r="D4" s="110" t="s">
        <v>254</v>
      </c>
      <c r="E4" s="110"/>
      <c r="F4" s="110" t="s">
        <v>254</v>
      </c>
      <c r="G4" s="102"/>
    </row>
    <row r="5" spans="1:7" ht="23.25" customHeight="1">
      <c r="A5" s="101"/>
      <c r="B5" s="107"/>
      <c r="C5" s="109"/>
      <c r="D5" s="41">
        <v>2017</v>
      </c>
      <c r="E5" s="41">
        <v>2018</v>
      </c>
      <c r="F5" s="41" t="s">
        <v>167</v>
      </c>
      <c r="G5" s="37" t="s">
        <v>197</v>
      </c>
    </row>
    <row r="6" spans="1:7" ht="15.75" customHeight="1">
      <c r="A6" s="87" t="s">
        <v>25</v>
      </c>
      <c r="B6" s="89">
        <f>IF(1101136.29843="","-",1101136.29843)</f>
        <v>1101136.29843</v>
      </c>
      <c r="C6" s="89">
        <f>IF(857110.78655="","-",1101136.29843/857110.78655*100)</f>
        <v>128.4707083039101</v>
      </c>
      <c r="D6" s="89">
        <v>100</v>
      </c>
      <c r="E6" s="89">
        <v>100</v>
      </c>
      <c r="F6" s="89">
        <f>IF(747953.45327="","-",(857110.78655-747953.45327)/747953.45327*100)</f>
        <v>14.594134541764825</v>
      </c>
      <c r="G6" s="89">
        <f>IF(857110.78655="","-",(1101136.29843-857110.78655)/857110.78655*100)</f>
        <v>28.470708303910097</v>
      </c>
    </row>
    <row r="7" spans="1:7" ht="13.5" customHeight="1">
      <c r="A7" s="12" t="s">
        <v>2</v>
      </c>
      <c r="B7" s="55"/>
      <c r="C7" s="27"/>
      <c r="D7" s="28"/>
      <c r="E7" s="28"/>
      <c r="F7" s="28"/>
      <c r="G7" s="28"/>
    </row>
    <row r="8" spans="1:7" ht="15.75" customHeight="1">
      <c r="A8" s="13" t="s">
        <v>3</v>
      </c>
      <c r="B8" s="21">
        <f>IF(747023.03234="","-",747023.03234)</f>
        <v>747023.03234</v>
      </c>
      <c r="C8" s="21">
        <f>IF(541999.82239="","-",747023.03234/541999.82239*100)</f>
        <v>137.82717290310734</v>
      </c>
      <c r="D8" s="21">
        <f>IF(541999.82239="","-",541999.82239/857110.78655*100)</f>
        <v>63.2356786188202</v>
      </c>
      <c r="E8" s="21">
        <f>IF(747023.03234="","-",747023.03234/1101136.29843*100)</f>
        <v>67.84110499355126</v>
      </c>
      <c r="F8" s="21">
        <f>IF(747953.45327="","-",(541999.82239-469550.33363)/747953.45327*100)</f>
        <v>9.686363294835514</v>
      </c>
      <c r="G8" s="21">
        <f>IF(857110.78655="","-",(747023.03234-541999.82239)/857110.78655*100)</f>
        <v>23.920269487594407</v>
      </c>
    </row>
    <row r="9" spans="1:7" s="23" customFormat="1" ht="15.75">
      <c r="A9" s="34" t="s">
        <v>258</v>
      </c>
      <c r="B9" s="22">
        <f>IF(283716.13739="","-",283716.13739)</f>
        <v>283716.13739</v>
      </c>
      <c r="C9" s="22">
        <f>IF(OR(208610.62438="",283716.13739=""),"-",283716.13739/208610.62438*100)</f>
        <v>136.00272672267624</v>
      </c>
      <c r="D9" s="22">
        <f>IF(208610.62438="","-",208610.62438/857110.78655*100)</f>
        <v>24.33881683133276</v>
      </c>
      <c r="E9" s="22">
        <f>IF(283716.13739="","-",283716.13739/1101136.29843*100)</f>
        <v>25.765760132921095</v>
      </c>
      <c r="F9" s="22">
        <f>IF(OR(747953.45327="",176553.61336="",208610.62438=""),"-",(208610.62438-176553.61336)/747953.45327*100)</f>
        <v>4.285963368422059</v>
      </c>
      <c r="G9" s="22">
        <f>IF(OR(857110.78655="",283716.13739="",208610.62438=""),"-",(283716.13739-208610.62438)/857110.78655*100)</f>
        <v>8.76263771131746</v>
      </c>
    </row>
    <row r="10" spans="1:7" s="23" customFormat="1" ht="15.75">
      <c r="A10" s="34" t="s">
        <v>4</v>
      </c>
      <c r="B10" s="22">
        <f>IF(124801.18031="","-",124801.18031)</f>
        <v>124801.18031</v>
      </c>
      <c r="C10" s="22" t="s">
        <v>308</v>
      </c>
      <c r="D10" s="22">
        <f>IF(76041.18143="","-",76041.18143/857110.78655*100)</f>
        <v>8.87180311148308</v>
      </c>
      <c r="E10" s="22">
        <f>IF(124801.18031="","-",124801.18031/1101136.29843*100)</f>
        <v>11.333853991367054</v>
      </c>
      <c r="F10" s="22">
        <f>IF(OR(747953.45327="",74264.79649="",76041.18143=""),"-",(76041.18143-74264.79649)/747953.45327*100)</f>
        <v>0.23749939681858184</v>
      </c>
      <c r="G10" s="22">
        <f>IF(OR(857110.78655="",124801.18031="",76041.18143=""),"-",(124801.18031-76041.18143)/857110.78655*100)</f>
        <v>5.688879389357162</v>
      </c>
    </row>
    <row r="11" spans="1:7" s="23" customFormat="1" ht="15.75">
      <c r="A11" s="34" t="s">
        <v>5</v>
      </c>
      <c r="B11" s="22">
        <f>IF(95165.2357="","-",95165.2357)</f>
        <v>95165.2357</v>
      </c>
      <c r="C11" s="22" t="s">
        <v>308</v>
      </c>
      <c r="D11" s="22">
        <f>IF(58186.26343="","-",58186.26343/857110.78655*100)</f>
        <v>6.788651402254366</v>
      </c>
      <c r="E11" s="22">
        <f>IF(95165.2357="","-",95165.2357/1101136.29843*100)</f>
        <v>8.642457417459273</v>
      </c>
      <c r="F11" s="22">
        <f>IF(OR(747953.45327="",48283.82621="",58186.26343=""),"-",(58186.26343-48283.82621)/747953.45327*100)</f>
        <v>1.3239376296355392</v>
      </c>
      <c r="G11" s="22">
        <f>IF(OR(857110.78655="",95165.2357="",58186.26343=""),"-",(95165.2357-58186.26343)/857110.78655*100)</f>
        <v>4.314374856819378</v>
      </c>
    </row>
    <row r="12" spans="1:7" s="23" customFormat="1" ht="15.75">
      <c r="A12" s="34" t="s">
        <v>6</v>
      </c>
      <c r="B12" s="22">
        <f>IF(37515.44251="","-",37515.44251)</f>
        <v>37515.44251</v>
      </c>
      <c r="C12" s="22">
        <f>IF(OR(28064.10865="",37515.44251=""),"-",37515.44251/28064.10865*100)</f>
        <v>133.67765560585514</v>
      </c>
      <c r="D12" s="22">
        <f>IF(28064.10865="","-",28064.10865/857110.78655*100)</f>
        <v>3.2742685181879767</v>
      </c>
      <c r="E12" s="22">
        <f>IF(37515.44251="","-",37515.44251/1101136.29843*100)</f>
        <v>3.406975372938801</v>
      </c>
      <c r="F12" s="22">
        <f>IF(OR(747953.45327="",25293.65386="",28064.10865=""),"-",(28064.10865-25293.65386)/747953.45327*100)</f>
        <v>0.37040470605326653</v>
      </c>
      <c r="G12" s="22">
        <f>IF(OR(857110.78655="",37515.44251="",28064.10865=""),"-",(37515.44251-28064.10865)/857110.78655*100)</f>
        <v>1.1026968751662833</v>
      </c>
    </row>
    <row r="13" spans="1:7" s="23" customFormat="1" ht="25.5">
      <c r="A13" s="34" t="s">
        <v>259</v>
      </c>
      <c r="B13" s="22">
        <f>IF(37002.09914="","-",37002.09914)</f>
        <v>37002.09914</v>
      </c>
      <c r="C13" s="22">
        <f>IF(OR(48618.87315="",37002.09914=""),"-",37002.09914/48618.87315*100)</f>
        <v>76.10645155398876</v>
      </c>
      <c r="D13" s="22">
        <f>IF(48618.87315="","-",48618.87315/857110.78655*100)</f>
        <v>5.67241410479715</v>
      </c>
      <c r="E13" s="22">
        <f>IF(37002.09914="","-",37002.09914/1101136.29843*100)</f>
        <v>3.360355951643551</v>
      </c>
      <c r="F13" s="22">
        <f>IF(OR(747953.45327="",48353.76968="",48618.87315=""),"-",(48618.87315-48353.76968)/747953.45327*100)</f>
        <v>0.03544384598279319</v>
      </c>
      <c r="G13" s="22">
        <f>IF(OR(857110.78655="",37002.09914="",48618.87315=""),"-",(37002.09914-48618.87315)/857110.78655*100)</f>
        <v>-1.355341012188082</v>
      </c>
    </row>
    <row r="14" spans="1:7" s="23" customFormat="1" ht="15.75">
      <c r="A14" s="34" t="s">
        <v>7</v>
      </c>
      <c r="B14" s="22">
        <f>IF(24427.6626="","-",24427.6626)</f>
        <v>24427.6626</v>
      </c>
      <c r="C14" s="22">
        <f>IF(OR(29759.89045="",24427.6626=""),"-",24427.6626/29759.89045*100)</f>
        <v>82.08250175195117</v>
      </c>
      <c r="D14" s="22">
        <f>IF(29759.89045="","-",29759.89045/857110.78655*100)</f>
        <v>3.4721171308306644</v>
      </c>
      <c r="E14" s="22">
        <f>IF(24427.6626="","-",24427.6626/1101136.29843*100)</f>
        <v>2.2184049908107615</v>
      </c>
      <c r="F14" s="22">
        <f>IF(OR(747953.45327="",20634.8873="",29759.89045=""),"-",(29759.89045-20634.8873)/747953.45327*100)</f>
        <v>1.2199961254415133</v>
      </c>
      <c r="G14" s="22">
        <f>IF(OR(857110.78655="",24427.6626="",29759.89045=""),"-",(24427.6626-29759.89045)/857110.78655*100)</f>
        <v>-0.6221165260867874</v>
      </c>
    </row>
    <row r="15" spans="1:7" s="25" customFormat="1" ht="15.75">
      <c r="A15" s="34" t="s">
        <v>260</v>
      </c>
      <c r="B15" s="22">
        <f>IF(22340.00474="","-",22340.00474)</f>
        <v>22340.00474</v>
      </c>
      <c r="C15" s="22">
        <f>IF(OR(15320.85343="",22340.00474=""),"-",22340.00474/15320.85343*100)</f>
        <v>145.81436237915895</v>
      </c>
      <c r="D15" s="22">
        <f>IF(15320.85343="","-",15320.85343/857110.78655*100)</f>
        <v>1.7874997807073159</v>
      </c>
      <c r="E15" s="22">
        <f>IF(22340.00474="","-",22340.00474/1101136.29843*100)</f>
        <v>2.0288137600996694</v>
      </c>
      <c r="F15" s="22">
        <f>IF(OR(747953.45327="",20282.65242="",15320.85343=""),"-",(15320.85343-20282.65242)/747953.45327*100)</f>
        <v>-0.6633833921492523</v>
      </c>
      <c r="G15" s="22">
        <f>IF(OR(857110.78655="",22340.00474="",15320.85343=""),"-",(22340.00474-15320.85343)/857110.78655*100)</f>
        <v>0.818931627059921</v>
      </c>
    </row>
    <row r="16" spans="1:7" s="23" customFormat="1" ht="15.75">
      <c r="A16" s="34" t="s">
        <v>8</v>
      </c>
      <c r="B16" s="22">
        <f>IF(18577.92382="","-",18577.92382)</f>
        <v>18577.92382</v>
      </c>
      <c r="C16" s="22">
        <f>IF(OR(12690.35739="",18577.92382=""),"-",18577.92382/12690.35739*100)</f>
        <v>146.3940159371666</v>
      </c>
      <c r="D16" s="22">
        <f>IF(12690.35739="","-",12690.35739/857110.78655*100)</f>
        <v>1.4805970930643166</v>
      </c>
      <c r="E16" s="22">
        <f>IF(18577.92382="","-",18577.92382/1101136.29843*100)</f>
        <v>1.6871593322723446</v>
      </c>
      <c r="F16" s="22">
        <f>IF(OR(747953.45327="",8866.73893="",12690.35739=""),"-",(12690.35739-8866.73893)/747953.45327*100)</f>
        <v>0.5112107502523597</v>
      </c>
      <c r="G16" s="22">
        <f>IF(OR(857110.78655="",18577.92382="",12690.35739=""),"-",(18577.92382-12690.35739)/857110.78655*100)</f>
        <v>0.6869084513214847</v>
      </c>
    </row>
    <row r="17" spans="1:7" s="23" customFormat="1" ht="15.75">
      <c r="A17" s="34" t="s">
        <v>261</v>
      </c>
      <c r="B17" s="22">
        <f>IF(17262.7641="","-",17262.7641)</f>
        <v>17262.7641</v>
      </c>
      <c r="C17" s="22">
        <f>IF(OR(11560.58506="",17262.7641=""),"-",17262.7641/11560.58506*100)</f>
        <v>149.32431196522853</v>
      </c>
      <c r="D17" s="22">
        <f>IF(11560.58506="","-",11560.58506/857110.78655*100)</f>
        <v>1.348785389404921</v>
      </c>
      <c r="E17" s="22">
        <f>IF(17262.7641="","-",17262.7641/1101136.29843*100)</f>
        <v>1.5677227355608245</v>
      </c>
      <c r="F17" s="22">
        <f>IF(OR(747953.45327="",12435.1661="",11560.58506=""),"-",(11560.58506-12435.1661)/747953.45327*100)</f>
        <v>-0.11692987527183597</v>
      </c>
      <c r="G17" s="22">
        <f>IF(OR(857110.78655="",17262.7641="",11560.58506=""),"-",(17262.7641-11560.58506)/857110.78655*100)</f>
        <v>0.6652791132115057</v>
      </c>
    </row>
    <row r="18" spans="1:7" s="23" customFormat="1" ht="15.75">
      <c r="A18" s="34" t="s">
        <v>10</v>
      </c>
      <c r="B18" s="22">
        <f>IF(16718.34905="","-",16718.34905)</f>
        <v>16718.34905</v>
      </c>
      <c r="C18" s="22" t="s">
        <v>183</v>
      </c>
      <c r="D18" s="22">
        <f>IF(9610.33651="","-",9610.33651/857110.78655*100)</f>
        <v>1.121247878431568</v>
      </c>
      <c r="E18" s="22">
        <f>IF(16718.34905="","-",16718.34905/1101136.29843*100)</f>
        <v>1.5182815309818611</v>
      </c>
      <c r="F18" s="22">
        <f>IF(OR(747953.45327="",8134.74117="",9610.33651=""),"-",(9610.33651-8134.74117)/747953.45327*100)</f>
        <v>0.19728438093958917</v>
      </c>
      <c r="G18" s="22">
        <f>IF(OR(857110.78655="",16718.34905="",9610.33651=""),"-",(16718.34905-9610.33651)/857110.78655*100)</f>
        <v>0.8292991584682795</v>
      </c>
    </row>
    <row r="19" spans="1:7" s="23" customFormat="1" ht="15.75">
      <c r="A19" s="34" t="s">
        <v>9</v>
      </c>
      <c r="B19" s="22">
        <f>IF(14674.69833="","-",14674.69833)</f>
        <v>14674.69833</v>
      </c>
      <c r="C19" s="22">
        <f>IF(OR(11452.49214="",14674.69833=""),"-",14674.69833/11452.49214*100)</f>
        <v>128.13541498750155</v>
      </c>
      <c r="D19" s="22">
        <f>IF(11452.49214="","-",11452.49214/857110.78655*100)</f>
        <v>1.3361740768772734</v>
      </c>
      <c r="E19" s="22">
        <f>IF(14674.69833="","-",14674.69833/1101136.29843*100)</f>
        <v>1.3326868209615088</v>
      </c>
      <c r="F19" s="22">
        <f>IF(OR(747953.45327="",6689.56905="",11452.49214=""),"-",(11452.49214-6689.56905)/747953.45327*100)</f>
        <v>0.6367940503753053</v>
      </c>
      <c r="G19" s="22">
        <f>IF(OR(857110.78655="",14674.69833="",11452.49214=""),"-",(14674.69833-11452.49214)/857110.78655*100)</f>
        <v>0.3759381214848391</v>
      </c>
    </row>
    <row r="20" spans="1:9" s="23" customFormat="1" ht="15.75">
      <c r="A20" s="34" t="s">
        <v>108</v>
      </c>
      <c r="B20" s="22">
        <f>IF(13011.89975="","-",13011.89975)</f>
        <v>13011.89975</v>
      </c>
      <c r="C20" s="22">
        <f>IF(OR(9925.63687="",13011.89975=""),"-",13011.89975/9925.63687*100)</f>
        <v>131.0938524189632</v>
      </c>
      <c r="D20" s="22">
        <f>IF(9925.63687="","-",9925.63687/857110.78655*100)</f>
        <v>1.1580342968208561</v>
      </c>
      <c r="E20" s="22">
        <f>IF(13011.89975="","-",13011.89975/1101136.29843*100)</f>
        <v>1.181679304238028</v>
      </c>
      <c r="F20" s="22">
        <f>IF(OR(747953.45327="",1176.02012="",9925.63687=""),"-",(9925.63687-1176.02012)/747953.45327*100)</f>
        <v>1.1698076547072935</v>
      </c>
      <c r="G20" s="22">
        <f>IF(OR(857110.78655="",13011.89975="",9925.63687=""),"-",(13011.89975-9925.63687)/857110.78655*100)</f>
        <v>0.36007747521445543</v>
      </c>
      <c r="I20" s="23" t="s">
        <v>212</v>
      </c>
    </row>
    <row r="21" spans="1:7" s="23" customFormat="1" ht="15.75">
      <c r="A21" s="34" t="s">
        <v>112</v>
      </c>
      <c r="B21" s="22">
        <f>IF(9625.89369="","-",9625.89369)</f>
        <v>9625.89369</v>
      </c>
      <c r="C21" s="22" t="s">
        <v>307</v>
      </c>
      <c r="D21" s="22">
        <f>IF(3381.77866="","-",3381.77866/857110.78655*100)</f>
        <v>0.39455560623757496</v>
      </c>
      <c r="E21" s="22">
        <f>IF(9625.89369="","-",9625.89369/1101136.29843*100)</f>
        <v>0.8741782196922032</v>
      </c>
      <c r="F21" s="22">
        <f>IF(OR(747953.45327="",2872.40197="",3381.77866=""),"-",(3381.77866-2872.40197)/747953.45327*100)</f>
        <v>0.06810272588127521</v>
      </c>
      <c r="G21" s="22">
        <f>IF(OR(857110.78655="",9625.89369="",3381.77866=""),"-",(9625.89369-3381.77866)/857110.78655*100)</f>
        <v>0.7285073444395099</v>
      </c>
    </row>
    <row r="22" spans="1:7" s="14" customFormat="1" ht="15.75">
      <c r="A22" s="34" t="s">
        <v>119</v>
      </c>
      <c r="B22" s="22">
        <f>IF(9225.32515="","-",9225.32515)</f>
        <v>9225.32515</v>
      </c>
      <c r="C22" s="22" t="s">
        <v>263</v>
      </c>
      <c r="D22" s="22">
        <f>IF(45.43539="","-",45.43539/857110.78655*100)</f>
        <v>0.005300993840351058</v>
      </c>
      <c r="E22" s="22">
        <f>IF(9225.32515="","-",9225.32515/1101136.29843*100)</f>
        <v>0.8378004760313023</v>
      </c>
      <c r="F22" s="22">
        <f>IF(OR(747953.45327="",264.23755="",45.43539=""),"-",(45.43539-264.23755)/747953.45327*100)</f>
        <v>-0.02925344605916482</v>
      </c>
      <c r="G22" s="22">
        <f>IF(OR(857110.78655="",9225.32515="",45.43539=""),"-",(9225.32515-45.43539)/857110.78655*100)</f>
        <v>1.0710272118905935</v>
      </c>
    </row>
    <row r="23" spans="1:7" s="14" customFormat="1" ht="15.75">
      <c r="A23" s="34" t="s">
        <v>109</v>
      </c>
      <c r="B23" s="22">
        <f>IF(6372.6917="","-",6372.6917)</f>
        <v>6372.6917</v>
      </c>
      <c r="C23" s="22">
        <f>IF(OR(4832.40137="",6372.6917=""),"-",6372.6917/4832.40137*100)</f>
        <v>131.8742217805472</v>
      </c>
      <c r="D23" s="22">
        <f>IF(4832.40137="","-",4832.40137/857110.78655*100)</f>
        <v>0.563801254847246</v>
      </c>
      <c r="E23" s="22">
        <f>IF(6372.6917="","-",6372.6917/1101136.29843*100)</f>
        <v>0.5787377737965939</v>
      </c>
      <c r="F23" s="22">
        <f>IF(OR(747953.45327="",3835.69213="",4832.40137=""),"-",(4832.40137-3835.69213)/747953.45327*100)</f>
        <v>0.1332581908195566</v>
      </c>
      <c r="G23" s="22">
        <f>IF(OR(857110.78655="",6372.6917="",4832.40137=""),"-",(6372.6917-4832.40137)/857110.78655*100)</f>
        <v>0.17970726237151924</v>
      </c>
    </row>
    <row r="24" spans="1:7" s="23" customFormat="1" ht="15.75">
      <c r="A24" s="34" t="s">
        <v>111</v>
      </c>
      <c r="B24" s="22">
        <f>IF(4831.81173="","-",4831.81173)</f>
        <v>4831.81173</v>
      </c>
      <c r="C24" s="22">
        <f>IF(OR(3712.95067="",4831.81173=""),"-",4831.81173/3712.95067*100)</f>
        <v>130.13401360379507</v>
      </c>
      <c r="D24" s="22">
        <f>IF(3712.95067="","-",3712.95067/857110.78655*100)</f>
        <v>0.43319378641181094</v>
      </c>
      <c r="E24" s="22">
        <f>IF(4831.81173="","-",4831.81173/1101136.29843*100)</f>
        <v>0.43880232963795646</v>
      </c>
      <c r="F24" s="22">
        <f>IF(OR(747953.45327="",3556.04763="",3712.95067=""),"-",(3712.95067-3556.04763)/747953.45327*100)</f>
        <v>0.020977647648263546</v>
      </c>
      <c r="G24" s="22">
        <f>IF(OR(857110.78655="",4831.81173="",3712.95067=""),"-",(4831.81173-3712.95067)/857110.78655*100)</f>
        <v>0.1305386745281301</v>
      </c>
    </row>
    <row r="25" spans="1:7" s="23" customFormat="1" ht="15.75">
      <c r="A25" s="34" t="s">
        <v>110</v>
      </c>
      <c r="B25" s="22">
        <f>IF(3313.31876="","-",3313.31876)</f>
        <v>3313.31876</v>
      </c>
      <c r="C25" s="22">
        <f>IF(OR(2261.64776="",3313.31876=""),"-",3313.31876/2261.64776*100)</f>
        <v>146.50021186323022</v>
      </c>
      <c r="D25" s="22">
        <f>IF(2261.64776="","-",2261.64776/857110.78655*100)</f>
        <v>0.26386877816617765</v>
      </c>
      <c r="E25" s="22">
        <f>IF(3313.31876="","-",3313.31876/1101136.29843*100)</f>
        <v>0.3008999671270604</v>
      </c>
      <c r="F25" s="22">
        <f>IF(OR(747953.45327="",1644.00906="",2261.64776=""),"-",(2261.64776-1644.00906)/747953.45327*100)</f>
        <v>0.08257715734845887</v>
      </c>
      <c r="G25" s="22">
        <f>IF(OR(857110.78655="",3313.31876="",2261.64776=""),"-",(3313.31876-2261.64776)/857110.78655*100)</f>
        <v>0.12269954088818956</v>
      </c>
    </row>
    <row r="26" spans="1:7" s="14" customFormat="1" ht="15.75">
      <c r="A26" s="34" t="s">
        <v>113</v>
      </c>
      <c r="B26" s="22">
        <f>IF(2733.35037="","-",2733.35037)</f>
        <v>2733.35037</v>
      </c>
      <c r="C26" s="22">
        <f>IF(OR(1895.26392="",2733.35037=""),"-",2733.35037/1895.26392*100)</f>
        <v>144.22003928613805</v>
      </c>
      <c r="D26" s="22">
        <f>IF(1895.26392="","-",1895.26392/857110.78655*100)</f>
        <v>0.22112239744744352</v>
      </c>
      <c r="E26" s="22">
        <f>IF(2733.35037="","-",2733.35037/1101136.29843*100)</f>
        <v>0.24822997606174738</v>
      </c>
      <c r="F26" s="22">
        <f>IF(OR(747953.45327="",2130.17383="",1895.26392=""),"-",(1895.26392-2130.17383)/747953.45327*100)</f>
        <v>-0.03140702258582943</v>
      </c>
      <c r="G26" s="22">
        <f>IF(OR(857110.78655="",2733.35037="",1895.26392=""),"-",(2733.35037-1895.26392)/857110.78655*100)</f>
        <v>0.09778041102170984</v>
      </c>
    </row>
    <row r="27" spans="1:7" s="14" customFormat="1" ht="15.75">
      <c r="A27" s="34" t="s">
        <v>114</v>
      </c>
      <c r="B27" s="22">
        <f>IF(1578.8191="","-",1578.8191)</f>
        <v>1578.8191</v>
      </c>
      <c r="C27" s="22">
        <f>IF(OR(1122.86065="",1578.8191=""),"-",1578.8191/1122.86065*100)</f>
        <v>140.6068598093628</v>
      </c>
      <c r="D27" s="22">
        <f>IF(1122.86065="","-",1122.86065/857110.78655*100)</f>
        <v>0.13100531082098305</v>
      </c>
      <c r="E27" s="22">
        <f>IF(1578.8191="","-",1578.8191/1101136.29843*100)</f>
        <v>0.14338089682912825</v>
      </c>
      <c r="F27" s="22">
        <f>IF(OR(747953.45327="",1790.26739="",1122.86065=""),"-",(1122.86065-1790.26739)/747953.45327*100)</f>
        <v>-0.08923105269213538</v>
      </c>
      <c r="G27" s="22">
        <f>IF(OR(857110.78655="",1578.8191="",1122.86065=""),"-",(1578.8191-1122.86065)/857110.78655*100)</f>
        <v>0.05319714290789657</v>
      </c>
    </row>
    <row r="28" spans="1:7" s="14" customFormat="1" ht="15.75">
      <c r="A28" s="34" t="s">
        <v>115</v>
      </c>
      <c r="B28" s="22">
        <f>IF(1331.79005="","-",1331.79005)</f>
        <v>1331.79005</v>
      </c>
      <c r="C28" s="22">
        <f>IF(OR(3237.26658="",1331.79005=""),"-",1331.79005/3237.26658*100)</f>
        <v>41.13933829941185</v>
      </c>
      <c r="D28" s="22">
        <f>IF(3237.26658="","-",3237.26658/857110.78655*100)</f>
        <v>0.37769523272837174</v>
      </c>
      <c r="E28" s="22">
        <f>IF(1331.79005="","-",1331.79005/1101136.29843*100)</f>
        <v>0.12094688476793165</v>
      </c>
      <c r="F28" s="22">
        <f>IF(OR(747953.45327="",870.40596="",3237.26658=""),"-",(3237.26658-870.40596)/747953.45327*100)</f>
        <v>0.31644490838998757</v>
      </c>
      <c r="G28" s="22">
        <f>IF(OR(857110.78655="",1331.79005="",3237.26658=""),"-",(1331.79005-3237.26658)/857110.78655*100)</f>
        <v>-0.22231391319549598</v>
      </c>
    </row>
    <row r="29" spans="1:7" s="14" customFormat="1" ht="15.75">
      <c r="A29" s="34" t="s">
        <v>116</v>
      </c>
      <c r="B29" s="22">
        <f>IF(996.46242="","-",996.46242)</f>
        <v>996.46242</v>
      </c>
      <c r="C29" s="22">
        <f>IF(OR(670.76797="",996.46242=""),"-",996.46242/670.76797*100)</f>
        <v>148.55545651650598</v>
      </c>
      <c r="D29" s="22">
        <f>IF(670.76797="","-",670.76797/857110.78655*100)</f>
        <v>0.078259191288438</v>
      </c>
      <c r="E29" s="22">
        <f>IF(996.46242="","-",996.46242/1101136.29843*100)</f>
        <v>0.09049401254147701</v>
      </c>
      <c r="F29" s="22">
        <f>IF(OR(747953.45327="",581.21141="",670.76797=""),"-",(670.76797-581.21141)/747953.45327*100)</f>
        <v>0.011973547231911958</v>
      </c>
      <c r="G29" s="22">
        <f>IF(OR(857110.78655="",996.46242="",670.76797=""),"-",(996.46242-670.76797)/857110.78655*100)</f>
        <v>0.03799910759622676</v>
      </c>
    </row>
    <row r="30" spans="1:7" s="14" customFormat="1" ht="15.75">
      <c r="A30" s="34" t="s">
        <v>123</v>
      </c>
      <c r="B30" s="22">
        <f>IF(573.68424="","-",573.68424)</f>
        <v>573.68424</v>
      </c>
      <c r="C30" s="22" t="s">
        <v>231</v>
      </c>
      <c r="D30" s="22">
        <f>IF(15.78333="","-",15.78333/857110.78655*100)</f>
        <v>0.0018414573994022733</v>
      </c>
      <c r="E30" s="22">
        <f>IF(573.68424="","-",573.68424/1101136.29843*100)</f>
        <v>0.05209929423069233</v>
      </c>
      <c r="F30" s="22">
        <f>IF(OR(747953.45327="",27.28626="",15.78333=""),"-",(15.78333-27.28626)/747953.45327*100)</f>
        <v>-0.0015379205684137155</v>
      </c>
      <c r="G30" s="22">
        <f>IF(OR(857110.78655="",573.68424="",15.78333=""),"-",(573.68424-15.78333)/857110.78655*100)</f>
        <v>0.06509087492010633</v>
      </c>
    </row>
    <row r="31" spans="1:7" s="14" customFormat="1" ht="15.75">
      <c r="A31" s="34" t="s">
        <v>118</v>
      </c>
      <c r="B31" s="22">
        <f>IF(510.55984="","-",510.55984)</f>
        <v>510.55984</v>
      </c>
      <c r="C31" s="22">
        <f>IF(OR(662.34347="",510.55984=""),"-",510.55984/662.34347*100)</f>
        <v>77.08384895830558</v>
      </c>
      <c r="D31" s="22">
        <f>IF(662.34347="","-",662.34347/857110.78655*100)</f>
        <v>0.07727629617940432</v>
      </c>
      <c r="E31" s="22">
        <f>IF(510.55984="","-",510.55984/1101136.29843*100)</f>
        <v>0.04636663424209666</v>
      </c>
      <c r="F31" s="22">
        <f>IF(OR(747953.45327="",267.28274="",662.34347=""),"-",(662.34347-267.28274)/747953.45327*100)</f>
        <v>0.05281889244214626</v>
      </c>
      <c r="G31" s="22">
        <f>IF(OR(857110.78655="",510.55984="",662.34347=""),"-",(510.55984-662.34347)/857110.78655*100)</f>
        <v>-0.017708752751899436</v>
      </c>
    </row>
    <row r="32" spans="1:7" s="14" customFormat="1" ht="15.75">
      <c r="A32" s="34" t="s">
        <v>262</v>
      </c>
      <c r="B32" s="22">
        <f>IF(344.94919="","-",344.94919)</f>
        <v>344.94919</v>
      </c>
      <c r="C32" s="22" t="s">
        <v>277</v>
      </c>
      <c r="D32" s="22">
        <f>IF(76.57058="","-",76.57058/857110.78655*100)</f>
        <v>0.008933568588981143</v>
      </c>
      <c r="E32" s="22">
        <f>IF(344.94919="","-",344.94919/1101136.29843*100)</f>
        <v>0.031326656880881</v>
      </c>
      <c r="F32" s="22">
        <f>IF(OR(747953.45327="",100.98878="",76.57058=""),"-",(76.57058-100.98878)/747953.45327*100)</f>
        <v>-0.003264668395238412</v>
      </c>
      <c r="G32" s="22">
        <f>IF(OR(857110.78655="",344.94919="",76.57058=""),"-",(344.94919-76.57058)/857110.78655*100)</f>
        <v>0.031312009393822275</v>
      </c>
    </row>
    <row r="33" spans="1:7" s="14" customFormat="1" ht="15.75">
      <c r="A33" s="34" t="s">
        <v>121</v>
      </c>
      <c r="B33" s="22">
        <f>IF(316.25774="","-",316.25774)</f>
        <v>316.25774</v>
      </c>
      <c r="C33" s="22" t="s">
        <v>22</v>
      </c>
      <c r="D33" s="22">
        <f>IF(152.98353="","-",152.98353/857110.78655*100)</f>
        <v>0.017848746323189064</v>
      </c>
      <c r="E33" s="22">
        <f>IF(316.25774="","-",316.25774/1101136.29843*100)</f>
        <v>0.028721034848358036</v>
      </c>
      <c r="F33" s="22">
        <f>IF(OR(747953.45327="",164.27991="",152.98353=""),"-",(152.98353-164.27991)/747953.45327*100)</f>
        <v>-0.0015103052135949126</v>
      </c>
      <c r="G33" s="22">
        <f>IF(OR(857110.78655="",316.25774="",152.98353=""),"-",(316.25774-152.98353)/857110.78655*100)</f>
        <v>0.019049370578709354</v>
      </c>
    </row>
    <row r="34" spans="1:7" s="14" customFormat="1" ht="15.75">
      <c r="A34" s="34" t="s">
        <v>117</v>
      </c>
      <c r="B34" s="22">
        <f>IF(31.64438="","-",31.64438)</f>
        <v>31.64438</v>
      </c>
      <c r="C34" s="22">
        <f>IF(OR(21.23394="",31.64438=""),"-",31.64438/21.23394*100)</f>
        <v>149.02735902993038</v>
      </c>
      <c r="D34" s="22">
        <f>IF(21.23394="","-",21.23394/857110.78655*100)</f>
        <v>0.002477385693099233</v>
      </c>
      <c r="E34" s="22">
        <f>IF(31.64438="","-",31.64438/1101136.29843*100)</f>
        <v>0.002873793193914192</v>
      </c>
      <c r="F34" s="22">
        <f>IF(OR(747953.45327="",24.96638="",21.23394=""),"-",(21.23394-24.96638)/747953.45327*100)</f>
        <v>-0.0004990203579757584</v>
      </c>
      <c r="G34" s="22">
        <f>IF(OR(857110.78655="",31.64438="",21.23394=""),"-",(31.64438-21.23394)/857110.78655*100)</f>
        <v>0.0012145967783118903</v>
      </c>
    </row>
    <row r="35" spans="1:7" s="14" customFormat="1" ht="15.75">
      <c r="A35" s="34" t="s">
        <v>122</v>
      </c>
      <c r="B35" s="22">
        <f>IF(23.07654="","-",23.07654)</f>
        <v>23.07654</v>
      </c>
      <c r="C35" s="22">
        <f>IF(OR(16.01366="",23.07654=""),"-",23.07654/16.01366*100)</f>
        <v>144.1053450616536</v>
      </c>
      <c r="D35" s="22">
        <f>IF(16.01366="","-",16.01366/857110.78655*100)</f>
        <v>0.0018683302382014576</v>
      </c>
      <c r="E35" s="22">
        <f>IF(23.07654="","-",23.07654/1101136.29843*100)</f>
        <v>0.0020957024151235892</v>
      </c>
      <c r="F35" s="22">
        <f>IF(OR(747953.45327="",89.31444="",16.01366=""),"-",(16.01366-89.31444)/747953.45327*100)</f>
        <v>-0.009800179366715152</v>
      </c>
      <c r="G35" s="22">
        <f>IF(OR(857110.78655="",23.07654="",16.01366=""),"-",(23.07654-16.01366)/857110.78655*100)</f>
        <v>0.0008240334984499677</v>
      </c>
    </row>
    <row r="36" spans="1:7" s="14" customFormat="1" ht="14.25" customHeight="1">
      <c r="A36" s="13" t="s">
        <v>11</v>
      </c>
      <c r="B36" s="21">
        <f>IF(177513.39461="","-",177513.39461)</f>
        <v>177513.39461</v>
      </c>
      <c r="C36" s="21">
        <f>IF(177809.06675="","-",177513.39461/177809.06675*100)</f>
        <v>99.83371368771891</v>
      </c>
      <c r="D36" s="21">
        <f>IF(177809.06675="","-",177809.06675/857110.78655*100)</f>
        <v>20.745167315617188</v>
      </c>
      <c r="E36" s="21">
        <f>IF(177513.39461="","-",177513.39461/1101136.29843*100)</f>
        <v>16.120928432120397</v>
      </c>
      <c r="F36" s="21">
        <f>IF(747953.45327="","-",(177809.06675-153379.8824)/747953.45327*100)</f>
        <v>3.266136982615337</v>
      </c>
      <c r="G36" s="21">
        <f>IF(857110.78655="","-",(177513.39461-177809.06675)/857110.78655*100)</f>
        <v>-0.03449637370568332</v>
      </c>
    </row>
    <row r="37" spans="1:7" s="24" customFormat="1" ht="14.25" customHeight="1">
      <c r="A37" s="34" t="s">
        <v>264</v>
      </c>
      <c r="B37" s="22">
        <f>IF(90381.67705="","-",90381.67705)</f>
        <v>90381.67705</v>
      </c>
      <c r="C37" s="22">
        <f>IF(OR(97953.93086="",90381.67705=""),"-",90381.67705/97953.93086*100)</f>
        <v>92.26957637787646</v>
      </c>
      <c r="D37" s="22">
        <f>IF(97953.93086="","-",97953.93086/857110.78655*100)</f>
        <v>11.428386201307688</v>
      </c>
      <c r="E37" s="22">
        <f>IF(90381.67705="","-",90381.67705/1101136.29843*100)</f>
        <v>8.20803720473716</v>
      </c>
      <c r="F37" s="22">
        <f>IF(OR(747953.45327="",77271.93417="",97953.93086=""),"-",(97953.93086-77271.93417)/747953.45327*100)</f>
        <v>2.7651448896424986</v>
      </c>
      <c r="G37" s="22">
        <f>IF(OR(857110.78655="",90381.67705="",97953.93086=""),"-",(90381.67705-97953.93086)/857110.78655*100)</f>
        <v>-0.8834626665333961</v>
      </c>
    </row>
    <row r="38" spans="1:7" s="24" customFormat="1" ht="14.25" customHeight="1">
      <c r="A38" s="34" t="s">
        <v>12</v>
      </c>
      <c r="B38" s="22">
        <f>IF(42137.03195="","-",42137.03195)</f>
        <v>42137.03195</v>
      </c>
      <c r="C38" s="22">
        <f>IF(OR(48148.69356="",42137.03195=""),"-",42137.03195/48148.69356*100)</f>
        <v>87.51438270592196</v>
      </c>
      <c r="D38" s="22">
        <f>IF(48148.69356="","-",48148.69356/857110.78655*100)</f>
        <v>5.617557766809323</v>
      </c>
      <c r="E38" s="22">
        <f>IF(42137.03195="","-",42137.03195/1101136.29843*100)</f>
        <v>3.8266863066887336</v>
      </c>
      <c r="F38" s="22">
        <f>IF(OR(747953.45327="",46852.8="",48148.69356=""),"-",(48148.69356-46852.8)/747953.45327*100)</f>
        <v>0.17325858371726757</v>
      </c>
      <c r="G38" s="22">
        <f>IF(OR(857110.78655="",42137.03195="",48148.69356=""),"-",(42137.03195-48148.69356)/857110.78655*100)</f>
        <v>-0.7013867640375694</v>
      </c>
    </row>
    <row r="39" spans="1:7" s="24" customFormat="1" ht="14.25" customHeight="1">
      <c r="A39" s="34" t="s">
        <v>13</v>
      </c>
      <c r="B39" s="22">
        <f>IF(34340.74629="","-",34340.74629)</f>
        <v>34340.74629</v>
      </c>
      <c r="C39" s="22">
        <f>IF(OR(21512.88227="",34340.74629=""),"-",34340.74629/21512.88227*100)</f>
        <v>159.6287557334362</v>
      </c>
      <c r="D39" s="22">
        <f>IF(21512.88227="","-",21512.88227/857110.78655*100)</f>
        <v>2.5099301756068884</v>
      </c>
      <c r="E39" s="22">
        <f>IF(34340.74629="","-",34340.74629/1101136.29843*100)</f>
        <v>3.118664450437519</v>
      </c>
      <c r="F39" s="22">
        <f>IF(OR(747953.45327="",19500.26721="",21512.88227=""),"-",(21512.88227-19500.26721)/747953.45327*100)</f>
        <v>0.26908292905139813</v>
      </c>
      <c r="G39" s="22">
        <f>IF(OR(857110.78655="",34340.74629="",21512.88227=""),"-",(34340.74629-21512.88227)/857110.78655*100)</f>
        <v>1.496640133492438</v>
      </c>
    </row>
    <row r="40" spans="1:7" s="20" customFormat="1" ht="14.25" customHeight="1">
      <c r="A40" s="34" t="s">
        <v>14</v>
      </c>
      <c r="B40" s="22">
        <f>IF(6014.58794="","-",6014.58794)</f>
        <v>6014.58794</v>
      </c>
      <c r="C40" s="22">
        <f>IF(OR(4719.15547="",6014.58794=""),"-",6014.58794/4719.15547*100)</f>
        <v>127.45051478458709</v>
      </c>
      <c r="D40" s="22">
        <f>IF(4719.15547="","-",4719.15547/857110.78655*100)</f>
        <v>0.5505887388251537</v>
      </c>
      <c r="E40" s="22">
        <f>IF(6014.58794="","-",6014.58794/1101136.29843*100)</f>
        <v>0.5462164809729367</v>
      </c>
      <c r="F40" s="22">
        <f>IF(OR(747953.45327="",4758.40169="",4719.15547=""),"-",(4719.15547-4758.40169)/747953.45327*100)</f>
        <v>-0.0052471473764066825</v>
      </c>
      <c r="G40" s="22">
        <f>IF(OR(857110.78655="",6014.58794="",4719.15547=""),"-",(6014.58794-4719.15547)/857110.78655*100)</f>
        <v>0.15113944315347044</v>
      </c>
    </row>
    <row r="41" spans="1:7" s="24" customFormat="1" ht="14.25" customHeight="1">
      <c r="A41" s="34" t="s">
        <v>15</v>
      </c>
      <c r="B41" s="22">
        <f>IF(1906.05453="","-",1906.05453)</f>
        <v>1906.05453</v>
      </c>
      <c r="C41" s="22">
        <f>IF(OR(2084.34082="",1906.05453=""),"-",1906.05453/2084.34082*100)</f>
        <v>91.4463945488531</v>
      </c>
      <c r="D41" s="22">
        <f>IF(2084.34082="","-",2084.34082/857110.78655*100)</f>
        <v>0.24318219449667478</v>
      </c>
      <c r="E41" s="22">
        <f>IF(1906.05453="","-",1906.05453/1101136.29843*100)</f>
        <v>0.1730988736560272</v>
      </c>
      <c r="F41" s="22">
        <f>IF(OR(747953.45327="",1565.61177="",2084.34082=""),"-",(2084.34082-1565.61177)/747953.45327*100)</f>
        <v>0.0693531191990829</v>
      </c>
      <c r="G41" s="22">
        <f>IF(OR(857110.78655="",1906.05453="",2084.34082=""),"-",(1906.05453-2084.34082)/857110.78655*100)</f>
        <v>-0.020800845444686206</v>
      </c>
    </row>
    <row r="42" spans="1:7" s="20" customFormat="1" ht="14.25" customHeight="1">
      <c r="A42" s="34" t="s">
        <v>16</v>
      </c>
      <c r="B42" s="22">
        <f>IF(1250.10496="","-",1250.10496)</f>
        <v>1250.10496</v>
      </c>
      <c r="C42" s="22">
        <f>IF(OR(2282.09998="",1250.10496=""),"-",1250.10496/2282.09998*100)</f>
        <v>54.77871131658306</v>
      </c>
      <c r="D42" s="22">
        <f>IF(2282.09998="","-",2282.09998/857110.78655*100)</f>
        <v>0.2662549597801465</v>
      </c>
      <c r="E42" s="22">
        <f>IF(1250.10496="","-",1250.10496/1101136.29843*100)</f>
        <v>0.11352863054123269</v>
      </c>
      <c r="F42" s="22">
        <f>IF(OR(747953.45327="",2050.80104="",2282.09998=""),"-",(2282.09998-2050.80104)/747953.45327*100)</f>
        <v>0.030924242543272897</v>
      </c>
      <c r="G42" s="22">
        <f>IF(OR(857110.78655="",1250.10496="",2282.09998=""),"-",(1250.10496-2282.09998)/857110.78655*100)</f>
        <v>-0.1204039239960957</v>
      </c>
    </row>
    <row r="43" spans="1:7" s="20" customFormat="1" ht="14.25" customHeight="1">
      <c r="A43" s="34" t="s">
        <v>18</v>
      </c>
      <c r="B43" s="22">
        <f>IF(746.14186="","-",746.14186)</f>
        <v>746.14186</v>
      </c>
      <c r="C43" s="22" t="s">
        <v>227</v>
      </c>
      <c r="D43" s="22">
        <f>IF(280.0313="","-",280.0313/857110.78655*100)</f>
        <v>0.032671540761628745</v>
      </c>
      <c r="E43" s="22">
        <f>IF(746.14186="","-",746.14186/1101136.29843*100)</f>
        <v>0.06776108108177425</v>
      </c>
      <c r="F43" s="22">
        <f>IF(OR(747953.45327="",338.57644="",280.0313=""),"-",(280.0313-338.57644)/747953.45327*100)</f>
        <v>-0.007827377458322408</v>
      </c>
      <c r="G43" s="22">
        <f>IF(OR(857110.78655="",746.14186="",280.0313=""),"-",(746.14186-280.0313)/857110.78655*100)</f>
        <v>0.05438160005851346</v>
      </c>
    </row>
    <row r="44" spans="1:7" s="20" customFormat="1" ht="14.25" customHeight="1">
      <c r="A44" s="34" t="s">
        <v>265</v>
      </c>
      <c r="B44" s="22">
        <f>IF(355.23328="","-",355.23328)</f>
        <v>355.23328</v>
      </c>
      <c r="C44" s="22">
        <f>IF(OR(370.51621="",355.23328=""),"-",355.23328/370.51621*100)</f>
        <v>95.87523309708905</v>
      </c>
      <c r="D44" s="22">
        <f>IF(370.51621="","-",370.51621/857110.78655*100)</f>
        <v>0.043228508591215326</v>
      </c>
      <c r="E44" s="22">
        <f>IF(355.23328="","-",355.23328/1101136.29843*100)</f>
        <v>0.032260609382007616</v>
      </c>
      <c r="F44" s="22">
        <f>IF(OR(747953.45327="",417.73311="",370.51621=""),"-",(370.51621-417.73311)/747953.45327*100)</f>
        <v>-0.006312812621369824</v>
      </c>
      <c r="G44" s="22">
        <f>IF(OR(857110.78655="",355.23328="",370.51621=""),"-",(355.23328-370.51621)/857110.78655*100)</f>
        <v>-0.0017830752149924653</v>
      </c>
    </row>
    <row r="45" spans="1:7" s="20" customFormat="1" ht="14.25" customHeight="1">
      <c r="A45" s="34" t="s">
        <v>19</v>
      </c>
      <c r="B45" s="22">
        <f>IF(213.82839="","-",213.82839)</f>
        <v>213.82839</v>
      </c>
      <c r="C45" s="22">
        <f>IF(OR(258.5789="",213.82839=""),"-",213.82839/258.5789*100)</f>
        <v>82.6936729949737</v>
      </c>
      <c r="D45" s="22">
        <f>IF(258.5789="","-",258.5789/857110.78655*100)</f>
        <v>0.030168667114880098</v>
      </c>
      <c r="E45" s="22">
        <f>IF(213.82839="","-",213.82839/1101136.29843*100)</f>
        <v>0.01941888486510494</v>
      </c>
      <c r="F45" s="22">
        <f>IF(OR(747953.45327="",239.61437="",258.5789=""),"-",(258.5789-239.61437)/747953.45327*100)</f>
        <v>0.0025355227544024794</v>
      </c>
      <c r="G45" s="22">
        <f>IF(OR(857110.78655="",213.82839="",258.5789=""),"-",(213.82839-258.5789)/857110.78655*100)</f>
        <v>-0.005221088183958985</v>
      </c>
    </row>
    <row r="46" spans="1:7" s="20" customFormat="1" ht="14.25" customHeight="1">
      <c r="A46" s="34" t="s">
        <v>17</v>
      </c>
      <c r="B46" s="22">
        <f>IF(167.98836="","-",167.98836)</f>
        <v>167.98836</v>
      </c>
      <c r="C46" s="22">
        <f>IF(OR(198.83738="",167.98836=""),"-",167.98836/198.83738*100)</f>
        <v>84.4853015061856</v>
      </c>
      <c r="D46" s="22">
        <f>IF(198.83738="","-",198.83738/857110.78655*100)</f>
        <v>0.023198562323588343</v>
      </c>
      <c r="E46" s="22">
        <f>IF(167.98836="","-",167.98836/1101136.29843*100)</f>
        <v>0.015255909757903521</v>
      </c>
      <c r="F46" s="22">
        <f>IF(OR(747953.45327="",384.1426="",198.83738=""),"-",(198.83738-384.1426)/747953.45327*100)</f>
        <v>-0.024774966836486757</v>
      </c>
      <c r="G46" s="22">
        <f>IF(OR(857110.78655="",167.98836="",198.83738=""),"-",(167.98836-198.83738)/857110.78655*100)</f>
        <v>-0.003599186999404354</v>
      </c>
    </row>
    <row r="47" spans="1:7" s="14" customFormat="1" ht="15.75">
      <c r="A47" s="13" t="s">
        <v>20</v>
      </c>
      <c r="B47" s="21">
        <f>IF(176599.87148="","-",176599.87148)</f>
        <v>176599.87148</v>
      </c>
      <c r="C47" s="21">
        <f>IF(137301.89741="","-",176599.87148/137301.89741*100)</f>
        <v>128.62158120994607</v>
      </c>
      <c r="D47" s="21">
        <f>IF(137301.89741="","-",137301.89741/857110.78655*100)</f>
        <v>16.019154065562613</v>
      </c>
      <c r="E47" s="21">
        <f>IF(176599.87148="","-",176599.87148/1101136.29843*100)</f>
        <v>16.03796657432836</v>
      </c>
      <c r="F47" s="21">
        <f>IF(747953.45327="","-",(137301.89741-125023.23724)/747953.45327*100)</f>
        <v>1.641634264313984</v>
      </c>
      <c r="G47" s="21">
        <f>IF(857110.78655="","-",(176599.87148-137301.89741)/857110.78655*100)</f>
        <v>4.584935190021381</v>
      </c>
    </row>
    <row r="48" spans="1:7" s="14" customFormat="1" ht="15.75">
      <c r="A48" s="34" t="s">
        <v>124</v>
      </c>
      <c r="B48" s="22">
        <f>IF(44853.53034="","-",44853.53034)</f>
        <v>44853.53034</v>
      </c>
      <c r="C48" s="81">
        <f>IF(OR(43151.5009="",44853.53034=""),"-",44853.53034/43151.5009*100)</f>
        <v>103.94431110042804</v>
      </c>
      <c r="D48" s="81">
        <f>IF(43151.5009="","-",43151.5009/857110.78655*100)</f>
        <v>5.03453014209415</v>
      </c>
      <c r="E48" s="81">
        <f>IF(44853.53034="","-",44853.53034/1101136.29843*100)</f>
        <v>4.073385865487511</v>
      </c>
      <c r="F48" s="64">
        <f>IF(OR(747953.45327="",28459.28728="",43151.5009=""),"-",(43151.5009-28459.28728)/747953.45327*100)</f>
        <v>1.9643219181309572</v>
      </c>
      <c r="G48" s="64">
        <f>IF(OR(857110.78655="",44853.53034="",43151.5009=""),"-",(44853.53034-43151.5009)/857110.78655*100)</f>
        <v>0.1985775312490143</v>
      </c>
    </row>
    <row r="49" spans="1:7" s="23" customFormat="1" ht="15.75">
      <c r="A49" s="34" t="s">
        <v>266</v>
      </c>
      <c r="B49" s="22">
        <f>IF(27050.69669="","-",27050.69669)</f>
        <v>27050.69669</v>
      </c>
      <c r="C49" s="81" t="s">
        <v>169</v>
      </c>
      <c r="D49" s="81">
        <f>IF(10844.81202="","-",10844.81202/857110.78655*100)</f>
        <v>1.2652754101546198</v>
      </c>
      <c r="E49" s="81">
        <f>IF(27050.69669="","-",27050.69669/1101136.29843*100)</f>
        <v>2.4566165631419907</v>
      </c>
      <c r="F49" s="64">
        <f>IF(OR(747953.45327="",13262.37079="",10844.81202=""),"-",(10844.81202-13262.37079)/747953.45327*100)</f>
        <v>-0.32322315772868004</v>
      </c>
      <c r="G49" s="64">
        <f>IF(OR(857110.78655="",27050.69669="",10844.81202=""),"-",(27050.69669-10844.81202)/857110.78655*100)</f>
        <v>1.8907572888250685</v>
      </c>
    </row>
    <row r="50" spans="1:7" s="25" customFormat="1" ht="15.75">
      <c r="A50" s="34" t="s">
        <v>126</v>
      </c>
      <c r="B50" s="22">
        <f>IF(9533.33172="","-",9533.33172)</f>
        <v>9533.33172</v>
      </c>
      <c r="C50" s="81">
        <f>IF(OR(6685.68895="",9533.33172=""),"-",9533.33172/6685.68895*100)</f>
        <v>142.59310882238995</v>
      </c>
      <c r="D50" s="81">
        <f>IF(6685.68895="","-",6685.68895/857110.78655*100)</f>
        <v>0.7800262293875574</v>
      </c>
      <c r="E50" s="81">
        <f>IF(9533.33172="","-",9533.33172/1101136.29843*100)</f>
        <v>0.8657721785752248</v>
      </c>
      <c r="F50" s="64">
        <f>IF(OR(747953.45327="",4883.11163="",6685.68895=""),"-",(6685.68895-4883.11163)/747953.45327*100)</f>
        <v>0.24100126981421877</v>
      </c>
      <c r="G50" s="64">
        <f>IF(OR(857110.78655="",9533.33172="",6685.68895=""),"-",(9533.33172-6685.68895)/857110.78655*100)</f>
        <v>0.3322374207262274</v>
      </c>
    </row>
    <row r="51" spans="1:7" s="23" customFormat="1" ht="15.75">
      <c r="A51" s="34" t="s">
        <v>135</v>
      </c>
      <c r="B51" s="22">
        <f>IF(9466.79211="","-",9466.79211)</f>
        <v>9466.79211</v>
      </c>
      <c r="C51" s="81" t="s">
        <v>301</v>
      </c>
      <c r="D51" s="81">
        <f>IF(2629.28099="","-",2629.28099/857110.78655*100)</f>
        <v>0.3067609265055749</v>
      </c>
      <c r="E51" s="81">
        <f>IF(9466.79211="","-",9466.79211/1101136.29843*100)</f>
        <v>0.8597293653381286</v>
      </c>
      <c r="F51" s="64">
        <f>IF(OR(747953.45327="",929.07527="",2629.28099=""),"-",(2629.28099-929.07527)/747953.45327*100)</f>
        <v>0.2273143753219963</v>
      </c>
      <c r="G51" s="64">
        <f>IF(OR(857110.78655="",9466.79211="",2629.28099=""),"-",(9466.79211-2629.28099)/857110.78655*100)</f>
        <v>0.7977394786410299</v>
      </c>
    </row>
    <row r="52" spans="1:7" s="14" customFormat="1" ht="15.75">
      <c r="A52" s="34" t="s">
        <v>21</v>
      </c>
      <c r="B52" s="22">
        <f>IF(9022.0032="","-",9022.0032)</f>
        <v>9022.0032</v>
      </c>
      <c r="C52" s="81">
        <f>IF(OR(6781.09898="",9022.0032=""),"-",9022.0032/6781.09898*100)</f>
        <v>133.04632813367368</v>
      </c>
      <c r="D52" s="81">
        <f>IF(6781.09898="","-",6781.09898/857110.78655*100)</f>
        <v>0.7911578160502383</v>
      </c>
      <c r="E52" s="81">
        <f>IF(9022.0032="","-",9022.0032/1101136.29843*100)</f>
        <v>0.8193357364445774</v>
      </c>
      <c r="F52" s="64">
        <f>IF(OR(747953.45327="",7469.88237="",6781.09898=""),"-",(6781.09898-7469.88237)/747953.45327*100)</f>
        <v>-0.09208907145072835</v>
      </c>
      <c r="G52" s="64">
        <f>IF(OR(857110.78655="",9022.0032="",6781.09898=""),"-",(9022.0032-6781.09898)/857110.78655*100)</f>
        <v>0.26144860794716823</v>
      </c>
    </row>
    <row r="53" spans="1:7" s="14" customFormat="1" ht="15.75">
      <c r="A53" s="34" t="s">
        <v>144</v>
      </c>
      <c r="B53" s="22">
        <f>IF(8341.17329="","-",8341.17329)</f>
        <v>8341.17329</v>
      </c>
      <c r="C53" s="81" t="s">
        <v>204</v>
      </c>
      <c r="D53" s="81">
        <f>IF(1747.30038="","-",1747.30038/857110.78655*100)</f>
        <v>0.20385933853815408</v>
      </c>
      <c r="E53" s="81">
        <f>IF(8341.17329="","-",8341.17329/1101136.29843*100)</f>
        <v>0.7575059783146596</v>
      </c>
      <c r="F53" s="64">
        <f>IF(OR(747953.45327="",607.66396="",1747.30038=""),"-",(1747.30038-607.66396)/747953.45327*100)</f>
        <v>0.15236729171014443</v>
      </c>
      <c r="G53" s="64">
        <f>IF(OR(857110.78655="",8341.17329="",1747.30038=""),"-",(8341.17329-1747.30038)/857110.78655*100)</f>
        <v>0.7693139572471527</v>
      </c>
    </row>
    <row r="54" spans="1:7" s="25" customFormat="1" ht="15.75">
      <c r="A54" s="34" t="s">
        <v>127</v>
      </c>
      <c r="B54" s="22">
        <f>IF(6641.40357="","-",6641.40357)</f>
        <v>6641.40357</v>
      </c>
      <c r="C54" s="81">
        <f>IF(OR(4710.37529="",6641.40357=""),"-",6641.40357/4710.37529*100)</f>
        <v>140.99521080835154</v>
      </c>
      <c r="D54" s="81">
        <f>IF(4710.37529="","-",4710.37529/857110.78655*100)</f>
        <v>0.5495643461634604</v>
      </c>
      <c r="E54" s="81">
        <f>IF(6641.40357="","-",6641.40357/1101136.29843*100)</f>
        <v>0.6031409172024673</v>
      </c>
      <c r="F54" s="64">
        <f>IF(OR(747953.45327="",5073.67981="",4710.37529=""),"-",(4710.37529-5073.67981)/747953.45327*100)</f>
        <v>-0.04857314561643613</v>
      </c>
      <c r="G54" s="64">
        <f>IF(OR(857110.78655="",6641.40357="",4710.37529=""),"-",(6641.40357-4710.37529)/857110.78655*100)</f>
        <v>0.22529506223724943</v>
      </c>
    </row>
    <row r="55" spans="1:7" s="14" customFormat="1" ht="15.75">
      <c r="A55" s="34" t="s">
        <v>128</v>
      </c>
      <c r="B55" s="22">
        <f>IF(6326.14391="","-",6326.14391)</f>
        <v>6326.14391</v>
      </c>
      <c r="C55" s="81">
        <f>IF(OR(4887.67584="",6326.14391=""),"-",6326.14391/4887.67584*100)</f>
        <v>129.43051292861517</v>
      </c>
      <c r="D55" s="81">
        <f>IF(4887.67584="","-",4887.67584/857110.78655*100)</f>
        <v>0.5702501843050689</v>
      </c>
      <c r="E55" s="81">
        <f>IF(6326.14391="","-",6326.14391/1101136.29843*100)</f>
        <v>0.5745105232676295</v>
      </c>
      <c r="F55" s="64">
        <f>IF(OR(747953.45327="",6573.71341="",4887.67584=""),"-",(4887.67584-6573.71341)/747953.45327*100)</f>
        <v>-0.22542011974525453</v>
      </c>
      <c r="G55" s="64">
        <f>IF(OR(857110.78655="",6326.14391="",4887.67584=""),"-",(6326.14391-4887.67584)/857110.78655*100)</f>
        <v>0.1678275542173551</v>
      </c>
    </row>
    <row r="56" spans="1:7" s="23" customFormat="1" ht="15.75">
      <c r="A56" s="34" t="s">
        <v>125</v>
      </c>
      <c r="B56" s="22">
        <f>IF(6176.40729="","-",6176.40729)</f>
        <v>6176.40729</v>
      </c>
      <c r="C56" s="81">
        <f>IF(OR(8185.49344="",6176.40729=""),"-",6176.40729/8185.49344*100)</f>
        <v>75.4555279443239</v>
      </c>
      <c r="D56" s="81">
        <f>IF(8185.49344="","-",8185.49344/857110.78655*100)</f>
        <v>0.9550099670251315</v>
      </c>
      <c r="E56" s="81">
        <f>IF(6176.40729="","-",6176.40729/1101136.29843*100)</f>
        <v>0.5609121503674269</v>
      </c>
      <c r="F56" s="64">
        <f>IF(OR(747953.45327="",21706.23868="",8185.49344=""),"-",(8185.49344-21706.23868)/747953.45327*100)</f>
        <v>-1.80769875195953</v>
      </c>
      <c r="G56" s="64">
        <f>IF(OR(857110.78655="",6176.40729="",8185.49344=""),"-",(6176.40729-8185.49344)/857110.78655*100)</f>
        <v>-0.2344021544854049</v>
      </c>
    </row>
    <row r="57" spans="1:7" s="14" customFormat="1" ht="15.75">
      <c r="A57" s="34" t="s">
        <v>267</v>
      </c>
      <c r="B57" s="22">
        <f>IF(2549.68555="","-",2549.68555)</f>
        <v>2549.68555</v>
      </c>
      <c r="C57" s="81">
        <f>IF(OR(1614.45821="",2549.68555=""),"-",2549.68555/1614.45821*100)</f>
        <v>157.9282470247403</v>
      </c>
      <c r="D57" s="81">
        <f>IF(1614.45821="","-",1614.45821/857110.78655*100)</f>
        <v>0.18836050547192826</v>
      </c>
      <c r="E57" s="81">
        <f>IF(2549.68555="","-",2549.68555/1101136.29843*100)</f>
        <v>0.23155040421747441</v>
      </c>
      <c r="F57" s="64">
        <f>IF(OR(747953.45327="",413.38412="",1614.45821=""),"-",(1614.45821-413.38412)/747953.45327*100)</f>
        <v>0.1605813951054024</v>
      </c>
      <c r="G57" s="64">
        <f>IF(OR(857110.78655="",2549.68555="",1614.45821=""),"-",(2549.68555-1614.45821)/857110.78655*100)</f>
        <v>0.10911393890682802</v>
      </c>
    </row>
    <row r="58" spans="1:7" s="23" customFormat="1" ht="15.75">
      <c r="A58" s="34" t="s">
        <v>134</v>
      </c>
      <c r="B58" s="22">
        <f>IF(2455.12395="","-",2455.12395)</f>
        <v>2455.12395</v>
      </c>
      <c r="C58" s="81" t="s">
        <v>194</v>
      </c>
      <c r="D58" s="81">
        <f>IF(1086.09662="","-",1086.09662/857110.78655*100)</f>
        <v>0.12671601350062373</v>
      </c>
      <c r="E58" s="81">
        <f>IF(2455.12395="","-",2455.12395/1101136.29843*100)</f>
        <v>0.22296276614443786</v>
      </c>
      <c r="F58" s="64">
        <f>IF(OR(747953.45327="",2258.31355="",1086.09662=""),"-",(1086.09662-2258.31355)/747953.45327*100)</f>
        <v>-0.1567232459286269</v>
      </c>
      <c r="G58" s="64">
        <f>IF(OR(857110.78655="",2455.12395="",1086.09662=""),"-",(2455.12395-1086.09662)/857110.78655*100)</f>
        <v>0.15972583141912627</v>
      </c>
    </row>
    <row r="59" spans="1:7" s="14" customFormat="1" ht="15.75">
      <c r="A59" s="34" t="s">
        <v>129</v>
      </c>
      <c r="B59" s="22">
        <f>IF(2181.79273="","-",2181.79273)</f>
        <v>2181.79273</v>
      </c>
      <c r="C59" s="81">
        <f>IF(OR(2145.9951="",2181.79273=""),"-",2181.79273/2145.9951*100)</f>
        <v>101.6681133148906</v>
      </c>
      <c r="D59" s="81">
        <f>IF(2145.9951="","-",2145.9951/857110.78655*100)</f>
        <v>0.25037546297112345</v>
      </c>
      <c r="E59" s="81">
        <f>IF(2181.79273="","-",2181.79273/1101136.29843*100)</f>
        <v>0.19814011518018254</v>
      </c>
      <c r="F59" s="64">
        <f>IF(OR(747953.45327="",2208.39847="",2145.9951=""),"-",(2145.9951-2208.39847)/747953.45327*100)</f>
        <v>-0.008343215707765883</v>
      </c>
      <c r="G59" s="64">
        <f>IF(OR(857110.78655="",2181.79273="",2145.9951=""),"-",(2181.79273-2145.9951)/857110.78655*100)</f>
        <v>0.004176546435040315</v>
      </c>
    </row>
    <row r="60" spans="1:7" s="23" customFormat="1" ht="15.75">
      <c r="A60" s="34" t="s">
        <v>219</v>
      </c>
      <c r="B60" s="22">
        <f>IF(1814.36371="","-",1814.36371)</f>
        <v>1814.36371</v>
      </c>
      <c r="C60" s="81">
        <f>IF(OR(3580.22734="",1814.36371=""),"-",1814.36371/3580.22734*100)</f>
        <v>50.677332406494614</v>
      </c>
      <c r="D60" s="81">
        <f>IF(3580.22734="","-",3580.22734/857110.78655*100)</f>
        <v>0.4177088185310273</v>
      </c>
      <c r="E60" s="81">
        <f>IF(1814.36371="","-",1814.36371/1101136.29843*100)</f>
        <v>0.16477194626922387</v>
      </c>
      <c r="F60" s="64">
        <f>IF(OR(747953.45327="",3259.28604="",3580.22734=""),"-",(3580.22734-3259.28604)/747953.45327*100)</f>
        <v>0.04290926107725916</v>
      </c>
      <c r="G60" s="64">
        <f>IF(OR(857110.78655="",1814.36371="",3580.22734=""),"-",(1814.36371-3580.22734)/857110.78655*100)</f>
        <v>-0.20602513207281722</v>
      </c>
    </row>
    <row r="61" spans="1:7" s="14" customFormat="1" ht="15.75">
      <c r="A61" s="34" t="s">
        <v>137</v>
      </c>
      <c r="B61" s="22">
        <f>IF(1733.54102="","-",1733.54102)</f>
        <v>1733.54102</v>
      </c>
      <c r="C61" s="81">
        <f>IF(OR(2158.94454="",1733.54102=""),"-",1733.54102/2158.94454*100)</f>
        <v>80.2957643367717</v>
      </c>
      <c r="D61" s="81">
        <f>IF(2158.94454="","-",2158.94454/857110.78655*100)</f>
        <v>0.2518862874996682</v>
      </c>
      <c r="E61" s="81">
        <f>IF(1733.54102="","-",1733.54102/1101136.29843*100)</f>
        <v>0.15743201113901</v>
      </c>
      <c r="F61" s="64">
        <f>IF(OR(747953.45327="",973.56712="",2158.94454=""),"-",(2158.94454-973.56712)/747953.45327*100)</f>
        <v>0.15848277921809345</v>
      </c>
      <c r="G61" s="64">
        <f>IF(OR(857110.78655="",1733.54102="",2158.94454=""),"-",(1733.54102-2158.94454)/857110.78655*100)</f>
        <v>-0.049632267692291364</v>
      </c>
    </row>
    <row r="62" spans="1:7" s="14" customFormat="1" ht="15.75">
      <c r="A62" s="34" t="s">
        <v>200</v>
      </c>
      <c r="B62" s="22">
        <f>IF(1732.39958="","-",1732.39958)</f>
        <v>1732.39958</v>
      </c>
      <c r="C62" s="81" t="str">
        <f>IF(OR(""="",1732.39958=""),"-",1732.39958/""*100)</f>
        <v>-</v>
      </c>
      <c r="D62" s="81" t="str">
        <f>IF(""="","-",""/857110.78655*100)</f>
        <v>-</v>
      </c>
      <c r="E62" s="81">
        <f>IF(1732.39958="","-",1732.39958/1101136.29843*100)</f>
        <v>0.157328350947113</v>
      </c>
      <c r="F62" s="64" t="str">
        <f>IF(OR(747953.45327="",""="",""=""),"-",(""-"")/747953.45327*100)</f>
        <v>-</v>
      </c>
      <c r="G62" s="64" t="str">
        <f>IF(OR(857110.78655="",1732.39958="",""=""),"-",(1732.39958-"")/857110.78655*100)</f>
        <v>-</v>
      </c>
    </row>
    <row r="63" spans="1:7" s="23" customFormat="1" ht="15.75">
      <c r="A63" s="34" t="s">
        <v>132</v>
      </c>
      <c r="B63" s="22">
        <f>IF(1714.78677="","-",1714.78677)</f>
        <v>1714.78677</v>
      </c>
      <c r="C63" s="81" t="s">
        <v>196</v>
      </c>
      <c r="D63" s="81">
        <f>IF(459.50868="","-",459.50868/857110.78655*100)</f>
        <v>0.053611351905812746</v>
      </c>
      <c r="E63" s="81">
        <f>IF(1714.78677="","-",1714.78677/1101136.29843*100)</f>
        <v>0.15572883869553142</v>
      </c>
      <c r="F63" s="64">
        <f>IF(OR(747953.45327="",1686.00911="",459.50868=""),"-",(459.50868-1686.00911)/747953.45327*100)</f>
        <v>-0.16398084996303264</v>
      </c>
      <c r="G63" s="64">
        <f>IF(OR(857110.78655="",1714.78677="",459.50868=""),"-",(1714.78677-459.50868)/857110.78655*100)</f>
        <v>0.14645459019979007</v>
      </c>
    </row>
    <row r="64" spans="1:7" s="25" customFormat="1" ht="15.75">
      <c r="A64" s="34" t="s">
        <v>130</v>
      </c>
      <c r="B64" s="22">
        <f>IF(1281.35108="","-",1281.35108)</f>
        <v>1281.35108</v>
      </c>
      <c r="C64" s="81">
        <f>IF(OR(1295.78675="",1281.35108=""),"-",1281.35108/1295.78675*100)</f>
        <v>98.88595326352889</v>
      </c>
      <c r="D64" s="81">
        <f>IF(1295.78675="","-",1295.78675/857110.78655*100)</f>
        <v>0.15118077736668523</v>
      </c>
      <c r="E64" s="81">
        <f>IF(1281.35108="","-",1281.35108/1101136.29843*100)</f>
        <v>0.11636625564218982</v>
      </c>
      <c r="F64" s="64">
        <f>IF(OR(747953.45327="",2250.44463="",1295.78675=""),"-",(1295.78675-2250.44463)/747953.45327*100)</f>
        <v>-0.12763600138836215</v>
      </c>
      <c r="G64" s="64">
        <f>IF(OR(857110.78655="",1281.35108="",1295.78675=""),"-",(1281.35108-1295.78675)/857110.78655*100)</f>
        <v>-0.0016842245164252125</v>
      </c>
    </row>
    <row r="65" spans="1:7" s="14" customFormat="1" ht="15.75">
      <c r="A65" s="34" t="s">
        <v>156</v>
      </c>
      <c r="B65" s="22">
        <f>IF(1026.08906="","-",1026.08906)</f>
        <v>1026.08906</v>
      </c>
      <c r="C65" s="81" t="s">
        <v>226</v>
      </c>
      <c r="D65" s="81">
        <f>IF(307.58063="","-",307.58063/857110.78655*100)</f>
        <v>0.03588574952347273</v>
      </c>
      <c r="E65" s="81">
        <f>IF(1026.08906="","-",1026.08906/1101136.29843*100)</f>
        <v>0.09318456411463301</v>
      </c>
      <c r="F65" s="64" t="str">
        <f>IF(OR(747953.45327="",""="",307.58063=""),"-",(307.58063-"")/747953.45327*100)</f>
        <v>-</v>
      </c>
      <c r="G65" s="64">
        <f>IF(OR(857110.78655="",1026.08906="",307.58063=""),"-",(1026.08906-307.58063)/857110.78655*100)</f>
        <v>0.08382912002450754</v>
      </c>
    </row>
    <row r="66" spans="1:7" s="14" customFormat="1" ht="15.75">
      <c r="A66" s="34" t="s">
        <v>215</v>
      </c>
      <c r="B66" s="22">
        <f>IF(998.97132="","-",998.97132)</f>
        <v>998.97132</v>
      </c>
      <c r="C66" s="81" t="str">
        <f>IF(OR(""="",998.97132=""),"-",998.97132/""*100)</f>
        <v>-</v>
      </c>
      <c r="D66" s="81" t="str">
        <f>IF(""="","-",""/857110.78655*100)</f>
        <v>-</v>
      </c>
      <c r="E66" s="81">
        <f>IF(998.97132="","-",998.97132/1101136.29843*100)</f>
        <v>0.09072185899459796</v>
      </c>
      <c r="F66" s="64" t="str">
        <f>IF(OR(747953.45327="",""="",""=""),"-",(""-"")/747953.45327*100)</f>
        <v>-</v>
      </c>
      <c r="G66" s="64" t="str">
        <f>IF(OR(857110.78655="",998.97132="",""=""),"-",(998.97132-"")/857110.78655*100)</f>
        <v>-</v>
      </c>
    </row>
    <row r="67" spans="1:7" s="14" customFormat="1" ht="15.75">
      <c r="A67" s="34" t="s">
        <v>186</v>
      </c>
      <c r="B67" s="22">
        <f>IF(946.56279="","-",946.56279)</f>
        <v>946.56279</v>
      </c>
      <c r="C67" s="81">
        <f>IF(OR(736.69009="",946.56279=""),"-",946.56279/736.69009*100)</f>
        <v>128.48860095294617</v>
      </c>
      <c r="D67" s="81">
        <f>IF(736.69009="","-",736.69009/857110.78655*100)</f>
        <v>0.08595039306007204</v>
      </c>
      <c r="E67" s="81">
        <f>IF(946.56279="","-",946.56279/1101136.29843*100)</f>
        <v>0.0859623637282332</v>
      </c>
      <c r="F67" s="64">
        <f>IF(OR(747953.45327="",27.55442="",736.69009=""),"-",(736.69009-27.55442)/747953.45327*100)</f>
        <v>0.09481013382580274</v>
      </c>
      <c r="G67" s="64">
        <f>IF(OR(857110.78655="",946.56279="",736.69009=""),"-",(946.56279-736.69009)/857110.78655*100)</f>
        <v>0.024486064496372646</v>
      </c>
    </row>
    <row r="68" spans="1:7" s="14" customFormat="1" ht="15.75">
      <c r="A68" s="34" t="s">
        <v>153</v>
      </c>
      <c r="B68" s="22">
        <f>IF(844.96311="","-",844.96311)</f>
        <v>844.96311</v>
      </c>
      <c r="C68" s="81" t="s">
        <v>203</v>
      </c>
      <c r="D68" s="81">
        <f>IF(196.74905="","-",196.74905/857110.78655*100)</f>
        <v>0.02295491470734426</v>
      </c>
      <c r="E68" s="81">
        <f>IF(844.96311="","-",844.96311/1101136.29843*100)</f>
        <v>0.07673556045738827</v>
      </c>
      <c r="F68" s="64">
        <f>IF(OR(747953.45327="",86.25611="",196.74905=""),"-",(196.74905-86.25611)/747953.45327*100)</f>
        <v>0.01477270270187705</v>
      </c>
      <c r="G68" s="64">
        <f>IF(OR(857110.78655="",844.96311="",196.74905=""),"-",(844.96311-196.74905)/857110.78655*100)</f>
        <v>0.07562780333323761</v>
      </c>
    </row>
    <row r="69" spans="1:7" s="14" customFormat="1" ht="15.75">
      <c r="A69" s="34" t="s">
        <v>133</v>
      </c>
      <c r="B69" s="22">
        <f>IF(804.56963="","-",804.56963)</f>
        <v>804.56963</v>
      </c>
      <c r="C69" s="81">
        <f>IF(OR(1813.16707="",804.56963=""),"-",804.56963/1813.16707*100)</f>
        <v>44.373717310010484</v>
      </c>
      <c r="D69" s="81">
        <f>IF(1813.16707="","-",1813.16707/857110.78655*100)</f>
        <v>0.2115440732344847</v>
      </c>
      <c r="E69" s="81">
        <f>IF(804.56963="","-",804.56963/1101136.29843*100)</f>
        <v>0.0730672153072381</v>
      </c>
      <c r="F69" s="64">
        <f>IF(OR(747953.45327="",1230.89586="",1813.16707=""),"-",(1813.16707-1230.89586)/747953.45327*100)</f>
        <v>0.07784858903376286</v>
      </c>
      <c r="G69" s="64">
        <f>IF(OR(857110.78655="",804.56963="",1813.16707=""),"-",(804.56963-1813.16707)/857110.78655*100)</f>
        <v>-0.11767410419133292</v>
      </c>
    </row>
    <row r="70" spans="1:7" s="14" customFormat="1" ht="15.75">
      <c r="A70" s="34" t="s">
        <v>146</v>
      </c>
      <c r="B70" s="22">
        <f>IF(726.20234="","-",726.20234)</f>
        <v>726.20234</v>
      </c>
      <c r="C70" s="81" t="s">
        <v>193</v>
      </c>
      <c r="D70" s="81">
        <f>IF(248.42403="","-",248.42403/857110.78655*100)</f>
        <v>0.02898388795221492</v>
      </c>
      <c r="E70" s="81">
        <f>IF(726.20234="","-",726.20234/1101136.29843*100)</f>
        <v>0.06595026801272642</v>
      </c>
      <c r="F70" s="64">
        <f>IF(OR(747953.45327="",401.69221="",248.42403=""),"-",(248.42403-401.69221)/747953.45327*100)</f>
        <v>-0.020491673556679534</v>
      </c>
      <c r="G70" s="64">
        <f>IF(OR(857110.78655="",726.20234="",248.42403=""),"-",(726.20234-248.42403)/857110.78655*100)</f>
        <v>0.05574288849206177</v>
      </c>
    </row>
    <row r="71" spans="1:7" s="14" customFormat="1" ht="15.75">
      <c r="A71" s="34" t="s">
        <v>268</v>
      </c>
      <c r="B71" s="22">
        <f>IF(629.672="","-",629.672)</f>
        <v>629.672</v>
      </c>
      <c r="C71" s="81">
        <f>IF(OR(483.0084="",629.672=""),"-",629.672/483.0084*100)</f>
        <v>130.3646064954564</v>
      </c>
      <c r="D71" s="81">
        <f>IF(483.0084="","-",483.0084/857110.78655*100)</f>
        <v>0.0563530884897834</v>
      </c>
      <c r="E71" s="81">
        <f>IF(629.672="","-",629.672/1101136.29843*100)</f>
        <v>0.0571838382675956</v>
      </c>
      <c r="F71" s="64">
        <f>IF(OR(747953.45327="",389.78164="",483.0084=""),"-",(483.0084-389.78164)/747953.45327*100)</f>
        <v>0.01246424621644825</v>
      </c>
      <c r="G71" s="64">
        <f>IF(OR(857110.78655="",629.672="",483.0084=""),"-",(629.672-483.0084)/857110.78655*100)</f>
        <v>0.017111393567959064</v>
      </c>
    </row>
    <row r="72" spans="1:7" s="14" customFormat="1" ht="15.75">
      <c r="A72" s="34" t="s">
        <v>139</v>
      </c>
      <c r="B72" s="22">
        <f>IF(564.85876="","-",564.85876)</f>
        <v>564.85876</v>
      </c>
      <c r="C72" s="81" t="s">
        <v>169</v>
      </c>
      <c r="D72" s="81">
        <f>IF(224.26461="","-",224.26461/857110.78655*100)</f>
        <v>0.026165183488437806</v>
      </c>
      <c r="E72" s="81">
        <f>IF(564.85876="","-",564.85876/1101136.29843*100)</f>
        <v>0.05129780580345736</v>
      </c>
      <c r="F72" s="64">
        <f>IF(OR(747953.45327="",506.49287="",224.26461=""),"-",(224.26461-506.49287)/747953.45327*100)</f>
        <v>-0.037733398885467784</v>
      </c>
      <c r="G72" s="64">
        <f>IF(OR(857110.78655="",564.85876="",224.26461=""),"-",(564.85876-224.26461)/857110.78655*100)</f>
        <v>0.03973747097162815</v>
      </c>
    </row>
    <row r="73" spans="1:7" s="14" customFormat="1" ht="15.75">
      <c r="A73" s="34" t="s">
        <v>145</v>
      </c>
      <c r="B73" s="22">
        <f>IF(500.9855="","-",500.9855)</f>
        <v>500.9855</v>
      </c>
      <c r="C73" s="81">
        <f>IF(OR(401.52824="",500.9855=""),"-",500.9855/401.52824*100)</f>
        <v>124.769679960742</v>
      </c>
      <c r="D73" s="81">
        <f>IF(401.52824="","-",401.52824/857110.78655*100)</f>
        <v>0.046846714135545024</v>
      </c>
      <c r="E73" s="81">
        <f>IF(500.9855="","-",500.9855/1101136.29843*100)</f>
        <v>0.045497137885137845</v>
      </c>
      <c r="F73" s="64">
        <f>IF(OR(747953.45327="",172.25054="",401.52824=""),"-",(401.52824-172.25054)/747953.45327*100)</f>
        <v>0.03065400647561876</v>
      </c>
      <c r="G73" s="64">
        <f>IF(OR(857110.78655="",500.9855="",401.52824=""),"-",(500.9855-401.52824)/857110.78655*100)</f>
        <v>0.011603781163498184</v>
      </c>
    </row>
    <row r="74" spans="1:7" ht="15.75">
      <c r="A74" s="34" t="s">
        <v>229</v>
      </c>
      <c r="B74" s="22">
        <f>IF(443.63577="","-",443.63577)</f>
        <v>443.63577</v>
      </c>
      <c r="C74" s="81" t="s">
        <v>272</v>
      </c>
      <c r="D74" s="81">
        <f>IF(0.19842="","-",0.19842/857110.78655*100)</f>
        <v>2.314986616825468E-05</v>
      </c>
      <c r="E74" s="81">
        <f>IF(443.63577="","-",443.63577/1101136.29843*100)</f>
        <v>0.04028890616289154</v>
      </c>
      <c r="F74" s="64" t="str">
        <f>IF(OR(747953.45327="",""="",0.19842=""),"-",(0.19842-"")/747953.45327*100)</f>
        <v>-</v>
      </c>
      <c r="G74" s="64">
        <f>IF(OR(857110.78655="",443.63577="",0.19842=""),"-",(443.63577-0.19842)/857110.78655*100)</f>
        <v>0.05173629324919619</v>
      </c>
    </row>
    <row r="75" spans="1:7" ht="15.75">
      <c r="A75" s="34" t="s">
        <v>106</v>
      </c>
      <c r="B75" s="22">
        <f>IF(421.97563="","-",421.97563)</f>
        <v>421.97563</v>
      </c>
      <c r="C75" s="81" t="str">
        <f>IF(OR(""="",421.97563=""),"-",421.97563/""*100)</f>
        <v>-</v>
      </c>
      <c r="D75" s="81" t="str">
        <f>IF(""="","-",""/857110.78655*100)</f>
        <v>-</v>
      </c>
      <c r="E75" s="81">
        <f>IF(421.97563="","-",421.97563/1101136.29843*100)</f>
        <v>0.0383218345087391</v>
      </c>
      <c r="F75" s="64" t="str">
        <f>IF(OR(747953.45327="",25.40138="",""=""),"-",(""-25.40138)/747953.45327*100)</f>
        <v>-</v>
      </c>
      <c r="G75" s="64" t="str">
        <f>IF(OR(857110.78655="",421.97563="",""=""),"-",(421.97563-"")/857110.78655*100)</f>
        <v>-</v>
      </c>
    </row>
    <row r="76" spans="1:7" ht="15.75">
      <c r="A76" s="34" t="s">
        <v>192</v>
      </c>
      <c r="B76" s="22">
        <f>IF(421.13265="","-",421.13265)</f>
        <v>421.13265</v>
      </c>
      <c r="C76" s="81" t="str">
        <f>IF(OR(""="",421.13265=""),"-",421.13265/""*100)</f>
        <v>-</v>
      </c>
      <c r="D76" s="81" t="str">
        <f>IF(""="","-",""/857110.78655*100)</f>
        <v>-</v>
      </c>
      <c r="E76" s="81">
        <f>IF(421.13265="","-",421.13265/1101136.29843*100)</f>
        <v>0.038245279044969355</v>
      </c>
      <c r="F76" s="64" t="str">
        <f>IF(OR(747953.45327="",""="",""=""),"-",(""-"")/747953.45327*100)</f>
        <v>-</v>
      </c>
      <c r="G76" s="64" t="str">
        <f>IF(OR(857110.78655="",421.13265="",""=""),"-",(421.13265-"")/857110.78655*100)</f>
        <v>-</v>
      </c>
    </row>
    <row r="77" spans="1:7" ht="15.75">
      <c r="A77" s="34" t="s">
        <v>199</v>
      </c>
      <c r="B77" s="22">
        <f>IF(410.44875="","-",410.44875)</f>
        <v>410.44875</v>
      </c>
      <c r="C77" s="81" t="str">
        <f>IF(OR(""="",410.44875=""),"-",410.44875/""*100)</f>
        <v>-</v>
      </c>
      <c r="D77" s="81" t="str">
        <f>IF(""="","-",""/857110.78655*100)</f>
        <v>-</v>
      </c>
      <c r="E77" s="81">
        <f>IF(410.44875="","-",410.44875/1101136.29843*100)</f>
        <v>0.03727501768720346</v>
      </c>
      <c r="F77" s="64" t="str">
        <f>IF(OR(747953.45327="",312.78758="",""=""),"-",(""-312.78758)/747953.45327*100)</f>
        <v>-</v>
      </c>
      <c r="G77" s="64" t="str">
        <f>IF(OR(857110.78655="",410.44875="",""=""),"-",(410.44875-"")/857110.78655*100)</f>
        <v>-</v>
      </c>
    </row>
    <row r="78" spans="1:7" ht="15.75">
      <c r="A78" s="34" t="s">
        <v>141</v>
      </c>
      <c r="B78" s="22">
        <f>IF(370.37336="","-",370.37336)</f>
        <v>370.37336</v>
      </c>
      <c r="C78" s="81">
        <f>IF(OR(291.285="",370.37336=""),"-",370.37336/291.285*100)</f>
        <v>127.1515388708653</v>
      </c>
      <c r="D78" s="81">
        <f>IF(291.285="","-",291.285/857110.78655*100)</f>
        <v>0.03398452155437993</v>
      </c>
      <c r="E78" s="81">
        <f>IF(370.37336="","-",370.37336/1101136.29843*100)</f>
        <v>0.03363555996910449</v>
      </c>
      <c r="F78" s="64">
        <f>IF(OR(747953.45327="",356.87102="",291.285=""),"-",(291.285-356.87102)/747953.45327*100)</f>
        <v>-0.00876873015469913</v>
      </c>
      <c r="G78" s="64">
        <f>IF(OR(857110.78655="",370.37336="",291.285=""),"-",(370.37336-291.285)/857110.78655*100)</f>
        <v>0.009227320579915058</v>
      </c>
    </row>
    <row r="79" spans="1:7" ht="15.75">
      <c r="A79" s="34" t="s">
        <v>155</v>
      </c>
      <c r="B79" s="22">
        <f>IF(318.69283="","-",318.69283)</f>
        <v>318.69283</v>
      </c>
      <c r="C79" s="81" t="s">
        <v>273</v>
      </c>
      <c r="D79" s="81">
        <f>IF(9.42962="","-",9.42962/857110.78655*100)</f>
        <v>0.0011001634967115093</v>
      </c>
      <c r="E79" s="81">
        <f>IF(318.69283="","-",318.69283/1101136.29843*100)</f>
        <v>0.028942178225746643</v>
      </c>
      <c r="F79" s="64">
        <f>IF(OR(747953.45327="",1.675="",9.42962=""),"-",(9.42962-1.675)/747953.45327*100)</f>
        <v>0.0010367784206486842</v>
      </c>
      <c r="G79" s="64">
        <f>IF(OR(857110.78655="",318.69283="",9.42962=""),"-",(318.69283-9.42962)/857110.78655*100)</f>
        <v>0.03608205786848524</v>
      </c>
    </row>
    <row r="80" spans="1:7" ht="15.75">
      <c r="A80" s="34" t="s">
        <v>143</v>
      </c>
      <c r="B80" s="22">
        <f>IF(279.67934="","-",279.67934)</f>
        <v>279.67934</v>
      </c>
      <c r="C80" s="81" t="str">
        <f>IF(OR(""="",279.67934=""),"-",279.67934/""*100)</f>
        <v>-</v>
      </c>
      <c r="D80" s="81" t="str">
        <f>IF(""="","-",""/857110.78655*100)</f>
        <v>-</v>
      </c>
      <c r="E80" s="81">
        <f>IF(279.67934="","-",279.67934/1101136.29843*100)</f>
        <v>0.025399157252264482</v>
      </c>
      <c r="F80" s="64" t="str">
        <f>IF(OR(747953.45327="",""="",""=""),"-",(""-"")/747953.45327*100)</f>
        <v>-</v>
      </c>
      <c r="G80" s="64" t="str">
        <f>IF(OR(857110.78655="",279.67934="",""=""),"-",(279.67934-"")/857110.78655*100)</f>
        <v>-</v>
      </c>
    </row>
    <row r="81" spans="1:7" ht="15.75">
      <c r="A81" s="34" t="s">
        <v>168</v>
      </c>
      <c r="B81" s="22">
        <f>IF(255.87693="","-",255.87693)</f>
        <v>255.87693</v>
      </c>
      <c r="C81" s="81" t="s">
        <v>166</v>
      </c>
      <c r="D81" s="81">
        <f>IF(119.40201="","-",119.40201/857110.78655*100)</f>
        <v>0.013930755728861035</v>
      </c>
      <c r="E81" s="81">
        <f>IF(255.87693="","-",255.87693/1101136.29843*100)</f>
        <v>0.02323753475067794</v>
      </c>
      <c r="F81" s="64">
        <f>IF(OR(747953.45327="",55.7389="",119.40201=""),"-",(119.40201-55.7389)/747953.45327*100)</f>
        <v>0.008511640627056316</v>
      </c>
      <c r="G81" s="64">
        <f>IF(OR(857110.78655="",255.87693="",119.40201=""),"-",(255.87693-119.40201)/857110.78655*100)</f>
        <v>0.015922669757702165</v>
      </c>
    </row>
    <row r="82" spans="1:7" ht="15.75">
      <c r="A82" s="34" t="s">
        <v>148</v>
      </c>
      <c r="B82" s="22">
        <f>IF(248.8358="","-",248.8358)</f>
        <v>248.8358</v>
      </c>
      <c r="C82" s="81">
        <f>IF(OR(164.58614="",248.8358=""),"-",248.8358/164.58614*100)</f>
        <v>151.18879390451713</v>
      </c>
      <c r="D82" s="81">
        <f>IF(164.58614="","-",164.58614/857110.78655*100)</f>
        <v>0.019202434805713275</v>
      </c>
      <c r="E82" s="81">
        <f>IF(248.8358="","-",248.8358/1101136.29843*100)</f>
        <v>0.02259809256626905</v>
      </c>
      <c r="F82" s="64">
        <f>IF(OR(747953.45327="",153.70082="",164.58614=""),"-",(164.58614-153.70082)/747953.45327*100)</f>
        <v>0.0014553472482024318</v>
      </c>
      <c r="G82" s="64">
        <f>IF(OR(857110.78655="",248.8358="",164.58614=""),"-",(248.8358-164.58614)/857110.78655*100)</f>
        <v>0.00982949477734583</v>
      </c>
    </row>
    <row r="83" spans="1:7" ht="15.75">
      <c r="A83" s="34" t="s">
        <v>179</v>
      </c>
      <c r="B83" s="22">
        <f>IF(228.31804="","-",228.31804)</f>
        <v>228.31804</v>
      </c>
      <c r="C83" s="81" t="s">
        <v>182</v>
      </c>
      <c r="D83" s="81">
        <f>IF(124.25417="","-",124.25417/857110.78655*100)</f>
        <v>0.01449686224346117</v>
      </c>
      <c r="E83" s="81">
        <f>IF(228.31804="","-",228.31804/1101136.29843*100)</f>
        <v>0.020734766470375723</v>
      </c>
      <c r="F83" s="64">
        <f>IF(OR(747953.45327="",250.2832="",124.25417=""),"-",(124.25417-250.2832)/747953.45327*100)</f>
        <v>-0.016849849338753622</v>
      </c>
      <c r="G83" s="64">
        <f>IF(OR(857110.78655="",228.31804="",124.25417=""),"-",(228.31804-124.25417)/857110.78655*100)</f>
        <v>0.012141239106192182</v>
      </c>
    </row>
    <row r="84" spans="1:7" ht="15.75">
      <c r="A84" s="34" t="s">
        <v>131</v>
      </c>
      <c r="B84" s="22">
        <f>IF(209.30433="","-",209.30433)</f>
        <v>209.30433</v>
      </c>
      <c r="C84" s="81" t="s">
        <v>234</v>
      </c>
      <c r="D84" s="81">
        <f>IF(51.02187="","-",51.02187/857110.78655*100)</f>
        <v>0.005952774227165045</v>
      </c>
      <c r="E84" s="81">
        <f>IF(209.30433="","-",209.30433/1101136.29843*100)</f>
        <v>0.019008031094645238</v>
      </c>
      <c r="F84" s="64">
        <f>IF(OR(747953.45327="",2034.99243="",51.02187=""),"-",(51.02187-2034.99243)/747953.45327*100)</f>
        <v>-0.2652532121251957</v>
      </c>
      <c r="G84" s="64">
        <f>IF(OR(857110.78655="",209.30433="",51.02187=""),"-",(209.30433-51.02187)/857110.78655*100)</f>
        <v>0.018466977954753168</v>
      </c>
    </row>
    <row r="85" spans="1:7" ht="15.75">
      <c r="A85" s="34" t="s">
        <v>216</v>
      </c>
      <c r="B85" s="22">
        <f>IF(205.76055="","-",205.76055)</f>
        <v>205.76055</v>
      </c>
      <c r="C85" s="81" t="s">
        <v>232</v>
      </c>
      <c r="D85" s="81">
        <f>IF(34.39184="","-",34.39184/857110.78655*100)</f>
        <v>0.00401253146497343</v>
      </c>
      <c r="E85" s="81">
        <f>IF(205.76055="","-",205.76055/1101136.29843*100)</f>
        <v>0.01868620172574216</v>
      </c>
      <c r="F85" s="64">
        <f>IF(OR(747953.45327="",105.59801="",34.39184=""),"-",(34.39184-105.59801)/747953.45327*100)</f>
        <v>-0.009520133865107732</v>
      </c>
      <c r="G85" s="64">
        <f>IF(OR(857110.78655="",205.76055="",34.39184=""),"-",(205.76055-34.39184)/857110.78655*100)</f>
        <v>0.019993764247184995</v>
      </c>
    </row>
    <row r="86" spans="1:7" ht="15.75">
      <c r="A86" s="34" t="s">
        <v>187</v>
      </c>
      <c r="B86" s="22">
        <f>IF(203.26985="","-",203.26985)</f>
        <v>203.26985</v>
      </c>
      <c r="C86" s="81">
        <f>IF(OR(266.17125="",203.26985=""),"-",203.26985/266.17125*100)</f>
        <v>76.36807130747592</v>
      </c>
      <c r="D86" s="81">
        <f>IF(266.17125="","-",266.17125/857110.78655*100)</f>
        <v>0.031054474424639943</v>
      </c>
      <c r="E86" s="81">
        <f>IF(203.26985="","-",203.26985/1101136.29843*100)</f>
        <v>0.01846000811069639</v>
      </c>
      <c r="F86" s="64">
        <f>IF(OR(747953.45327="",22.87527="",266.17125=""),"-",(266.17125-22.87527)/747953.45327*100)</f>
        <v>0.03252822470921513</v>
      </c>
      <c r="G86" s="64">
        <f>IF(OR(857110.78655="",203.26985="",266.17125=""),"-",(203.26985-266.17125)/857110.78655*100)</f>
        <v>-0.0073387712518690395</v>
      </c>
    </row>
    <row r="87" spans="1:7" ht="15.75">
      <c r="A87" s="34" t="s">
        <v>220</v>
      </c>
      <c r="B87" s="22">
        <f>IF(180.69192="","-",180.69192)</f>
        <v>180.69192</v>
      </c>
      <c r="C87" s="81" t="str">
        <f>IF(OR(""="",180.69192=""),"-",180.69192/""*100)</f>
        <v>-</v>
      </c>
      <c r="D87" s="81" t="str">
        <f>IF(""="","-",""/857110.78655*100)</f>
        <v>-</v>
      </c>
      <c r="E87" s="81">
        <f>IF(180.69192="","-",180.69192/1101136.29843*100)</f>
        <v>0.016409587101763018</v>
      </c>
      <c r="F87" s="64" t="str">
        <f>IF(OR(747953.45327="",""="",""=""),"-",(""-"")/747953.45327*100)</f>
        <v>-</v>
      </c>
      <c r="G87" s="64" t="str">
        <f>IF(OR(857110.78655="",180.69192="",""=""),"-",(180.69192-"")/857110.78655*100)</f>
        <v>-</v>
      </c>
    </row>
    <row r="88" spans="1:7" ht="15.75">
      <c r="A88" s="34" t="s">
        <v>147</v>
      </c>
      <c r="B88" s="22">
        <f>IF(169.11515="","-",169.11515)</f>
        <v>169.11515</v>
      </c>
      <c r="C88" s="81" t="s">
        <v>274</v>
      </c>
      <c r="D88" s="81">
        <f>IF(31.82629="","-",31.82629/857110.78655*100)</f>
        <v>0.0037132060988411555</v>
      </c>
      <c r="E88" s="81">
        <f>IF(169.11515="","-",169.11515/1101136.29843*100)</f>
        <v>0.015358239505965281</v>
      </c>
      <c r="F88" s="64">
        <f>IF(OR(747953.45327="",320.58062="",31.82629=""),"-",(31.82629-320.58062)/747953.45327*100)</f>
        <v>-0.03860592243241692</v>
      </c>
      <c r="G88" s="64">
        <f>IF(OR(857110.78655="",169.11515="",31.82629=""),"-",(169.11515-31.82629)/857110.78655*100)</f>
        <v>0.016017632977483383</v>
      </c>
    </row>
    <row r="89" spans="1:7" ht="15.75">
      <c r="A89" s="34" t="s">
        <v>217</v>
      </c>
      <c r="B89" s="22">
        <f>IF(164.043="","-",164.043)</f>
        <v>164.043</v>
      </c>
      <c r="C89" s="81" t="str">
        <f>IF(OR(""="",164.043=""),"-",164.043/""*100)</f>
        <v>-</v>
      </c>
      <c r="D89" s="81" t="str">
        <f>IF(""="","-",""/857110.78655*100)</f>
        <v>-</v>
      </c>
      <c r="E89" s="81">
        <f>IF(164.043="","-",164.043/1101136.29843*100)</f>
        <v>0.014897610789317589</v>
      </c>
      <c r="F89" s="64" t="str">
        <f>IF(OR(747953.45327="",26.24="",""=""),"-",(""-26.24)/747953.45327*100)</f>
        <v>-</v>
      </c>
      <c r="G89" s="64" t="str">
        <f>IF(OR(857110.78655="",164.043="",""=""),"-",(164.043-"")/857110.78655*100)</f>
        <v>-</v>
      </c>
    </row>
    <row r="90" spans="1:7" ht="15.75">
      <c r="A90" s="34" t="s">
        <v>105</v>
      </c>
      <c r="B90" s="22">
        <f>IF(129.15585="","-",129.15585)</f>
        <v>129.15585</v>
      </c>
      <c r="C90" s="81" t="s">
        <v>107</v>
      </c>
      <c r="D90" s="81">
        <f>IF(53.90563="","-",53.90563/857110.78655*100)</f>
        <v>0.006289225482388139</v>
      </c>
      <c r="E90" s="81">
        <f>IF(129.15585="","-",129.15585/1101136.29843*100)</f>
        <v>0.011729324533588657</v>
      </c>
      <c r="F90" s="64">
        <f>IF(OR(747953.45327="",187.80524="",53.90563=""),"-",(53.90563-187.80524)/747953.45327*100)</f>
        <v>-0.017902131397963372</v>
      </c>
      <c r="G90" s="64">
        <f>IF(OR(857110.78655="",129.15585="",53.90563=""),"-",(129.15585-53.90563)/857110.78655*100)</f>
        <v>0.008779520825177507</v>
      </c>
    </row>
    <row r="91" spans="1:7" ht="15.75">
      <c r="A91" s="34" t="s">
        <v>188</v>
      </c>
      <c r="B91" s="22">
        <f>IF(114.38439="","-",114.38439)</f>
        <v>114.38439</v>
      </c>
      <c r="C91" s="81" t="s">
        <v>180</v>
      </c>
      <c r="D91" s="81">
        <f>IF(37.33313="","-",37.33313/857110.78655*100)</f>
        <v>0.004355694804667139</v>
      </c>
      <c r="E91" s="81">
        <f>IF(114.38439="","-",114.38439/1101136.29843*100)</f>
        <v>0.01038785027458356</v>
      </c>
      <c r="F91" s="64">
        <f>IF(OR(747953.45327="",39.49098="",37.33313=""),"-",(37.33313-39.49098)/747953.45327*100)</f>
        <v>-0.00028850057320626497</v>
      </c>
      <c r="G91" s="64">
        <f>IF(OR(857110.78655="",114.38439="",37.33313=""),"-",(114.38439-37.33313)/857110.78655*100)</f>
        <v>0.00898965002064003</v>
      </c>
    </row>
    <row r="92" spans="1:7" ht="15.75">
      <c r="A92" s="34" t="s">
        <v>218</v>
      </c>
      <c r="B92" s="22">
        <f>IF(105.16189="","-",105.16189)</f>
        <v>105.16189</v>
      </c>
      <c r="C92" s="81">
        <f>IF(OR(116.25016="",105.16189=""),"-",105.16189/116.25016*100)</f>
        <v>90.46171635376675</v>
      </c>
      <c r="D92" s="81">
        <f>IF(116.25016="","-",116.25016/857110.78655*100)</f>
        <v>0.013563026136670663</v>
      </c>
      <c r="E92" s="81">
        <f>IF(105.16189="","-",105.16189/1101136.29843*100)</f>
        <v>0.009550306365337316</v>
      </c>
      <c r="F92" s="64" t="str">
        <f>IF(OR(747953.45327="",""="",116.25016=""),"-",(116.25016-"")/747953.45327*100)</f>
        <v>-</v>
      </c>
      <c r="G92" s="64">
        <f>IF(OR(857110.78655="",105.16189="",116.25016=""),"-",(105.16189-116.25016)/857110.78655*100)</f>
        <v>-0.0012936799039284</v>
      </c>
    </row>
    <row r="93" spans="1:7" ht="15.75">
      <c r="A93" s="34" t="s">
        <v>178</v>
      </c>
      <c r="B93" s="22">
        <f>IF(99.27331="","-",99.27331)</f>
        <v>99.27331</v>
      </c>
      <c r="C93" s="81">
        <f>IF(OR(415.34253="",99.27331=""),"-",99.27331/415.34253*100)</f>
        <v>23.90155181074281</v>
      </c>
      <c r="D93" s="81">
        <f>IF(415.34253="","-",415.34253/857110.78655*100)</f>
        <v>0.048458441606109785</v>
      </c>
      <c r="E93" s="81">
        <f>IF(99.27331="","-",99.27331/1101136.29843*100)</f>
        <v>0.009015533330573505</v>
      </c>
      <c r="F93" s="64">
        <f>IF(OR(747953.45327="",166.55493="",415.34253=""),"-",(415.34253-166.55493)/747953.45327*100)</f>
        <v>0.03326244419519932</v>
      </c>
      <c r="G93" s="64">
        <f>IF(OR(857110.78655="",99.27331="",415.34253=""),"-",(99.27331-415.34253)/857110.78655*100)</f>
        <v>-0.03687612207894691</v>
      </c>
    </row>
    <row r="94" spans="1:7" ht="15.75">
      <c r="A94" s="34" t="s">
        <v>165</v>
      </c>
      <c r="B94" s="22">
        <f>IF(90.22488="","-",90.22488)</f>
        <v>90.22488</v>
      </c>
      <c r="C94" s="81">
        <f>IF(OR(97.40323="",90.22488=""),"-",90.22488/97.40323*100)</f>
        <v>92.63027519723936</v>
      </c>
      <c r="D94" s="81">
        <f>IF(97.40323="","-",97.40323/857110.78655*100)</f>
        <v>0.01136413536365149</v>
      </c>
      <c r="E94" s="81">
        <f>IF(90.22488="","-",90.22488/1101136.29843*100)</f>
        <v>0.008193797636917667</v>
      </c>
      <c r="F94" s="64">
        <f>IF(OR(747953.45327="",87.9042="",97.40323=""),"-",(97.40323-87.9042)/747953.45327*100)</f>
        <v>0.0012700028268431542</v>
      </c>
      <c r="G94" s="64">
        <f>IF(OR(857110.78655="",90.22488="",97.40323=""),"-",(90.22488-97.40323)/857110.78655*100)</f>
        <v>-0.0008375055025143173</v>
      </c>
    </row>
    <row r="95" spans="1:7" ht="15.75">
      <c r="A95" s="34" t="s">
        <v>201</v>
      </c>
      <c r="B95" s="22">
        <f>IF(74.18292="","-",74.18292)</f>
        <v>74.18292</v>
      </c>
      <c r="C95" s="81" t="str">
        <f>IF(OR(""="",74.18292=""),"-",74.18292/""*100)</f>
        <v>-</v>
      </c>
      <c r="D95" s="81" t="str">
        <f>IF(""="","-",""/857110.78655*100)</f>
        <v>-</v>
      </c>
      <c r="E95" s="81">
        <f>IF(74.18292="","-",74.18292/1101136.29843*100)</f>
        <v>0.006736942566126464</v>
      </c>
      <c r="F95" s="64" t="str">
        <f>IF(OR(747953.45327="",""="",""=""),"-",(""-"")/747953.45327*100)</f>
        <v>-</v>
      </c>
      <c r="G95" s="64" t="str">
        <f>IF(OR(857110.78655="",74.18292="",""=""),"-",(74.18292-"")/857110.78655*100)</f>
        <v>-</v>
      </c>
    </row>
    <row r="96" spans="1:7" ht="15.75">
      <c r="A96" s="34" t="s">
        <v>104</v>
      </c>
      <c r="B96" s="22">
        <f>IF(71.68742="","-",71.68742)</f>
        <v>71.68742</v>
      </c>
      <c r="C96" s="81">
        <f>IF(OR(125.14039="",71.68742=""),"-",71.68742/125.14039*100)</f>
        <v>57.285597399848285</v>
      </c>
      <c r="D96" s="81">
        <f>IF(125.14039="","-",125.14039/857110.78655*100)</f>
        <v>0.014600258445434914</v>
      </c>
      <c r="E96" s="81">
        <f>IF(71.68742="","-",71.68742/1101136.29843*100)</f>
        <v>0.006510313037742187</v>
      </c>
      <c r="F96" s="64">
        <f>IF(OR(747953.45327="",256.88377="",125.14039=""),"-",(125.14039-256.88377)/747953.45327*100)</f>
        <v>-0.0176138474157753</v>
      </c>
      <c r="G96" s="64">
        <f>IF(OR(857110.78655="",71.68742="",125.14039=""),"-",(71.68742-125.14039)/857110.78655*100)</f>
        <v>-0.0062364131730457215</v>
      </c>
    </row>
    <row r="97" spans="1:7" ht="15.75">
      <c r="A97" s="34" t="s">
        <v>142</v>
      </c>
      <c r="B97" s="22">
        <f>IF(71.04334="","-",71.04334)</f>
        <v>71.04334</v>
      </c>
      <c r="C97" s="81" t="s">
        <v>275</v>
      </c>
      <c r="D97" s="81">
        <f>IF(0.9474="","-",0.9474/857110.78655*100)</f>
        <v>0.00011053413571114041</v>
      </c>
      <c r="E97" s="81">
        <f>IF(71.04334="","-",71.04334/1101136.29843*100)</f>
        <v>0.006451820732936839</v>
      </c>
      <c r="F97" s="64">
        <f>IF(OR(747953.45327="",859.256="",0.9474=""),"-",(0.9474-859.256)/747953.45327*100)</f>
        <v>-0.11475427999530384</v>
      </c>
      <c r="G97" s="64">
        <f>IF(OR(857110.78655="",71.04334="",0.9474=""),"-",(71.04334-0.9474)/857110.78655*100)</f>
        <v>0.00817816565839134</v>
      </c>
    </row>
    <row r="98" spans="1:7" ht="15.75">
      <c r="A98" s="34" t="s">
        <v>190</v>
      </c>
      <c r="B98" s="22">
        <f>IF(69.77432="","-",69.77432)</f>
        <v>69.77432</v>
      </c>
      <c r="C98" s="81">
        <f>IF(OR(939.07711="",69.77432=""),"-",69.77432/939.07711*100)</f>
        <v>7.43009485131631</v>
      </c>
      <c r="D98" s="81">
        <f>IF(939.07711="","-",939.07711/857110.78655*100)</f>
        <v>0.10956309554566765</v>
      </c>
      <c r="E98" s="81">
        <f>IF(69.77432="","-",69.77432/1101136.29843*100)</f>
        <v>0.00633657432776344</v>
      </c>
      <c r="F98" s="64">
        <f>IF(OR(747953.45327="",178.17723="",939.07711=""),"-",(939.07711-178.17723)/747953.45327*100)</f>
        <v>0.1017309134242778</v>
      </c>
      <c r="G98" s="64">
        <f>IF(OR(857110.78655="",69.77432="",939.07711=""),"-",(69.77432-939.07711)/857110.78655*100)</f>
        <v>-0.10142245362458624</v>
      </c>
    </row>
    <row r="99" spans="1:7" ht="15.75">
      <c r="A99" s="34" t="s">
        <v>269</v>
      </c>
      <c r="B99" s="22">
        <f>IF(68.67352="","-",68.67352)</f>
        <v>68.67352</v>
      </c>
      <c r="C99" s="81" t="str">
        <f>IF(OR(""="",68.67352=""),"-",68.67352/""*100)</f>
        <v>-</v>
      </c>
      <c r="D99" s="81" t="str">
        <f>IF(""="","-",""/857110.78655*100)</f>
        <v>-</v>
      </c>
      <c r="E99" s="81">
        <f>IF(68.67352="","-",68.67352/1101136.29843*100)</f>
        <v>0.006236604868799139</v>
      </c>
      <c r="F99" s="64" t="str">
        <f>IF(OR(747953.45327="",72.96086="",""=""),"-",(""-72.96086)/747953.45327*100)</f>
        <v>-</v>
      </c>
      <c r="G99" s="64" t="str">
        <f>IF(OR(857110.78655="",68.67352="",""=""),"-",(68.67352-"")/857110.78655*100)</f>
        <v>-</v>
      </c>
    </row>
    <row r="100" spans="1:7" ht="15.75">
      <c r="A100" s="34" t="s">
        <v>270</v>
      </c>
      <c r="B100" s="22">
        <f>IF(65.856="","-",65.856)</f>
        <v>65.856</v>
      </c>
      <c r="C100" s="81" t="str">
        <f>IF(OR(""="",65.856=""),"-",65.856/""*100)</f>
        <v>-</v>
      </c>
      <c r="D100" s="81" t="str">
        <f>IF(""="","-",""/857110.78655*100)</f>
        <v>-</v>
      </c>
      <c r="E100" s="81">
        <f>IF(65.856="","-",65.856/1101136.29843*100)</f>
        <v>0.0059807310043177644</v>
      </c>
      <c r="F100" s="64" t="str">
        <f>IF(OR(747953.45327="",""="",""=""),"-",(""-"")/747953.45327*100)</f>
        <v>-</v>
      </c>
      <c r="G100" s="64" t="str">
        <f>IF(OR(857110.78655="",65.856="",""=""),"-",(65.856-"")/857110.78655*100)</f>
        <v>-</v>
      </c>
    </row>
    <row r="101" spans="1:7" ht="15.75">
      <c r="A101" s="34" t="s">
        <v>162</v>
      </c>
      <c r="B101" s="22">
        <f>IF(62.53555="","-",62.53555)</f>
        <v>62.53555</v>
      </c>
      <c r="C101" s="81" t="s">
        <v>107</v>
      </c>
      <c r="D101" s="81">
        <f>IF(26.12487="","-",26.12487/857110.78655*100)</f>
        <v>0.003048015543609775</v>
      </c>
      <c r="E101" s="81">
        <f>IF(62.53555="","-",62.53555/1101136.29843*100)</f>
        <v>0.005679183411641518</v>
      </c>
      <c r="F101" s="64" t="str">
        <f>IF(OR(747953.45327="",""="",26.12487=""),"-",(26.12487-"")/747953.45327*100)</f>
        <v>-</v>
      </c>
      <c r="G101" s="64">
        <f>IF(OR(857110.78655="",62.53555="",26.12487=""),"-",(62.53555-26.12487)/857110.78655*100)</f>
        <v>0.0042480716112042495</v>
      </c>
    </row>
    <row r="102" spans="1:7" ht="15.75">
      <c r="A102" s="34" t="s">
        <v>271</v>
      </c>
      <c r="B102" s="22">
        <f>IF(55.11432="","-",55.11432)</f>
        <v>55.11432</v>
      </c>
      <c r="C102" s="81" t="str">
        <f>IF(OR(""="",55.11432=""),"-",55.11432/""*100)</f>
        <v>-</v>
      </c>
      <c r="D102" s="81" t="str">
        <f>IF(""="","-",""/857110.78655*100)</f>
        <v>-</v>
      </c>
      <c r="E102" s="81">
        <f>IF(55.11432="","-",55.11432/1101136.29843*100)</f>
        <v>0.005005222339739593</v>
      </c>
      <c r="F102" s="64" t="str">
        <f>IF(OR(747953.45327="",""="",""=""),"-",(""-"")/747953.45327*100)</f>
        <v>-</v>
      </c>
      <c r="G102" s="64" t="str">
        <f>IF(OR(857110.78655="",55.11432="",""=""),"-",(55.11432-"")/857110.78655*100)</f>
        <v>-</v>
      </c>
    </row>
    <row r="103" spans="1:7" ht="15.75">
      <c r="A103" s="34" t="s">
        <v>158</v>
      </c>
      <c r="B103" s="22">
        <f>IF(54.8751="","-",54.8751)</f>
        <v>54.8751</v>
      </c>
      <c r="C103" s="81" t="str">
        <f>IF(OR(""="",54.8751=""),"-",54.8751/""*100)</f>
        <v>-</v>
      </c>
      <c r="D103" s="81" t="str">
        <f>IF(""="","-",""/857110.78655*100)</f>
        <v>-</v>
      </c>
      <c r="E103" s="81">
        <f>IF(54.8751="","-",54.8751/1101136.29843*100)</f>
        <v>0.004983497508731745</v>
      </c>
      <c r="F103" s="64" t="str">
        <f>IF(OR(747953.45327="",""="",""=""),"-",(""-"")/747953.45327*100)</f>
        <v>-</v>
      </c>
      <c r="G103" s="64" t="str">
        <f>IF(OR(857110.78655="",54.8751="",""=""),"-",(54.8751-"")/857110.78655*100)</f>
        <v>-</v>
      </c>
    </row>
    <row r="104" spans="1:7" ht="15.75">
      <c r="A104" s="34" t="s">
        <v>171</v>
      </c>
      <c r="B104" s="22">
        <f>IF(52.20424="","-",52.20424)</f>
        <v>52.20424</v>
      </c>
      <c r="C104" s="81" t="s">
        <v>276</v>
      </c>
      <c r="D104" s="81">
        <f>IF(10.37115="","-",10.37115/857110.78655*100)</f>
        <v>0.0012100127734648448</v>
      </c>
      <c r="E104" s="81">
        <f>IF(52.20424="","-",52.20424/1101136.29843*100)</f>
        <v>0.00474094261304734</v>
      </c>
      <c r="F104" s="64">
        <f>IF(OR(747953.45327="",10.74158="",10.37115=""),"-",(10.37115-10.74158)/747953.45327*100)</f>
        <v>-4.952580917709608E-05</v>
      </c>
      <c r="G104" s="64">
        <f>IF(OR(857110.78655="",52.20424="",10.37115=""),"-",(52.20424-10.37115)/857110.78655*100)</f>
        <v>0.004880709781798977</v>
      </c>
    </row>
    <row r="105" spans="1:7" ht="15.75">
      <c r="A105" s="34" t="s">
        <v>230</v>
      </c>
      <c r="B105" s="22">
        <f>IF(51.92029="","-",51.92029)</f>
        <v>51.92029</v>
      </c>
      <c r="C105" s="81" t="s">
        <v>233</v>
      </c>
      <c r="D105" s="81">
        <f>IF(11.02792="","-",11.02792/857110.78655*100)</f>
        <v>0.0012866388071475613</v>
      </c>
      <c r="E105" s="81">
        <f>IF(51.92029="","-",51.92029/1101136.29843*100)</f>
        <v>0.004715155614616278</v>
      </c>
      <c r="F105" s="64" t="str">
        <f>IF(OR(747953.45327="",""="",11.02792=""),"-",(11.02792-"")/747953.45327*100)</f>
        <v>-</v>
      </c>
      <c r="G105" s="64">
        <f>IF(OR(857110.78655="",51.92029="",11.02792=""),"-",(51.92029-11.02792)/857110.78655*100)</f>
        <v>0.004770955008581557</v>
      </c>
    </row>
    <row r="106" spans="1:7" ht="15.75">
      <c r="A106" s="63" t="s">
        <v>221</v>
      </c>
      <c r="B106" s="67">
        <f>IF(48.96218="","-",48.96218)</f>
        <v>48.96218</v>
      </c>
      <c r="C106" s="84" t="s">
        <v>202</v>
      </c>
      <c r="D106" s="84">
        <f>IF(8.936="","-",8.936/857110.78655*100)</f>
        <v>0.001042572341898618</v>
      </c>
      <c r="E106" s="84">
        <f>IF(48.96218="","-",48.96218/1101136.29843*100)</f>
        <v>0.004446514030080588</v>
      </c>
      <c r="F106" s="85">
        <f>IF(OR(747953.45327="",50.13236="",8.936=""),"-",(8.936-50.13236)/747953.45327*100)</f>
        <v>-0.005507877504929271</v>
      </c>
      <c r="G106" s="85">
        <f>IF(OR(857110.78655="",48.96218="",8.936=""),"-",(48.96218-8.936)/857110.78655*100)</f>
        <v>0.004669895727378651</v>
      </c>
    </row>
    <row r="107" ht="15.75">
      <c r="A107" s="54" t="s">
        <v>23</v>
      </c>
    </row>
  </sheetData>
  <sheetProtection/>
  <mergeCells count="9">
    <mergeCell ref="A1:G1"/>
    <mergeCell ref="A3:A5"/>
    <mergeCell ref="B3:C3"/>
    <mergeCell ref="D3:E3"/>
    <mergeCell ref="F3:G3"/>
    <mergeCell ref="B4:B5"/>
    <mergeCell ref="C4:C5"/>
    <mergeCell ref="D4:E4"/>
    <mergeCell ref="F4:G4"/>
  </mergeCells>
  <printOptions/>
  <pageMargins left="0.5905511811023623" right="0.3937007874015748" top="0.3937007874015748" bottom="0.3937007874015748" header="0.11811023622047245" footer="0.1181102362204724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G112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:G1"/>
    </sheetView>
  </sheetViews>
  <sheetFormatPr defaultColWidth="9.00390625" defaultRowHeight="15.75"/>
  <cols>
    <col min="1" max="1" width="32.375" style="0" customWidth="1"/>
    <col min="2" max="2" width="11.50390625" style="0" customWidth="1"/>
    <col min="3" max="3" width="10.875" style="0" customWidth="1"/>
    <col min="4" max="4" width="7.625" style="0" customWidth="1"/>
    <col min="5" max="5" width="7.75390625" style="0" customWidth="1"/>
    <col min="6" max="6" width="9.625" style="0" customWidth="1"/>
    <col min="7" max="7" width="9.875" style="0" customWidth="1"/>
  </cols>
  <sheetData>
    <row r="1" spans="1:7" ht="15.75">
      <c r="A1" s="112" t="s">
        <v>245</v>
      </c>
      <c r="B1" s="112"/>
      <c r="C1" s="112"/>
      <c r="D1" s="112"/>
      <c r="E1" s="112"/>
      <c r="F1" s="112"/>
      <c r="G1" s="112"/>
    </row>
    <row r="2" ht="15.75">
      <c r="A2" s="2"/>
    </row>
    <row r="3" spans="1:7" ht="55.5" customHeight="1">
      <c r="A3" s="99"/>
      <c r="B3" s="102" t="s">
        <v>252</v>
      </c>
      <c r="C3" s="103"/>
      <c r="D3" s="102" t="s">
        <v>191</v>
      </c>
      <c r="E3" s="103"/>
      <c r="F3" s="104" t="s">
        <v>214</v>
      </c>
      <c r="G3" s="105"/>
    </row>
    <row r="4" spans="1:7" ht="22.5" customHeight="1">
      <c r="A4" s="100"/>
      <c r="B4" s="106" t="s">
        <v>173</v>
      </c>
      <c r="C4" s="108" t="s">
        <v>253</v>
      </c>
      <c r="D4" s="110" t="s">
        <v>254</v>
      </c>
      <c r="E4" s="110"/>
      <c r="F4" s="110" t="s">
        <v>254</v>
      </c>
      <c r="G4" s="102"/>
    </row>
    <row r="5" spans="1:7" ht="26.25" customHeight="1">
      <c r="A5" s="101"/>
      <c r="B5" s="107"/>
      <c r="C5" s="109"/>
      <c r="D5" s="41">
        <v>2017</v>
      </c>
      <c r="E5" s="41">
        <v>2018</v>
      </c>
      <c r="F5" s="41" t="s">
        <v>167</v>
      </c>
      <c r="G5" s="37" t="s">
        <v>197</v>
      </c>
    </row>
    <row r="6" spans="1:7" s="3" customFormat="1" ht="15">
      <c r="A6" s="91" t="s">
        <v>24</v>
      </c>
      <c r="B6" s="56">
        <f>IF(2276281.23687="","-",2276281.23687)</f>
        <v>2276281.23687</v>
      </c>
      <c r="C6" s="56">
        <f>IF(1792621.32665="","-",2276281.23687/1792621.32665*100)</f>
        <v>126.98059556860512</v>
      </c>
      <c r="D6" s="56">
        <v>100</v>
      </c>
      <c r="E6" s="56">
        <v>100</v>
      </c>
      <c r="F6" s="56">
        <f>IF(1543712.83473="","-",(1792621.32665-1543712.83473)/1543712.83473*100)</f>
        <v>16.124015187289338</v>
      </c>
      <c r="G6" s="56">
        <f>IF(1792621.32665="","-",(2276281.23687-1792621.32665)/1792621.32665*100)</f>
        <v>26.98059556860512</v>
      </c>
    </row>
    <row r="7" spans="1:7" ht="12.75" customHeight="1">
      <c r="A7" s="7" t="s">
        <v>2</v>
      </c>
      <c r="B7" s="33"/>
      <c r="C7" s="29"/>
      <c r="D7" s="30"/>
      <c r="E7" s="30"/>
      <c r="F7" s="31"/>
      <c r="G7" s="31"/>
    </row>
    <row r="8" spans="1:7" ht="15.75">
      <c r="A8" s="8" t="s">
        <v>3</v>
      </c>
      <c r="B8" s="21">
        <f>IF(1150760.10461="","-",1150760.10461)</f>
        <v>1150760.10461</v>
      </c>
      <c r="C8" s="21">
        <f>IF(877626.59426="","-",1150760.10461/877626.59426*100)</f>
        <v>131.1218361130341</v>
      </c>
      <c r="D8" s="21">
        <f>IF(877626.59426="","-",877626.59426/1792621.32665*100)</f>
        <v>48.957723597994</v>
      </c>
      <c r="E8" s="21">
        <f>IF(1150760.10461="","-",1150760.10461/2276281.23687*100)</f>
        <v>50.554390466810354</v>
      </c>
      <c r="F8" s="21">
        <f>IF(1543712.83473="","-",(877626.59426-748200.45431)/1543712.83473*100)</f>
        <v>8.38408135491321</v>
      </c>
      <c r="G8" s="21">
        <f>IF(1792621.32665="","-",(1150760.10461-877626.59426)/1792621.32665*100)</f>
        <v>15.236542502839914</v>
      </c>
    </row>
    <row r="9" spans="1:7" s="14" customFormat="1" ht="15.75">
      <c r="A9" s="34" t="s">
        <v>258</v>
      </c>
      <c r="B9" s="51">
        <f>IF(312881.70952="","-",312881.70952)</f>
        <v>312881.70952</v>
      </c>
      <c r="C9" s="51">
        <f>IF(OR(246405.77793="",312881.70952=""),"-",312881.70952/246405.77793*100)</f>
        <v>126.97823571689327</v>
      </c>
      <c r="D9" s="51">
        <f>IF(246405.77793="","-",246405.77793/1792621.32665*100)</f>
        <v>13.745556535940368</v>
      </c>
      <c r="E9" s="51">
        <f>IF(312881.70952="","-",312881.70952/2276281.23687*100)</f>
        <v>13.745301083719685</v>
      </c>
      <c r="F9" s="51">
        <f>IF(OR(1543712.83473="",192949.74756="",246405.77793=""),"-",(246405.77793-192949.74756)/1543712.83473*100)</f>
        <v>3.462822175689797</v>
      </c>
      <c r="G9" s="51">
        <f>IF(OR(1792621.32665="",312881.70952="",246405.77793=""),"-",(312881.70952-246405.77793)/1792621.32665*100)</f>
        <v>3.7083086428648206</v>
      </c>
    </row>
    <row r="10" spans="1:7" s="14" customFormat="1" ht="15.75">
      <c r="A10" s="34" t="s">
        <v>5</v>
      </c>
      <c r="B10" s="51">
        <f>IF(196561.95618="","-",196561.95618)</f>
        <v>196561.95618</v>
      </c>
      <c r="C10" s="51">
        <f>IF(OR(142466.8947="",196561.95618=""),"-",196561.95618/142466.8947*100)</f>
        <v>137.97026782531537</v>
      </c>
      <c r="D10" s="51">
        <f>IF(142466.8947="","-",142466.8947/1792621.32665*100)</f>
        <v>7.947405990435142</v>
      </c>
      <c r="E10" s="51">
        <f>IF(196561.95618="","-",196561.95618/2276281.23687*100)</f>
        <v>8.635222792166159</v>
      </c>
      <c r="F10" s="51">
        <f>IF(OR(1543712.83473="",122176.25955="",142466.8947=""),"-",(142466.8947-122176.25955)/1543712.83473*100)</f>
        <v>1.3144047709850708</v>
      </c>
      <c r="G10" s="51">
        <f>IF(OR(1792621.32665="",196561.95618="",142466.8947=""),"-",(196561.95618-142466.8947)/1792621.32665*100)</f>
        <v>3.0176513397333795</v>
      </c>
    </row>
    <row r="11" spans="1:7" s="14" customFormat="1" ht="15.75">
      <c r="A11" s="34" t="s">
        <v>4</v>
      </c>
      <c r="B11" s="51">
        <f>IF(160252.0022="","-",160252.0022)</f>
        <v>160252.0022</v>
      </c>
      <c r="C11" s="51">
        <f>IF(OR(125986.89396="",160252.0022=""),"-",160252.0022/125986.89396*100)</f>
        <v>127.1973593149133</v>
      </c>
      <c r="D11" s="51">
        <f>IF(125986.89396="","-",125986.89396/1792621.32665*100)</f>
        <v>7.028081842328672</v>
      </c>
      <c r="E11" s="51">
        <f>IF(160252.0022="","-",160252.0022/2276281.23687*100)</f>
        <v>7.040079213601675</v>
      </c>
      <c r="F11" s="51">
        <f>IF(OR(1543712.83473="",111100.66223="",125986.89396=""),"-",(125986.89396-111100.66223)/1543712.83473*100)</f>
        <v>0.9643135300228067</v>
      </c>
      <c r="G11" s="51">
        <f>IF(OR(1792621.32665="",160252.0022="",125986.89396=""),"-",(160252.0022-125986.89396)/1792621.32665*100)</f>
        <v>1.9114526716043065</v>
      </c>
    </row>
    <row r="12" spans="1:7" s="14" customFormat="1" ht="15.75">
      <c r="A12" s="34" t="s">
        <v>6</v>
      </c>
      <c r="B12" s="51">
        <f>IF(78926.04595="","-",78926.04595)</f>
        <v>78926.04595</v>
      </c>
      <c r="C12" s="51">
        <f>IF(OR(56549.72656="",78926.04595=""),"-",78926.04595/56549.72656*100)</f>
        <v>139.56927955479753</v>
      </c>
      <c r="D12" s="51">
        <f>IF(56549.72656="","-",56549.72656/1792621.32665*100)</f>
        <v>3.154582940596748</v>
      </c>
      <c r="E12" s="51">
        <f>IF(78926.04595="","-",78926.04595/2276281.23687*100)</f>
        <v>3.46732401390468</v>
      </c>
      <c r="F12" s="51">
        <f>IF(OR(1543712.83473="",45540.4897="",56549.72656=""),"-",(56549.72656-45540.4897)/1543712.83473*100)</f>
        <v>0.7131661156348131</v>
      </c>
      <c r="G12" s="51">
        <f>IF(OR(1792621.32665="",78926.04595="",56549.72656=""),"-",(78926.04595-56549.72656)/1792621.32665*100)</f>
        <v>1.24824574255268</v>
      </c>
    </row>
    <row r="13" spans="1:7" s="14" customFormat="1" ht="15.75">
      <c r="A13" s="34" t="s">
        <v>260</v>
      </c>
      <c r="B13" s="51">
        <f>IF(68024.89145="","-",68024.89145)</f>
        <v>68024.89145</v>
      </c>
      <c r="C13" s="51">
        <f>IF(OR(51455.8958="",68024.89145=""),"-",68024.89145/51455.8958*100)</f>
        <v>132.20038324549</v>
      </c>
      <c r="D13" s="51">
        <f>IF(51455.8958="","-",51455.8958/1792621.32665*100)</f>
        <v>2.8704275150044833</v>
      </c>
      <c r="E13" s="51">
        <f>IF(68024.89145="","-",68024.89145/2276281.23687*100)</f>
        <v>2.988422096012073</v>
      </c>
      <c r="F13" s="51">
        <f>IF(OR(1543712.83473="",44273.35575="",51455.8958=""),"-",(51455.8958-44273.35575)/1543712.83473*100)</f>
        <v>0.46527695361529103</v>
      </c>
      <c r="G13" s="51">
        <f>IF(OR(1792621.32665="",68024.89145="",51455.8958=""),"-",(68024.89145-51455.8958)/1792621.32665*100)</f>
        <v>0.9242886606154389</v>
      </c>
    </row>
    <row r="14" spans="1:7" s="14" customFormat="1" ht="15.75">
      <c r="A14" s="34" t="s">
        <v>110</v>
      </c>
      <c r="B14" s="51">
        <f>IF(52016.5166="","-",52016.5166)</f>
        <v>52016.5166</v>
      </c>
      <c r="C14" s="51">
        <f>IF(OR(37240.0418599999="",52016.5166=""),"-",52016.5166/37240.0418599999*100)</f>
        <v>139.67899605363155</v>
      </c>
      <c r="D14" s="51">
        <f>IF(37240.0418599999="","-",37240.0418599999/1792621.32665*100)</f>
        <v>2.077407052251969</v>
      </c>
      <c r="E14" s="51">
        <f>IF(52016.5166="","-",52016.5166/2276281.23687*100)</f>
        <v>2.285153335074066</v>
      </c>
      <c r="F14" s="51">
        <f>IF(OR(1543712.83473="",30430.34015="",37240.0418599999=""),"-",(37240.0418599999-30430.34015)/1543712.83473*100)</f>
        <v>0.4411249007456066</v>
      </c>
      <c r="G14" s="51">
        <f>IF(OR(1792621.32665="",52016.5166="",37240.0418599999=""),"-",(52016.5166-37240.0418599999)/1792621.32665*100)</f>
        <v>0.8242942622809224</v>
      </c>
    </row>
    <row r="15" spans="1:7" s="14" customFormat="1" ht="15.75">
      <c r="A15" s="34" t="s">
        <v>8</v>
      </c>
      <c r="B15" s="51">
        <f>IF(46595.37429="","-",46595.37429)</f>
        <v>46595.37429</v>
      </c>
      <c r="C15" s="51" t="s">
        <v>183</v>
      </c>
      <c r="D15" s="51">
        <f>IF(28047.31991="","-",28047.31991/1792621.32665*100)</f>
        <v>1.564598138660664</v>
      </c>
      <c r="E15" s="51">
        <f>IF(46595.37429="","-",46595.37429/2276281.23687*100)</f>
        <v>2.046995491386247</v>
      </c>
      <c r="F15" s="51">
        <f>IF(OR(1543712.83473="",30407.20505="",28047.31991=""),"-",(28047.31991-30407.20505)/1543712.83473*100)</f>
        <v>-0.1528707339155312</v>
      </c>
      <c r="G15" s="51">
        <f>IF(OR(1792621.32665="",46595.37429="",28047.31991=""),"-",(46595.37429-28047.31991)/1792621.32665*100)</f>
        <v>1.0346889275640874</v>
      </c>
    </row>
    <row r="16" spans="1:7" s="14" customFormat="1" ht="15.75">
      <c r="A16" s="34" t="s">
        <v>108</v>
      </c>
      <c r="B16" s="51">
        <f>IF(34451.20277="","-",34451.20277)</f>
        <v>34451.20277</v>
      </c>
      <c r="C16" s="51">
        <f>IF(OR(25149.45651="",34451.20277=""),"-",34451.20277/25149.45651*100)</f>
        <v>136.98587385497342</v>
      </c>
      <c r="D16" s="51">
        <f>IF(25149.45651="","-",25149.45651/1792621.32665*100)</f>
        <v>1.402943060874914</v>
      </c>
      <c r="E16" s="51">
        <f>IF(34451.20277="","-",34451.20277/2276281.23687*100)</f>
        <v>1.5134862165525784</v>
      </c>
      <c r="F16" s="51">
        <f>IF(OR(1543712.83473="",21883.86234="",25149.45651=""),"-",(25149.45651-21883.86234)/1543712.83473*100)</f>
        <v>0.21154155724637494</v>
      </c>
      <c r="G16" s="51">
        <f>IF(OR(1792621.32665="",34451.20277="",25149.45651=""),"-",(34451.20277-25149.45651)/1792621.32665*100)</f>
        <v>0.5188907507522988</v>
      </c>
    </row>
    <row r="17" spans="1:7" s="14" customFormat="1" ht="15.75">
      <c r="A17" s="34" t="s">
        <v>261</v>
      </c>
      <c r="B17" s="51">
        <f>IF(33391.44857="","-",33391.44857)</f>
        <v>33391.44857</v>
      </c>
      <c r="C17" s="51">
        <f>IF(OR(24127.48666="",33391.44857=""),"-",33391.44857/24127.48666*100)</f>
        <v>138.39588449698888</v>
      </c>
      <c r="D17" s="51">
        <f>IF(24127.48666="","-",24127.48666/1792621.32665*100)</f>
        <v>1.3459332599310734</v>
      </c>
      <c r="E17" s="51">
        <f>IF(33391.44857="","-",33391.44857/2276281.23687*100)</f>
        <v>1.4669298340267876</v>
      </c>
      <c r="F17" s="51">
        <f>IF(OR(1543712.83473="",20538.95414="",24127.48666=""),"-",(24127.48666-20538.95414)/1543712.83473*100)</f>
        <v>0.23246114427931422</v>
      </c>
      <c r="G17" s="51">
        <f>IF(OR(1792621.32665="",33391.44857="",24127.48666=""),"-",(33391.44857-24127.48666)/1792621.32665*100)</f>
        <v>0.5167829798896921</v>
      </c>
    </row>
    <row r="18" spans="1:7" s="14" customFormat="1" ht="15.75">
      <c r="A18" s="34" t="s">
        <v>7</v>
      </c>
      <c r="B18" s="51">
        <f>IF(26191.26579="","-",26191.26579)</f>
        <v>26191.26579</v>
      </c>
      <c r="C18" s="51">
        <f>IF(OR(24853.73744="",26191.26579=""),"-",26191.26579/24853.73744*100)</f>
        <v>105.38159845467491</v>
      </c>
      <c r="D18" s="51">
        <f>IF(24853.73744="","-",24853.73744/1792621.32665*100)</f>
        <v>1.3864466003227778</v>
      </c>
      <c r="E18" s="51">
        <f>IF(26191.26579="","-",26191.26579/2276281.23687*100)</f>
        <v>1.15061642497279</v>
      </c>
      <c r="F18" s="51">
        <f>IF(OR(1543712.83473="",22178.19644="",24853.73744=""),"-",(24853.73744-22178.19644)/1543712.83473*100)</f>
        <v>0.17331856934829212</v>
      </c>
      <c r="G18" s="51">
        <f>IF(OR(1792621.32665="",26191.26579="",24853.73744=""),"-",(26191.26579-24853.73744)/1792621.32665*100)</f>
        <v>0.07461298881786348</v>
      </c>
    </row>
    <row r="19" spans="1:7" s="14" customFormat="1" ht="15.75" customHeight="1">
      <c r="A19" s="34" t="s">
        <v>10</v>
      </c>
      <c r="B19" s="51">
        <f>IF(25578.53043="","-",25578.53043)</f>
        <v>25578.53043</v>
      </c>
      <c r="C19" s="51">
        <f>IF(OR(18288.43873="",25578.53043=""),"-",25578.53043/18288.43873*100)</f>
        <v>139.86174986080945</v>
      </c>
      <c r="D19" s="51">
        <f>IF(18288.43873="","-",18288.43873/1792621.32665*100)</f>
        <v>1.0202064684891883</v>
      </c>
      <c r="E19" s="51">
        <f>IF(25578.53043="","-",25578.53043/2276281.23687*100)</f>
        <v>1.1236981624103597</v>
      </c>
      <c r="F19" s="51">
        <f>IF(OR(1543712.83473="",16156.19962="",18288.43873=""),"-",(18288.43873-16156.19962)/1543712.83473*100)</f>
        <v>0.1381240773561967</v>
      </c>
      <c r="G19" s="51">
        <f>IF(OR(1792621.32665="",25578.53043="",18288.43873=""),"-",(25578.53043-18288.43873)/1792621.32665*100)</f>
        <v>0.406672150532958</v>
      </c>
    </row>
    <row r="20" spans="1:7" s="14" customFormat="1" ht="16.5" customHeight="1">
      <c r="A20" s="34" t="s">
        <v>259</v>
      </c>
      <c r="B20" s="51">
        <f>IF(24200.88401="","-",24200.88401)</f>
        <v>24200.88401</v>
      </c>
      <c r="C20" s="51">
        <f>IF(OR(24443.37034="",24200.88401=""),"-",24200.88401/24443.37034*100)</f>
        <v>99.00796687761513</v>
      </c>
      <c r="D20" s="51">
        <f>IF(24443.37034="","-",24443.37034/1792621.32665*100)</f>
        <v>1.3635545877209372</v>
      </c>
      <c r="E20" s="51">
        <f>IF(24200.88401="","-",24200.88401/2276281.23687*100)</f>
        <v>1.0631763605483748</v>
      </c>
      <c r="F20" s="51">
        <f>IF(OR(1543712.83473="",25509.10194="",24443.37034=""),"-",(24443.37034-25509.10194)/1543712.83473*100)</f>
        <v>-0.06903690738481155</v>
      </c>
      <c r="G20" s="51">
        <f>IF(OR(1792621.32665="",24200.88401="",24443.37034=""),"-",(24200.88401-24443.37034)/1792621.32665*100)</f>
        <v>-0.013526913151990182</v>
      </c>
    </row>
    <row r="21" spans="1:7" s="14" customFormat="1" ht="15.75">
      <c r="A21" s="34" t="s">
        <v>109</v>
      </c>
      <c r="B21" s="51">
        <f>IF(18612.91832="","-",18612.91832)</f>
        <v>18612.91832</v>
      </c>
      <c r="C21" s="51">
        <f>IF(OR(14341.34102="",18612.91832=""),"-",18612.91832/14341.34102*100)</f>
        <v>129.78506189932298</v>
      </c>
      <c r="D21" s="51">
        <f>IF(14341.34102="","-",14341.34102/1792621.32665*100)</f>
        <v>0.8000206628580444</v>
      </c>
      <c r="E21" s="51">
        <f>IF(18612.91832="","-",18612.91832/2276281.23687*100)</f>
        <v>0.8176897484598032</v>
      </c>
      <c r="F21" s="51">
        <f>IF(OR(1543712.83473="",12283.94429="",14341.34102=""),"-",(14341.34102-12283.94429)/1543712.83473*100)</f>
        <v>0.1332758712445275</v>
      </c>
      <c r="G21" s="51">
        <f>IF(OR(1792621.32665="",18612.91832="",14341.34102=""),"-",(18612.91832-14341.34102)/1792621.32665*100)</f>
        <v>0.23828664963964274</v>
      </c>
    </row>
    <row r="22" spans="1:7" s="14" customFormat="1" ht="15.75">
      <c r="A22" s="34" t="s">
        <v>112</v>
      </c>
      <c r="B22" s="51">
        <f>IF(11484.29654="","-",11484.29654)</f>
        <v>11484.29654</v>
      </c>
      <c r="C22" s="51">
        <f>IF(OR(8520.80934="",11484.29654=""),"-",11484.29654/8520.80934*100)</f>
        <v>134.77940981601637</v>
      </c>
      <c r="D22" s="51">
        <f>IF(8520.80934="","-",8520.80934/1792621.32665*100)</f>
        <v>0.4753267861608813</v>
      </c>
      <c r="E22" s="51">
        <f>IF(11484.29654="","-",11484.29654/2276281.23687*100)</f>
        <v>0.5045201073568343</v>
      </c>
      <c r="F22" s="51">
        <f>IF(OR(1543712.83473="",6052.72843="",8520.80934=""),"-",(8520.80934-6052.72843)/1543712.83473*100)</f>
        <v>0.15987953552460257</v>
      </c>
      <c r="G22" s="51">
        <f>IF(OR(1792621.32665="",11484.29654="",8520.80934=""),"-",(11484.29654-8520.80934)/1792621.32665*100)</f>
        <v>0.1653158509241927</v>
      </c>
    </row>
    <row r="23" spans="1:7" s="14" customFormat="1" ht="15.75">
      <c r="A23" s="34" t="s">
        <v>118</v>
      </c>
      <c r="B23" s="51">
        <f>IF(9791.56617="","-",9791.56617)</f>
        <v>9791.56617</v>
      </c>
      <c r="C23" s="51">
        <f>IF(OR(7335.58496="",9791.56617=""),"-",9791.56617/7335.58496*100)</f>
        <v>133.48037304989512</v>
      </c>
      <c r="D23" s="51">
        <f>IF(7335.58496="","-",7335.58496/1792621.32665*100)</f>
        <v>0.40920995700238233</v>
      </c>
      <c r="E23" s="51">
        <f>IF(9791.56617="","-",9791.56617/2276281.23687*100)</f>
        <v>0.43015625711803035</v>
      </c>
      <c r="F23" s="51">
        <f>IF(OR(1543712.83473="",7304.22371="",7335.58496=""),"-",(7335.58496-7304.22371)/1543712.83473*100)</f>
        <v>0.002031546884526947</v>
      </c>
      <c r="G23" s="51">
        <f>IF(OR(1792621.32665="",9791.56617="",7335.58496=""),"-",(9791.56617-7335.58496)/1792621.32665*100)</f>
        <v>0.137005020161713</v>
      </c>
    </row>
    <row r="24" spans="1:7" s="14" customFormat="1" ht="15.75">
      <c r="A24" s="34" t="s">
        <v>9</v>
      </c>
      <c r="B24" s="51">
        <f>IF(9140.87811="","-",9140.87811)</f>
        <v>9140.87811</v>
      </c>
      <c r="C24" s="51">
        <f>IF(OR(8832.08108="",9140.87811=""),"-",9140.87811/8832.08108*100)</f>
        <v>103.49631108685429</v>
      </c>
      <c r="D24" s="51">
        <f>IF(8832.08108="","-",8832.08108/1792621.32665*100)</f>
        <v>0.4926908404300391</v>
      </c>
      <c r="E24" s="51">
        <f>IF(9140.87811="","-",9140.87811/2276281.23687*100)</f>
        <v>0.40157068300440596</v>
      </c>
      <c r="F24" s="51">
        <f>IF(OR(1543712.83473="",7407.86013="",8832.08108=""),"-",(8832.08108-7407.86013)/1543712.83473*100)</f>
        <v>0.09225944864603658</v>
      </c>
      <c r="G24" s="51">
        <f>IF(OR(1792621.32665="",9140.87811="",8832.08108=""),"-",(9140.87811-8832.08108)/1792621.32665*100)</f>
        <v>0.017226004477871013</v>
      </c>
    </row>
    <row r="25" spans="1:7" s="14" customFormat="1" ht="15.75">
      <c r="A25" s="34" t="s">
        <v>120</v>
      </c>
      <c r="B25" s="51">
        <f>IF(8533.7753="","-",8533.7753)</f>
        <v>8533.7753</v>
      </c>
      <c r="C25" s="51">
        <f>IF(OR(5735.20303="",8533.7753=""),"-",8533.7753/5735.20303*100)</f>
        <v>148.79639404849456</v>
      </c>
      <c r="D25" s="51">
        <f>IF(5735.20303="","-",5735.20303/1792621.32665*100)</f>
        <v>0.31993388367847797</v>
      </c>
      <c r="E25" s="51">
        <f>IF(8533.7753="","-",8533.7753/2276281.23687*100)</f>
        <v>0.3748998657008817</v>
      </c>
      <c r="F25" s="51">
        <f>IF(OR(1543712.83473="",4990.02192="",5735.20303=""),"-",(5735.20303-4990.02192)/1543712.83473*100)</f>
        <v>0.048272003266095403</v>
      </c>
      <c r="G25" s="51">
        <f>IF(OR(1792621.32665="",8533.7753="",5735.20303=""),"-",(8533.7753-5735.20303)/1792621.32665*100)</f>
        <v>0.15611619857440234</v>
      </c>
    </row>
    <row r="26" spans="1:7" s="14" customFormat="1" ht="15.75">
      <c r="A26" s="34" t="s">
        <v>119</v>
      </c>
      <c r="B26" s="51">
        <f>IF(6672.83788="","-",6672.83788)</f>
        <v>6672.83788</v>
      </c>
      <c r="C26" s="51">
        <f>IF(OR(4624.72993="",6672.83788=""),"-",6672.83788/4624.72993*100)</f>
        <v>144.28600115034175</v>
      </c>
      <c r="D26" s="51">
        <f>IF(4624.72993="","-",4624.72993/1792621.32665*100)</f>
        <v>0.25798699710008277</v>
      </c>
      <c r="E26" s="51">
        <f>IF(6672.83788="","-",6672.83788/2276281.23687*100)</f>
        <v>0.29314646063574656</v>
      </c>
      <c r="F26" s="51">
        <f>IF(OR(1543712.83473="",5087.82514="",4624.72993=""),"-",(4624.72993-5087.82514)/1543712.83473*100)</f>
        <v>-0.029998792494395257</v>
      </c>
      <c r="G26" s="51">
        <f>IF(OR(1792621.32665="",6672.83788="",4624.72993=""),"-",(6672.83788-4624.72993)/1792621.32665*100)</f>
        <v>0.1142521245034748</v>
      </c>
    </row>
    <row r="27" spans="1:7" s="14" customFormat="1" ht="15.75">
      <c r="A27" s="34" t="s">
        <v>116</v>
      </c>
      <c r="B27" s="51">
        <f>IF(6523.47022="","-",6523.47022)</f>
        <v>6523.47022</v>
      </c>
      <c r="C27" s="51">
        <f>IF(OR(5913.82445="",6523.47022=""),"-",6523.47022/5913.82445*100)</f>
        <v>110.30882426684141</v>
      </c>
      <c r="D27" s="51">
        <f>IF(5913.82445="","-",5913.82445/1792621.32665*100)</f>
        <v>0.3298981420159487</v>
      </c>
      <c r="E27" s="51">
        <f>IF(6523.47022="","-",6523.47022/2276281.23687*100)</f>
        <v>0.28658454475379747</v>
      </c>
      <c r="F27" s="51">
        <f>IF(OR(1543712.83473="",4722.77943="",5913.82445=""),"-",(5913.82445-4722.77943)/1543712.83473*100)</f>
        <v>0.07715457131690673</v>
      </c>
      <c r="G27" s="51">
        <f>IF(OR(1792621.32665="",6523.47022="",5913.82445=""),"-",(6523.47022-5913.82445)/1792621.32665*100)</f>
        <v>0.03400861971999903</v>
      </c>
    </row>
    <row r="28" spans="1:7" s="14" customFormat="1" ht="15.75">
      <c r="A28" s="34" t="s">
        <v>111</v>
      </c>
      <c r="B28" s="51">
        <f>IF(5356.59742="","-",5356.59742)</f>
        <v>5356.59742</v>
      </c>
      <c r="C28" s="51">
        <f>IF(OR(4830.70607="",5356.59742=""),"-",5356.59742/4830.70607*100)</f>
        <v>110.88642824422558</v>
      </c>
      <c r="D28" s="51">
        <f>IF(4830.70607="","-",4830.70607/1792621.32665*100)</f>
        <v>0.26947721742368685</v>
      </c>
      <c r="E28" s="51">
        <f>IF(5356.59742="","-",5356.59742/2276281.23687*100)</f>
        <v>0.2353223025888307</v>
      </c>
      <c r="F28" s="51">
        <f>IF(OR(1543712.83473="",5799.25294="",4830.70607=""),"-",(4830.70607-5799.25294)/1543712.83473*100)</f>
        <v>-0.06274138869677805</v>
      </c>
      <c r="G28" s="51">
        <f>IF(OR(1792621.32665="",5356.59742="",4830.70607=""),"-",(5356.59742-4830.70607)/1792621.32665*100)</f>
        <v>0.02933644390936544</v>
      </c>
    </row>
    <row r="29" spans="1:7" s="14" customFormat="1" ht="15.75">
      <c r="A29" s="34" t="s">
        <v>113</v>
      </c>
      <c r="B29" s="51">
        <f>IF(4760.79268="","-",4760.79268)</f>
        <v>4760.79268</v>
      </c>
      <c r="C29" s="51" t="s">
        <v>308</v>
      </c>
      <c r="D29" s="51">
        <f>IF(2911.20533="","-",2911.20533/1792621.32665*100)</f>
        <v>0.1623993470746205</v>
      </c>
      <c r="E29" s="51">
        <f>IF(4760.79268="","-",4760.79268/2276281.23687*100)</f>
        <v>0.2091478242181676</v>
      </c>
      <c r="F29" s="51">
        <f>IF(OR(1543712.83473="",3294.476="",2911.20533=""),"-",(2911.20533-3294.476)/1543712.83473*100)</f>
        <v>-0.024827847600751178</v>
      </c>
      <c r="G29" s="51">
        <f>IF(OR(1792621.32665="",4760.79268="",2911.20533=""),"-",(4760.79268-2911.20533)/1792621.32665*100)</f>
        <v>0.10317780573638809</v>
      </c>
    </row>
    <row r="30" spans="1:7" s="14" customFormat="1" ht="15.75">
      <c r="A30" s="34" t="s">
        <v>117</v>
      </c>
      <c r="B30" s="51">
        <f>IF(4391.58313="","-",4391.58313)</f>
        <v>4391.58313</v>
      </c>
      <c r="C30" s="51">
        <f>IF(OR(3273.44115="",4391.58313=""),"-",4391.58313/3273.44115*100)</f>
        <v>134.15799853313385</v>
      </c>
      <c r="D30" s="51">
        <f>IF(3273.44115="","-",3273.44115/1792621.32665*100)</f>
        <v>0.18260639329318448</v>
      </c>
      <c r="E30" s="51">
        <f>IF(4391.58313="","-",4391.58313/2276281.23687*100)</f>
        <v>0.19292796772505338</v>
      </c>
      <c r="F30" s="51">
        <f>IF(OR(1543712.83473="",2770.45458="",3273.44115=""),"-",(3273.44115-2770.45458)/1543712.83473*100)</f>
        <v>0.032582910414680456</v>
      </c>
      <c r="G30" s="51">
        <f>IF(OR(1792621.32665="",4391.58313="",3273.44115=""),"-",(4391.58313-3273.44115)/1792621.32665*100)</f>
        <v>0.06237468914249458</v>
      </c>
    </row>
    <row r="31" spans="1:7" s="14" customFormat="1" ht="15.75">
      <c r="A31" s="34" t="s">
        <v>121</v>
      </c>
      <c r="B31" s="51">
        <f>IF(2515.00226="","-",2515.00226)</f>
        <v>2515.00226</v>
      </c>
      <c r="C31" s="51">
        <f>IF(OR(2136.53678="",2515.00226=""),"-",2515.00226/2136.53678*100)</f>
        <v>117.7139698011658</v>
      </c>
      <c r="D31" s="51">
        <f>IF(2136.53678="","-",2136.53678/1792621.32665*100)</f>
        <v>0.11918505867564899</v>
      </c>
      <c r="E31" s="51">
        <f>IF(2515.00226="","-",2515.00226/2276281.23687*100)</f>
        <v>0.11048732552302075</v>
      </c>
      <c r="F31" s="51">
        <f>IF(OR(1543712.83473="",1977.72439="",2136.53678=""),"-",(2136.53678-1977.72439)/1543712.83473*100)</f>
        <v>0.010287689939934754</v>
      </c>
      <c r="G31" s="51">
        <f>IF(OR(1792621.32665="",2515.00226="",2136.53678=""),"-",(2515.00226-2136.53678)/1792621.32665*100)</f>
        <v>0.02111240530130621</v>
      </c>
    </row>
    <row r="32" spans="1:7" s="14" customFormat="1" ht="15.75">
      <c r="A32" s="34" t="s">
        <v>114</v>
      </c>
      <c r="B32" s="51">
        <f>IF(1919.25248="","-",1919.25248)</f>
        <v>1919.25248</v>
      </c>
      <c r="C32" s="51">
        <f>IF(OR(2024.46194="",1919.25248=""),"-",1919.25248/2024.46194*100)</f>
        <v>94.80309024727825</v>
      </c>
      <c r="D32" s="51">
        <f>IF(2024.46194="","-",2024.46194/1792621.32665*100)</f>
        <v>0.1129330500481804</v>
      </c>
      <c r="E32" s="51">
        <f>IF(1919.25248="","-",1919.25248/2276281.23687*100)</f>
        <v>0.08431526161675293</v>
      </c>
      <c r="F32" s="51">
        <f>IF(OR(1543712.83473="",1685.42422="",2024.46194=""),"-",(2024.46194-1685.42422)/1543712.83473*100)</f>
        <v>0.02196248631043471</v>
      </c>
      <c r="G32" s="51">
        <f>IF(OR(1792621.32665="",1919.25248="",2024.46194=""),"-",(1919.25248-2024.46194)/1792621.32665*100)</f>
        <v>-0.005869028692000015</v>
      </c>
    </row>
    <row r="33" spans="1:7" s="14" customFormat="1" ht="15.75">
      <c r="A33" s="34" t="s">
        <v>262</v>
      </c>
      <c r="B33" s="51">
        <f>IF(1061.51209="","-",1061.51209)</f>
        <v>1061.51209</v>
      </c>
      <c r="C33" s="51">
        <f>IF(OR(668.02976="",1061.51209=""),"-",1061.51209/668.02976*100)</f>
        <v>158.90191628588522</v>
      </c>
      <c r="D33" s="51">
        <f>IF(668.02976="","-",668.02976/1792621.32665*100)</f>
        <v>0.03726552563381554</v>
      </c>
      <c r="E33" s="51">
        <f>IF(1061.51209="","-",1061.51209/2276281.23687*100)</f>
        <v>0.04663360892345762</v>
      </c>
      <c r="F33" s="51">
        <f>IF(OR(1543712.83473="",625.33632="",668.02976=""),"-",(668.02976-625.33632)/1543712.83473*100)</f>
        <v>0.0027656335452744497</v>
      </c>
      <c r="G33" s="51">
        <f>IF(OR(1792621.32665="",1061.51209="",668.02976=""),"-",(1061.51209-668.02976)/1792621.32665*100)</f>
        <v>0.02195010871232513</v>
      </c>
    </row>
    <row r="34" spans="1:7" s="14" customFormat="1" ht="15.75">
      <c r="A34" s="34" t="s">
        <v>122</v>
      </c>
      <c r="B34" s="51">
        <f>IF(452.64233="","-",452.64233)</f>
        <v>452.64233</v>
      </c>
      <c r="C34" s="51">
        <f>IF(OR(949.57116="",452.64233=""),"-",452.64233/949.57116*100)</f>
        <v>47.66807892522768</v>
      </c>
      <c r="D34" s="51">
        <f>IF(949.57116="","-",949.57116/1792621.32665*100)</f>
        <v>0.052971095784882335</v>
      </c>
      <c r="E34" s="51">
        <f>IF(452.64233="","-",452.64233/2276281.23687*100)</f>
        <v>0.019885167204664295</v>
      </c>
      <c r="F34" s="51">
        <f>IF(OR(1543712.83473="",722.2599="",949.57116=""),"-",(949.57116-722.2599)/1543712.83473*100)</f>
        <v>0.014724970531177668</v>
      </c>
      <c r="G34" s="51">
        <f>IF(OR(1792621.32665="",452.64233="",949.57116=""),"-",(452.64233-949.57116)/1792621.32665*100)</f>
        <v>-0.02772079203858667</v>
      </c>
    </row>
    <row r="35" spans="1:7" s="14" customFormat="1" ht="15.75">
      <c r="A35" s="34" t="s">
        <v>115</v>
      </c>
      <c r="B35" s="51">
        <f>IF(429.25508="","-",429.25508)</f>
        <v>429.25508</v>
      </c>
      <c r="C35" s="51">
        <f>IF(OR(440.98084="",429.25508=""),"-",429.25508/440.98084*100)</f>
        <v>97.34098198007878</v>
      </c>
      <c r="D35" s="51">
        <f>IF(440.98084="","-",440.98084/1792621.32665*100)</f>
        <v>0.024599776508521885</v>
      </c>
      <c r="E35" s="51">
        <f>IF(429.25508="","-",429.25508/2276281.23687*100)</f>
        <v>0.01885773484607935</v>
      </c>
      <c r="F35" s="51">
        <f>IF(OR(1543712.83473="",272.02118="",440.98084=""),"-",(440.98084-272.02118)/1543712.83473*100)</f>
        <v>0.010945018801346658</v>
      </c>
      <c r="G35" s="51">
        <f>IF(OR(1792621.32665="",429.25508="",440.98084=""),"-",(429.25508-440.98084)/1792621.32665*100)</f>
        <v>-0.000654112490221945</v>
      </c>
    </row>
    <row r="36" spans="1:7" s="14" customFormat="1" ht="15.75">
      <c r="A36" s="34" t="s">
        <v>123</v>
      </c>
      <c r="B36" s="51">
        <f>IF(41.89684="","-",41.89684)</f>
        <v>41.89684</v>
      </c>
      <c r="C36" s="51">
        <f>IF(OR(73.04702="",41.89684=""),"-",41.89684/73.04702*100)</f>
        <v>57.355987965012126</v>
      </c>
      <c r="D36" s="51">
        <f>IF(73.04702="","-",73.04702/1792621.32665*100)</f>
        <v>0.004074871748653588</v>
      </c>
      <c r="E36" s="51">
        <f>IF(41.89684="","-",41.89684/2276281.23687*100)</f>
        <v>0.0018405827593434912</v>
      </c>
      <c r="F36" s="51">
        <f>IF(OR(1543712.83473="",59.74726="",73.04702=""),"-",(73.04702-59.74726)/1543712.83473*100)</f>
        <v>0.0008615436563579633</v>
      </c>
      <c r="G36" s="51">
        <f>IF(OR(1792621.32665="",41.89684="",73.04702=""),"-",(41.89684-73.04702)/1792621.32665*100)</f>
        <v>-0.0017376887989061572</v>
      </c>
    </row>
    <row r="37" spans="1:7" s="14" customFormat="1" ht="15.75">
      <c r="A37" s="13" t="s">
        <v>11</v>
      </c>
      <c r="B37" s="21">
        <f>IF(533017.59029="","-",533017.59029)</f>
        <v>533017.59029</v>
      </c>
      <c r="C37" s="21">
        <f>IF(453471.61725="","-",533017.59029/453471.61725*100)</f>
        <v>117.54155497589744</v>
      </c>
      <c r="D37" s="21">
        <f>IF(453471.61725="","-",453471.61725/1792621.32665*100)</f>
        <v>25.296564896805897</v>
      </c>
      <c r="E37" s="21">
        <f>IF(533017.59029="","-",533017.59029/2276281.23687*100)</f>
        <v>23.416157092386598</v>
      </c>
      <c r="F37" s="21">
        <f>IF(1543712.83473="","-",(453471.61725-407983.53979)/1543712.83473*100)</f>
        <v>2.946667050802619</v>
      </c>
      <c r="G37" s="21">
        <f>IF(1792621.32665="","-",(533017.59029-453471.61725)/1792621.32665*100)</f>
        <v>4.4374108383867785</v>
      </c>
    </row>
    <row r="38" spans="1:7" s="14" customFormat="1" ht="15.75">
      <c r="A38" s="34" t="s">
        <v>264</v>
      </c>
      <c r="B38" s="22">
        <f>IF(286077.8343="","-",286077.8343)</f>
        <v>286077.8343</v>
      </c>
      <c r="C38" s="22">
        <f>IF(OR(228973.53438="",286077.8343=""),"-",286077.8343/228973.53438*100)</f>
        <v>124.93925775073673</v>
      </c>
      <c r="D38" s="22">
        <f>IF(228973.53438="","-",228973.53438/1792621.32665*100)</f>
        <v>12.773112256111515</v>
      </c>
      <c r="E38" s="22">
        <f>IF(286077.8343="","-",286077.8343/2276281.23687*100)</f>
        <v>12.56777192845341</v>
      </c>
      <c r="F38" s="22">
        <f>IF(OR(1543712.83473="",225116.96482="",228973.53438=""),"-",(228973.53438-225116.96482)/1543712.83473*100)</f>
        <v>0.24982428553005648</v>
      </c>
      <c r="G38" s="22">
        <f>IF(OR(1792621.32665="",286077.8343="",228973.53438=""),"-",(286077.8343-228973.53438)/1792621.32665*100)</f>
        <v>3.1855193883425947</v>
      </c>
    </row>
    <row r="39" spans="1:7" s="14" customFormat="1" ht="15.75">
      <c r="A39" s="34" t="s">
        <v>13</v>
      </c>
      <c r="B39" s="22">
        <f>IF(204322.41195="","-",204322.41195)</f>
        <v>204322.41195</v>
      </c>
      <c r="C39" s="22">
        <f>IF(OR(177408.66928="",204322.41195=""),"-",204322.41195/177408.66928*100)</f>
        <v>115.17047773326267</v>
      </c>
      <c r="D39" s="22">
        <f>IF(177408.66928="","-",177408.66928/1792621.32665*100)</f>
        <v>9.896605972636525</v>
      </c>
      <c r="E39" s="22">
        <f>IF(204322.41195="","-",204322.41195/2276281.23687*100)</f>
        <v>8.976149723526847</v>
      </c>
      <c r="F39" s="22">
        <f>IF(OR(1543712.83473="",141331.29813="",177408.66928=""),"-",(177408.66928-141331.29813)/1543712.83473*100)</f>
        <v>2.337051965776396</v>
      </c>
      <c r="G39" s="22">
        <f>IF(OR(1792621.32665="",204322.41195="",177408.66928=""),"-",(204322.41195-177408.66928)/1792621.32665*100)</f>
        <v>1.5013624054275672</v>
      </c>
    </row>
    <row r="40" spans="1:7" s="14" customFormat="1" ht="15.75">
      <c r="A40" s="34" t="s">
        <v>12</v>
      </c>
      <c r="B40" s="22">
        <f>IF(38889.52811="","-",38889.52811)</f>
        <v>38889.52811</v>
      </c>
      <c r="C40" s="22">
        <f>IF(OR(44322.31588="",38889.52811=""),"-",38889.52811/44322.31588*100)</f>
        <v>87.74254534733936</v>
      </c>
      <c r="D40" s="22">
        <f>IF(44322.31588="","-",44322.31588/1792621.32665*100)</f>
        <v>2.4724862535708136</v>
      </c>
      <c r="E40" s="22">
        <f>IF(38889.52811="","-",38889.52811/2276281.23687*100)</f>
        <v>1.708467630453038</v>
      </c>
      <c r="F40" s="22">
        <f>IF(OR(1543712.83473="",37965.66438="",44322.31588=""),"-",(44322.31588-37965.66438)/1543712.83473*100)</f>
        <v>0.41177681217580847</v>
      </c>
      <c r="G40" s="22">
        <f>IF(OR(1792621.32665="",38889.52811="",44322.31588=""),"-",(38889.52811-44322.31588)/1792621.32665*100)</f>
        <v>-0.30306388132471024</v>
      </c>
    </row>
    <row r="41" spans="1:7" s="14" customFormat="1" ht="15.75">
      <c r="A41" s="34" t="s">
        <v>16</v>
      </c>
      <c r="B41" s="22">
        <f>IF(1790.56967="","-",1790.56967)</f>
        <v>1790.56967</v>
      </c>
      <c r="C41" s="22">
        <f>IF(OR(1655.87591="",1790.56967=""),"-",1790.56967/1655.87591*100)</f>
        <v>108.13429069090088</v>
      </c>
      <c r="D41" s="22">
        <f>IF(1655.87591="","-",1655.87591/1792621.32665*100)</f>
        <v>0.09237176225580525</v>
      </c>
      <c r="E41" s="22">
        <f>IF(1790.56967="","-",1790.56967/2276281.23687*100)</f>
        <v>0.0786620581410284</v>
      </c>
      <c r="F41" s="22">
        <f>IF(OR(1543712.83473="",1173.34615="",1655.87591=""),"-",(1655.87591-1173.34615)/1543712.83473*100)</f>
        <v>0.03125774102178763</v>
      </c>
      <c r="G41" s="22">
        <f>IF(OR(1792621.32665="",1790.56967="",1655.87591=""),"-",(1790.56967-1655.87591)/1792621.32665*100)</f>
        <v>0.007513787658195052</v>
      </c>
    </row>
    <row r="42" spans="1:7" s="14" customFormat="1" ht="15.75">
      <c r="A42" s="34" t="s">
        <v>14</v>
      </c>
      <c r="B42" s="22">
        <f>IF(1223.89514="","-",1223.89514)</f>
        <v>1223.89514</v>
      </c>
      <c r="C42" s="22" t="s">
        <v>308</v>
      </c>
      <c r="D42" s="22">
        <f>IF(746.00553="","-",746.00553/1792621.32665*100)</f>
        <v>0.04161534390501278</v>
      </c>
      <c r="E42" s="22">
        <f>IF(1223.89514="","-",1223.89514/2276281.23687*100)</f>
        <v>0.05376730784298502</v>
      </c>
      <c r="F42" s="22">
        <f>IF(OR(1543712.83473="",1784.95141="",746.00553=""),"-",(746.00553-1784.95141)/1543712.83473*100)</f>
        <v>-0.06730175824324959</v>
      </c>
      <c r="G42" s="22">
        <f>IF(OR(1792621.32665="",1223.89514="",746.00553=""),"-",(1223.89514-746.00553)/1792621.32665*100)</f>
        <v>0.026658703815214933</v>
      </c>
    </row>
    <row r="43" spans="1:7" s="14" customFormat="1" ht="15.75">
      <c r="A43" s="34" t="s">
        <v>18</v>
      </c>
      <c r="B43" s="22">
        <f>IF(371.34918="","-",371.34918)</f>
        <v>371.34918</v>
      </c>
      <c r="C43" s="22">
        <f>IF(OR(273.08401="",371.34918=""),"-",371.34918/273.08401*100)</f>
        <v>135.9834946029978</v>
      </c>
      <c r="D43" s="22">
        <f>IF(273.08401="","-",273.08401/1792621.32665*100)</f>
        <v>0.015233781163941168</v>
      </c>
      <c r="E43" s="22">
        <f>IF(371.34918="","-",371.34918/2276281.23687*100)</f>
        <v>0.01631385322626582</v>
      </c>
      <c r="F43" s="22">
        <f>IF(OR(1543712.83473="",40.39007="",273.08401=""),"-",(273.08401-40.39007)/1543712.83473*100)</f>
        <v>0.015073654553160388</v>
      </c>
      <c r="G43" s="22">
        <f>IF(OR(1792621.32665="",371.34918="",273.08401=""),"-",(371.34918-273.08401)/1792621.32665*100)</f>
        <v>0.005481646822959268</v>
      </c>
    </row>
    <row r="44" spans="1:7" s="14" customFormat="1" ht="15.75">
      <c r="A44" s="34" t="s">
        <v>15</v>
      </c>
      <c r="B44" s="22">
        <f>IF(282.34938="","-",282.34938)</f>
        <v>282.34938</v>
      </c>
      <c r="C44" s="22" t="s">
        <v>277</v>
      </c>
      <c r="D44" s="22">
        <f>IF(62.77434="","-",62.77434/1792621.32665*100)</f>
        <v>0.003501818207044926</v>
      </c>
      <c r="E44" s="22">
        <f>IF(282.34938="","-",282.34938/2276281.23687*100)</f>
        <v>0.012403976074074416</v>
      </c>
      <c r="F44" s="22">
        <f>IF(OR(1543712.83473="",493.4583="",62.77434=""),"-",(62.77434-493.4583)/1543712.83473*100)</f>
        <v>-0.027899227778029577</v>
      </c>
      <c r="G44" s="22">
        <f>IF(OR(1792621.32665="",282.34938="",62.77434=""),"-",(282.34938-62.77434)/1792621.32665*100)</f>
        <v>0.012248824486002053</v>
      </c>
    </row>
    <row r="45" spans="1:7" s="14" customFormat="1" ht="15.75">
      <c r="A45" s="34" t="s">
        <v>265</v>
      </c>
      <c r="B45" s="22">
        <f>IF(58.69841="","-",58.69841)</f>
        <v>58.69841</v>
      </c>
      <c r="C45" s="22" t="s">
        <v>176</v>
      </c>
      <c r="D45" s="22">
        <f>IF(22.32818="","-",22.32818/1792621.32665*100)</f>
        <v>0.0012455603237593001</v>
      </c>
      <c r="E45" s="22">
        <f>IF(58.69841="","-",58.69841/2276281.23687*100)</f>
        <v>0.0025786976164998503</v>
      </c>
      <c r="F45" s="22">
        <f>IF(OR(1543712.83473="",76.73739="",22.32818=""),"-",(22.32818-76.73739)/1543712.83473*100)</f>
        <v>-0.003524568091675958</v>
      </c>
      <c r="G45" s="22">
        <f>IF(OR(1792621.32665="",58.69841="",22.32818=""),"-",(58.69841-22.32818)/1792621.32665*100)</f>
        <v>0.002028885267585635</v>
      </c>
    </row>
    <row r="46" spans="1:7" s="14" customFormat="1" ht="15.75">
      <c r="A46" s="34" t="s">
        <v>17</v>
      </c>
      <c r="B46" s="22">
        <f>IF(0.918="","-",0.918)</f>
        <v>0.918</v>
      </c>
      <c r="C46" s="22">
        <f>IF(OR(4.47522="",0.918=""),"-",0.918/4.47522*100)</f>
        <v>20.512958022175447</v>
      </c>
      <c r="D46" s="22">
        <f>IF(4.47522="","-",4.47522/1792621.32665*100)</f>
        <v>0.00024964670081010164</v>
      </c>
      <c r="E46" s="22">
        <f>IF(0.918="","-",0.918/2276281.23687*100)</f>
        <v>4.0328935859537974E-05</v>
      </c>
      <c r="F46" s="22">
        <f>IF(OR(1543712.83473="",0.63973="",4.47522=""),"-",(4.47522-0.63973)/1543712.83473*100)</f>
        <v>0.00024845877508499425</v>
      </c>
      <c r="G46" s="22">
        <f>IF(OR(1792621.32665="",0.918="",4.47522=""),"-",(0.918-4.47522)/1792621.32665*100)</f>
        <v>-0.00019843677786917957</v>
      </c>
    </row>
    <row r="47" spans="1:7" s="14" customFormat="1" ht="15.75">
      <c r="A47" s="34" t="s">
        <v>19</v>
      </c>
      <c r="B47" s="22">
        <f>IF(0.03615="","-",0.03615)</f>
        <v>0.03615</v>
      </c>
      <c r="C47" s="22">
        <f>IF(OR(2.55452="",0.03615=""),"-",0.03615/2.55452*100)</f>
        <v>1.415138656185898</v>
      </c>
      <c r="D47" s="22">
        <f>IF(2.55452="","-",2.55452/1792621.32665*100)</f>
        <v>0.00014250193066562555</v>
      </c>
      <c r="E47" s="22">
        <f>IF(0.03615="","-",0.03615/2276281.23687*100)</f>
        <v>1.588116591854355E-06</v>
      </c>
      <c r="F47" s="22">
        <f>IF(OR(1543712.83473="",0.08941="",2.55452=""),"-",(2.55452-0.08941)/1543712.83473*100)</f>
        <v>0.00015968708328004252</v>
      </c>
      <c r="G47" s="22">
        <f>IF(OR(1792621.32665="",0.03615="",2.55452=""),"-",(0.03615-2.55452)/1792621.32665*100)</f>
        <v>-0.00014048533075896507</v>
      </c>
    </row>
    <row r="48" spans="1:7" s="14" customFormat="1" ht="15.75">
      <c r="A48" s="13" t="s">
        <v>20</v>
      </c>
      <c r="B48" s="21">
        <f>IF(592503.54197="","-",592503.54197)</f>
        <v>592503.54197</v>
      </c>
      <c r="C48" s="21">
        <f>IF(461523.11514="","-",592503.54197/461523.11514*100)</f>
        <v>128.3800361310761</v>
      </c>
      <c r="D48" s="21">
        <f>IF(461523.11514="","-",461523.11514/1792621.32665*100)</f>
        <v>25.74571150520012</v>
      </c>
      <c r="E48" s="21">
        <f>IF(592503.54197="","-",592503.54197/2276281.23687*100)</f>
        <v>26.02945244080305</v>
      </c>
      <c r="F48" s="21">
        <f>IF(1543712.83473="","-",(461523.11514-387528.84063)/1543712.83473*100)</f>
        <v>4.79326678157352</v>
      </c>
      <c r="G48" s="21">
        <f>IF(1792621.32665="","-",(592503.54197-461523.11514)/1792621.32665*100)</f>
        <v>7.306642227378413</v>
      </c>
    </row>
    <row r="49" spans="1:7" s="14" customFormat="1" ht="15.75">
      <c r="A49" s="34" t="s">
        <v>127</v>
      </c>
      <c r="B49" s="22">
        <f>IF(238837.48652="","-",238837.48652)</f>
        <v>238837.48652</v>
      </c>
      <c r="C49" s="22">
        <f>IF(OR(175157.03495="",238837.48652=""),"-",238837.48652/175157.03495*100)</f>
        <v>136.3562054976428</v>
      </c>
      <c r="D49" s="22">
        <f>IF(175157.03495="","-",175157.03495/1792621.32665*100)</f>
        <v>9.771000285784199</v>
      </c>
      <c r="E49" s="22">
        <f>IF(238837.48652="","-",238837.48652/2276281.23687*100)</f>
        <v>10.492441911457892</v>
      </c>
      <c r="F49" s="22">
        <f>IF(OR(1543712.83473="",138097.6223="",175157.03495=""),"-",(175157.03495-138097.6223)/1543712.83473*100)</f>
        <v>2.4006675215913336</v>
      </c>
      <c r="G49" s="22">
        <f>IF(OR(1792621.32665="",238837.48652="",175157.03495=""),"-",(238837.48652-175157.03495)/1792621.32665*100)</f>
        <v>3.5523649430749678</v>
      </c>
    </row>
    <row r="50" spans="1:7" s="14" customFormat="1" ht="15.75">
      <c r="A50" s="34" t="s">
        <v>124</v>
      </c>
      <c r="B50" s="22">
        <f>IF(138193.58365="","-",138193.58365)</f>
        <v>138193.58365</v>
      </c>
      <c r="C50" s="22">
        <f>IF(OR(121908.37073="",138193.58365=""),"-",138193.58365/121908.37073*100)</f>
        <v>113.35856826113124</v>
      </c>
      <c r="D50" s="22">
        <f>IF(121908.37073="","-",121908.37073/1792621.32665*100)</f>
        <v>6.800564565290479</v>
      </c>
      <c r="E50" s="22">
        <f>IF(138193.58365="","-",138193.58365/2276281.23687*100)</f>
        <v>6.071024151656367</v>
      </c>
      <c r="F50" s="22">
        <f>IF(OR(1543712.83473="",110546.82784="",121908.37073=""),"-",(121908.37073-110546.82784)/1543712.83473*100)</f>
        <v>0.7359881083055946</v>
      </c>
      <c r="G50" s="22">
        <f>IF(OR(1792621.32665="",138193.58365="",121908.37073=""),"-",(138193.58365-121908.37073)/1792621.32665*100)</f>
        <v>0.908458059596632</v>
      </c>
    </row>
    <row r="51" spans="1:7" s="14" customFormat="1" ht="15.75">
      <c r="A51" s="34" t="s">
        <v>21</v>
      </c>
      <c r="B51" s="22">
        <f>IF(33019.70873="","-",33019.70873)</f>
        <v>33019.70873</v>
      </c>
      <c r="C51" s="22">
        <f>IF(OR(34175.4137="",33019.70873=""),"-",33019.70873/34175.4137*100)</f>
        <v>96.61831461604223</v>
      </c>
      <c r="D51" s="22">
        <f>IF(34175.4137="","-",34175.4137/1792621.32665*100)</f>
        <v>1.9064491307746543</v>
      </c>
      <c r="E51" s="22">
        <f>IF(33019.70873="","-",33019.70873/2276281.23687*100)</f>
        <v>1.450598818597817</v>
      </c>
      <c r="F51" s="22">
        <f>IF(OR(1543712.83473="",25672.49925="",34175.4137=""),"-",(34175.4137-25672.49925)/1543712.83473*100)</f>
        <v>0.5508093382851987</v>
      </c>
      <c r="G51" s="22">
        <f>IF(OR(1792621.32665="",33019.70873="",34175.4137=""),"-",(33019.70873-34175.4137)/1792621.32665*100)</f>
        <v>-0.06447011160799629</v>
      </c>
    </row>
    <row r="52" spans="1:7" s="14" customFormat="1" ht="15.75">
      <c r="A52" s="34" t="s">
        <v>145</v>
      </c>
      <c r="B52" s="22">
        <f>IF(24013.97071="","-",24013.97071)</f>
        <v>24013.97071</v>
      </c>
      <c r="C52" s="22" t="s">
        <v>184</v>
      </c>
      <c r="D52" s="22">
        <f>IF(12388.41617="","-",12388.41617/1792621.32665*100)</f>
        <v>0.6910782542764412</v>
      </c>
      <c r="E52" s="22">
        <f>IF(24013.97071="","-",24013.97071/2276281.23687*100)</f>
        <v>1.0549650157913002</v>
      </c>
      <c r="F52" s="22">
        <f>IF(OR(1543712.83473="",11234.68874="",12388.41617=""),"-",(12388.41617-11234.68874)/1543712.83473*100)</f>
        <v>0.07473717935381363</v>
      </c>
      <c r="G52" s="22">
        <f>IF(OR(1792621.32665="",24013.97071="",12388.41617=""),"-",(24013.97071-12388.41617)/1792621.32665*100)</f>
        <v>0.6485226058157809</v>
      </c>
    </row>
    <row r="53" spans="1:7" s="14" customFormat="1" ht="15.75">
      <c r="A53" s="34" t="s">
        <v>104</v>
      </c>
      <c r="B53" s="22">
        <f>IF(14601.47097="","-",14601.47097)</f>
        <v>14601.47097</v>
      </c>
      <c r="C53" s="22" t="s">
        <v>183</v>
      </c>
      <c r="D53" s="22">
        <f>IF(8789.43597="","-",8789.43597/1792621.32665*100)</f>
        <v>0.4903119158146718</v>
      </c>
      <c r="E53" s="22">
        <f>IF(14601.47097="","-",14601.47097/2276281.23687*100)</f>
        <v>0.6414616407451369</v>
      </c>
      <c r="F53" s="22">
        <f>IF(OR(1543712.83473="",7831.5195="",8789.43597=""),"-",(8789.43597-7831.5195)/1543712.83473*100)</f>
        <v>0.06205276321146494</v>
      </c>
      <c r="G53" s="22">
        <f>IF(OR(1792621.32665="",14601.47097="",8789.43597=""),"-",(14601.47097-8789.43597)/1792621.32665*100)</f>
        <v>0.3242198959476493</v>
      </c>
    </row>
    <row r="54" spans="1:7" s="14" customFormat="1" ht="15.75">
      <c r="A54" s="34" t="s">
        <v>141</v>
      </c>
      <c r="B54" s="22">
        <f>IF(13985.65776="","-",13985.65776)</f>
        <v>13985.65776</v>
      </c>
      <c r="C54" s="22">
        <f>IF(OR(10767.21588="",13985.65776=""),"-",13985.65776/10767.21588*100)</f>
        <v>129.8911242782661</v>
      </c>
      <c r="D54" s="22">
        <f>IF(10767.21588="","-",10767.21588/1792621.32665*100)</f>
        <v>0.6006408447745888</v>
      </c>
      <c r="E54" s="22">
        <f>IF(13985.65776="","-",13985.65776/2276281.23687*100)</f>
        <v>0.6144081642227555</v>
      </c>
      <c r="F54" s="22">
        <f>IF(OR(1543712.83473="",5310.73809="",10767.21588=""),"-",(10767.21588-5310.73809)/1543712.83473*100)</f>
        <v>0.35346456071633</v>
      </c>
      <c r="G54" s="22">
        <f>IF(OR(1792621.32665="",13985.65776="",10767.21588=""),"-",(13985.65776-10767.21588)/1792621.32665*100)</f>
        <v>0.17953830137759955</v>
      </c>
    </row>
    <row r="55" spans="1:7" s="14" customFormat="1" ht="15.75">
      <c r="A55" s="34" t="s">
        <v>138</v>
      </c>
      <c r="B55" s="22">
        <f>IF(12982.10268="","-",12982.10268)</f>
        <v>12982.10268</v>
      </c>
      <c r="C55" s="22">
        <f>IF(OR(11721.8956="",12982.10268=""),"-",12982.10268/11721.8956*100)</f>
        <v>110.75088128237553</v>
      </c>
      <c r="D55" s="22">
        <f>IF(11721.8956="","-",11721.8956/1792621.32665*100)</f>
        <v>0.6538969176443721</v>
      </c>
      <c r="E55" s="22">
        <f>IF(12982.10268="","-",12982.10268/2276281.23687*100)</f>
        <v>0.5703206822479913</v>
      </c>
      <c r="F55" s="22">
        <f>IF(OR(1543712.83473="",10134.59002="",11721.8956=""),"-",(11721.8956-10134.59002)/1543712.83473*100)</f>
        <v>0.10282388954015692</v>
      </c>
      <c r="G55" s="22">
        <f>IF(OR(1792621.32665="",12982.10268="",11721.8956=""),"-",(12982.10268-11721.8956)/1792621.32665*100)</f>
        <v>0.0702996813250593</v>
      </c>
    </row>
    <row r="56" spans="1:7" s="14" customFormat="1" ht="15.75">
      <c r="A56" s="34" t="s">
        <v>266</v>
      </c>
      <c r="B56" s="22">
        <f>IF(12118.76764="","-",12118.76764)</f>
        <v>12118.76764</v>
      </c>
      <c r="C56" s="22">
        <f>IF(OR(12234.63215="",12118.76764=""),"-",12118.76764/12234.63215*100)</f>
        <v>99.05297921033123</v>
      </c>
      <c r="D56" s="22">
        <f>IF(12234.63215="","-",12234.63215/1792621.32665*100)</f>
        <v>0.6824995311677863</v>
      </c>
      <c r="E56" s="22">
        <f>IF(12118.76764="","-",12118.76764/2276281.23687*100)</f>
        <v>0.5323932492921617</v>
      </c>
      <c r="F56" s="22">
        <f>IF(OR(1543712.83473="",10269.53121="",12234.63215=""),"-",(12234.63215-10269.53121)/1543712.83473*100)</f>
        <v>0.12729705265057942</v>
      </c>
      <c r="G56" s="22">
        <f>IF(OR(1792621.32665="",12118.76764="",12234.63215=""),"-",(12118.76764-12234.63215)/1792621.32665*100)</f>
        <v>-0.006463412449550835</v>
      </c>
    </row>
    <row r="57" spans="1:7" s="14" customFormat="1" ht="15.75">
      <c r="A57" s="34" t="s">
        <v>135</v>
      </c>
      <c r="B57" s="22">
        <f>IF(10404.46194="","-",10404.46194)</f>
        <v>10404.46194</v>
      </c>
      <c r="C57" s="22" t="s">
        <v>182</v>
      </c>
      <c r="D57" s="22">
        <f>IF(5631.93825="","-",5631.93825/1792621.32665*100)</f>
        <v>0.3141733374624527</v>
      </c>
      <c r="E57" s="22">
        <f>IF(10404.46194="","-",10404.46194/2276281.23687*100)</f>
        <v>0.4570815667007233</v>
      </c>
      <c r="F57" s="22">
        <f>IF(OR(1543712.83473="",6347.83428="",5631.93825=""),"-",(5631.93825-6347.83428)/1543712.83473*100)</f>
        <v>-0.04637494836435769</v>
      </c>
      <c r="G57" s="22">
        <f>IF(OR(1792621.32665="",10404.46194="",5631.93825=""),"-",(10404.46194-5631.93825)/1792621.32665*100)</f>
        <v>0.26623155816843685</v>
      </c>
    </row>
    <row r="58" spans="1:7" s="14" customFormat="1" ht="15.75">
      <c r="A58" s="34" t="s">
        <v>139</v>
      </c>
      <c r="B58" s="22">
        <f>IF(8393.15166="","-",8393.15166)</f>
        <v>8393.15166</v>
      </c>
      <c r="C58" s="22">
        <f>IF(OR(5988.24265="",8393.15166=""),"-",8393.15166/5988.24265*100)</f>
        <v>140.16051370263025</v>
      </c>
      <c r="D58" s="22">
        <f>IF(5988.24265="","-",5988.24265/1792621.32665*100)</f>
        <v>0.3340495039847963</v>
      </c>
      <c r="E58" s="22">
        <f>IF(8393.15166="","-",8393.15166/2276281.23687*100)</f>
        <v>0.3687220860081859</v>
      </c>
      <c r="F58" s="22">
        <f>IF(OR(1543712.83473="",4795.39387="",5988.24265=""),"-",(5988.24265-4795.39387)/1543712.83473*100)</f>
        <v>0.07727141688296146</v>
      </c>
      <c r="G58" s="22">
        <f>IF(OR(1792621.32665="",8393.15166="",5988.24265=""),"-",(8393.15166-5988.24265)/1792621.32665*100)</f>
        <v>0.13415599682138252</v>
      </c>
    </row>
    <row r="59" spans="1:7" s="14" customFormat="1" ht="15.75">
      <c r="A59" s="34" t="s">
        <v>150</v>
      </c>
      <c r="B59" s="22">
        <f>IF(7344.88279="","-",7344.88279)</f>
        <v>7344.88279</v>
      </c>
      <c r="C59" s="22">
        <f>IF(OR(5901.28328="",7344.88279=""),"-",7344.88279/5901.28328*100)</f>
        <v>124.46246759399762</v>
      </c>
      <c r="D59" s="22">
        <f>IF(5901.28328="","-",5901.28328/1792621.32665*100)</f>
        <v>0.32919854250691927</v>
      </c>
      <c r="E59" s="22">
        <f>IF(7344.88279="","-",7344.88279/2276281.23687*100)</f>
        <v>0.32267026899099593</v>
      </c>
      <c r="F59" s="22">
        <f>IF(OR(1543712.83473="",4604.62898="",5901.28328=""),"-",(5901.28328-4604.62898)/1543712.83473*100)</f>
        <v>0.08399582298133758</v>
      </c>
      <c r="G59" s="22">
        <f>IF(OR(1792621.32665="",7344.88279="",5901.28328=""),"-",(7344.88279-5901.28328)/1792621.32665*100)</f>
        <v>0.08053008678066761</v>
      </c>
    </row>
    <row r="60" spans="1:7" s="14" customFormat="1" ht="15.75">
      <c r="A60" s="34" t="s">
        <v>130</v>
      </c>
      <c r="B60" s="22">
        <f>IF(7101.41976="","-",7101.41976)</f>
        <v>7101.41976</v>
      </c>
      <c r="C60" s="22" t="s">
        <v>183</v>
      </c>
      <c r="D60" s="22">
        <f>IF(4168.23348="","-",4168.23348/1792621.32665*100)</f>
        <v>0.23252169423809527</v>
      </c>
      <c r="E60" s="22">
        <f>IF(7101.41976="","-",7101.41976/2276281.23687*100)</f>
        <v>0.31197462092886225</v>
      </c>
      <c r="F60" s="22">
        <f>IF(OR(1543712.83473="",6685.38141="",4168.23348=""),"-",(4168.23348-6685.38141)/1543712.83473*100)</f>
        <v>-0.1630580424914493</v>
      </c>
      <c r="G60" s="22">
        <f>IF(OR(1792621.32665="",7101.41976="",4168.23348=""),"-",(7101.41976-4168.23348)/1792621.32665*100)</f>
        <v>0.1636255374402722</v>
      </c>
    </row>
    <row r="61" spans="1:7" s="14" customFormat="1" ht="15.75">
      <c r="A61" s="34" t="s">
        <v>154</v>
      </c>
      <c r="B61" s="22">
        <f>IF(5070.93992="","-",5070.93992)</f>
        <v>5070.93992</v>
      </c>
      <c r="C61" s="22" t="s">
        <v>176</v>
      </c>
      <c r="D61" s="22">
        <f>IF(1938.86667="","-",1938.86667/1792621.32665*100)</f>
        <v>0.10815818383815054</v>
      </c>
      <c r="E61" s="22">
        <f>IF(5070.93992="","-",5070.93992/2276281.23687*100)</f>
        <v>0.22277299649373702</v>
      </c>
      <c r="F61" s="22">
        <f>IF(OR(1543712.83473="",1814.67139="",1938.86667=""),"-",(1938.86667-1814.67139)/1543712.83473*100)</f>
        <v>0.008045232066864447</v>
      </c>
      <c r="G61" s="22">
        <f>IF(OR(1792621.32665="",5070.93992="",1938.86667=""),"-",(5070.93992-1938.86667)/1792621.32665*100)</f>
        <v>0.17472029387562454</v>
      </c>
    </row>
    <row r="62" spans="1:7" s="14" customFormat="1" ht="15.75">
      <c r="A62" s="34" t="s">
        <v>140</v>
      </c>
      <c r="B62" s="22">
        <f>IF(4900.26292="","-",4900.26292)</f>
        <v>4900.26292</v>
      </c>
      <c r="C62" s="22">
        <f>IF(OR(3353.06267="",4900.26292=""),"-",4900.26292/3353.06267*100)</f>
        <v>146.14289687582846</v>
      </c>
      <c r="D62" s="22">
        <f>IF(3353.06267="","-",3353.06267/1792621.32665*100)</f>
        <v>0.1870480184605473</v>
      </c>
      <c r="E62" s="22">
        <f>IF(4900.26292="","-",4900.26292/2276281.23687*100)</f>
        <v>0.21527493354635321</v>
      </c>
      <c r="F62" s="22">
        <f>IF(OR(1543712.83473="",2320.85062="",3353.06267=""),"-",(3353.06267-2320.85062)/1543712.83473*100)</f>
        <v>0.06686554822746787</v>
      </c>
      <c r="G62" s="22">
        <f>IF(OR(1792621.32665="",4900.26292="",3353.06267=""),"-",(4900.26292-3353.06267)/1792621.32665*100)</f>
        <v>0.08630937426653093</v>
      </c>
    </row>
    <row r="63" spans="1:7" s="14" customFormat="1" ht="15.75">
      <c r="A63" s="34" t="s">
        <v>129</v>
      </c>
      <c r="B63" s="22">
        <f>IF(3934.57865="","-",3934.57865)</f>
        <v>3934.57865</v>
      </c>
      <c r="C63" s="22">
        <f>IF(OR(3533.89686="",3934.57865=""),"-",3934.57865/3533.89686*100)</f>
        <v>111.33824233908175</v>
      </c>
      <c r="D63" s="22">
        <f>IF(3533.89686="","-",3533.89686/1792621.32665*100)</f>
        <v>0.19713571446815523</v>
      </c>
      <c r="E63" s="22">
        <f>IF(3934.57865="","-",3934.57865/2276281.23687*100)</f>
        <v>0.17285116558840688</v>
      </c>
      <c r="F63" s="22">
        <f>IF(OR(1543712.83473="",2532.33896="",3533.89686=""),"-",(3533.89686-2532.33896)/1543712.83473*100)</f>
        <v>0.06487980649426778</v>
      </c>
      <c r="G63" s="22">
        <f>IF(OR(1792621.32665="",3934.57865="",3533.89686=""),"-",(3934.57865-3533.89686)/1792621.32665*100)</f>
        <v>0.022351725043279657</v>
      </c>
    </row>
    <row r="64" spans="1:7" s="14" customFormat="1" ht="15.75">
      <c r="A64" s="34" t="s">
        <v>153</v>
      </c>
      <c r="B64" s="22">
        <f>IF(3791.76572="","-",3791.76572)</f>
        <v>3791.76572</v>
      </c>
      <c r="C64" s="22">
        <f>IF(OR(2531.40571="",3791.76572=""),"-",3791.76572/2531.40571*100)</f>
        <v>149.7889376254903</v>
      </c>
      <c r="D64" s="22">
        <f>IF(2531.40571="","-",2531.40571/1792621.32665*100)</f>
        <v>0.14121251780099142</v>
      </c>
      <c r="E64" s="22">
        <f>IF(3791.76572="","-",3791.76572/2276281.23687*100)</f>
        <v>0.16657720753406843</v>
      </c>
      <c r="F64" s="22">
        <f>IF(OR(1543712.83473="",2013.95677="",2531.40571=""),"-",(2531.40571-2013.95677)/1543712.83473*100)</f>
        <v>0.03351976665339466</v>
      </c>
      <c r="G64" s="22">
        <f>IF(OR(1792621.32665="",3791.76572="",2531.40571=""),"-",(3791.76572-2531.40571)/1792621.32665*100)</f>
        <v>0.07030821240732</v>
      </c>
    </row>
    <row r="65" spans="1:7" s="14" customFormat="1" ht="15.75">
      <c r="A65" s="34" t="s">
        <v>147</v>
      </c>
      <c r="B65" s="22">
        <f>IF(3640.23128="","-",3640.23128)</f>
        <v>3640.23128</v>
      </c>
      <c r="C65" s="22">
        <f>IF(OR(3233.52596="",3640.23128=""),"-",3640.23128/3233.52596*100)</f>
        <v>112.57776572791145</v>
      </c>
      <c r="D65" s="22">
        <f>IF(3233.52596="","-",3233.52596/1792621.32665*100)</f>
        <v>0.1803797551623868</v>
      </c>
      <c r="E65" s="22">
        <f>IF(3640.23128="","-",3640.23128/2276281.23687*100)</f>
        <v>0.15992010218410002</v>
      </c>
      <c r="F65" s="22">
        <f>IF(OR(1543712.83473="",2374.76605="",3233.52596=""),"-",(3233.52596-2374.76605)/1543712.83473*100)</f>
        <v>0.05562951156976028</v>
      </c>
      <c r="G65" s="22">
        <f>IF(OR(1792621.32665="",3640.23128="",3233.52596=""),"-",(3640.23128-3233.52596)/1792621.32665*100)</f>
        <v>0.02268774302490529</v>
      </c>
    </row>
    <row r="66" spans="1:7" s="14" customFormat="1" ht="15.75">
      <c r="A66" s="34" t="s">
        <v>151</v>
      </c>
      <c r="B66" s="22">
        <f>IF(3412.40069="","-",3412.40069)</f>
        <v>3412.40069</v>
      </c>
      <c r="C66" s="22">
        <f>IF(OR(2947.76933="",3412.40069=""),"-",3412.40069/2947.76933*100)</f>
        <v>115.76213427798979</v>
      </c>
      <c r="D66" s="22">
        <f>IF(2947.76933="","-",2947.76933/1792621.32665*100)</f>
        <v>0.16443904165241122</v>
      </c>
      <c r="E66" s="22">
        <f>IF(3412.40069="","-",3412.40069/2276281.23687*100)</f>
        <v>0.14991120757522125</v>
      </c>
      <c r="F66" s="22">
        <f>IF(OR(1543712.83473="",2369.49916="",2947.76933=""),"-",(2947.76933-2369.49916)/1543712.83473*100)</f>
        <v>0.037459698267077075</v>
      </c>
      <c r="G66" s="22">
        <f>IF(OR(1792621.32665="",3412.40069="",2947.76933=""),"-",(3412.40069-2947.76933)/1792621.32665*100)</f>
        <v>0.02591910255069261</v>
      </c>
    </row>
    <row r="67" spans="1:7" s="14" customFormat="1" ht="15.75">
      <c r="A67" s="34" t="s">
        <v>131</v>
      </c>
      <c r="B67" s="22">
        <f>IF(3270.0415="","-",3270.0415)</f>
        <v>3270.0415</v>
      </c>
      <c r="C67" s="22">
        <f>IF(OR(2924.17493="",3270.0415=""),"-",3270.0415/2924.17493*100)</f>
        <v>111.82783445859033</v>
      </c>
      <c r="D67" s="22">
        <f>IF(2924.17493="","-",2924.17493/1792621.32665*100)</f>
        <v>0.16312284622121592</v>
      </c>
      <c r="E67" s="22">
        <f>IF(3270.0415="","-",3270.0415/2276281.23687*100)</f>
        <v>0.1436571829101605</v>
      </c>
      <c r="F67" s="22">
        <f>IF(OR(1543712.83473="",2013.34498="",2924.17493=""),"-",(2924.17493-2013.34498)/1543712.83473*100)</f>
        <v>0.059002550831243616</v>
      </c>
      <c r="G67" s="22">
        <f>IF(OR(1792621.32665="",3270.0415="",2924.17493=""),"-",(3270.0415-2924.17493)/1792621.32665*100)</f>
        <v>0.01929390021518629</v>
      </c>
    </row>
    <row r="68" spans="1:7" s="14" customFormat="1" ht="15.75">
      <c r="A68" s="34" t="s">
        <v>137</v>
      </c>
      <c r="B68" s="22">
        <f>IF(2813.49477="","-",2813.49477)</f>
        <v>2813.49477</v>
      </c>
      <c r="C68" s="22">
        <f>IF(OR(2217.11059="",2813.49477=""),"-",2813.49477/2217.11059*100)</f>
        <v>126.89916248156119</v>
      </c>
      <c r="D68" s="22">
        <f>IF(2217.11059="","-",2217.11059/1792621.32665*100)</f>
        <v>0.12367980660719202</v>
      </c>
      <c r="E68" s="22">
        <f>IF(2813.49477="","-",2813.49477/2276281.23687*100)</f>
        <v>0.12360049032731539</v>
      </c>
      <c r="F68" s="22">
        <f>IF(OR(1543712.83473="",1231.6045="",2217.11059=""),"-",(2217.11059-1231.6045)/1543712.83473*100)</f>
        <v>0.06383998810066044</v>
      </c>
      <c r="G68" s="22">
        <f>IF(OR(1792621.32665="",2813.49477="",2217.11059=""),"-",(2813.49477-2217.11059)/1792621.32665*100)</f>
        <v>0.03326883213614924</v>
      </c>
    </row>
    <row r="69" spans="1:7" s="14" customFormat="1" ht="15.75">
      <c r="A69" s="34" t="s">
        <v>155</v>
      </c>
      <c r="B69" s="22">
        <f>IF(2679.89765="","-",2679.89765)</f>
        <v>2679.89765</v>
      </c>
      <c r="C69" s="22" t="s">
        <v>166</v>
      </c>
      <c r="D69" s="22">
        <f>IF(1282.27864="","-",1282.27864/1792621.32665*100)</f>
        <v>0.07153092629977165</v>
      </c>
      <c r="E69" s="22">
        <f>IF(2679.89765="","-",2679.89765/2276281.23687*100)</f>
        <v>0.11773139481152128</v>
      </c>
      <c r="F69" s="22">
        <f>IF(OR(1543712.83473="",1586.6711="",1282.27864=""),"-",(1282.27864-1586.6711)/1543712.83473*100)</f>
        <v>-0.01971820491168224</v>
      </c>
      <c r="G69" s="22">
        <f>IF(OR(1792621.32665="",2679.89765="",1282.27864=""),"-",(2679.89765-1282.27864)/1792621.32665*100)</f>
        <v>0.07796510000312395</v>
      </c>
    </row>
    <row r="70" spans="1:7" s="14" customFormat="1" ht="15.75">
      <c r="A70" s="34" t="s">
        <v>133</v>
      </c>
      <c r="B70" s="22">
        <f>IF(2650.64822="","-",2650.64822)</f>
        <v>2650.64822</v>
      </c>
      <c r="C70" s="22">
        <f>IF(OR(5068.21117="",2650.64822=""),"-",2650.64822/5068.21117*100)</f>
        <v>52.29948262001878</v>
      </c>
      <c r="D70" s="22">
        <f>IF(5068.21117="","-",5068.21117/1792621.32665*100)</f>
        <v>0.28272625649675437</v>
      </c>
      <c r="E70" s="22">
        <f>IF(2650.64822="","-",2650.64822/2276281.23687*100)</f>
        <v>0.1164464292489962</v>
      </c>
      <c r="F70" s="22">
        <f>IF(OR(1543712.83473="",2167.63076="",5068.21117=""),"-",(5068.21117-2167.63076)/1543712.83473*100)</f>
        <v>0.18789637196398123</v>
      </c>
      <c r="G70" s="22">
        <f>IF(OR(1792621.32665="",2650.64822="",5068.21117=""),"-",(2650.64822-5068.21117)/1792621.32665*100)</f>
        <v>-0.13486188711800462</v>
      </c>
    </row>
    <row r="71" spans="1:7" s="14" customFormat="1" ht="15.75">
      <c r="A71" s="34" t="s">
        <v>144</v>
      </c>
      <c r="B71" s="22">
        <f>IF(2250.19585="","-",2250.19585)</f>
        <v>2250.19585</v>
      </c>
      <c r="C71" s="22" t="s">
        <v>226</v>
      </c>
      <c r="D71" s="22">
        <f>IF(690.35969="","-",690.35969/1792621.32665*100)</f>
        <v>0.03851118357997697</v>
      </c>
      <c r="E71" s="22">
        <f>IF(2250.19585="","-",2250.19585/2276281.23687*100)</f>
        <v>0.09885403497390907</v>
      </c>
      <c r="F71" s="22">
        <f>IF(OR(1543712.83473="",532.20672="",690.35969=""),"-",(690.35969-532.20672)/1543712.83473*100)</f>
        <v>0.010244973445962273</v>
      </c>
      <c r="G71" s="22">
        <f>IF(OR(1792621.32665="",2250.19585="",690.35969=""),"-",(2250.19585-690.35969)/1792621.32665*100)</f>
        <v>0.08701425877348998</v>
      </c>
    </row>
    <row r="72" spans="1:7" s="14" customFormat="1" ht="15.75">
      <c r="A72" s="34" t="s">
        <v>134</v>
      </c>
      <c r="B72" s="22">
        <f>IF(2213.79379="","-",2213.79379)</f>
        <v>2213.79379</v>
      </c>
      <c r="C72" s="22">
        <f>IF(OR(2178.53226="",2213.79379=""),"-",2213.79379/2178.53226*100)</f>
        <v>101.61859113346341</v>
      </c>
      <c r="D72" s="22">
        <f>IF(2178.53226="","-",2178.53226/1792621.32665*100)</f>
        <v>0.12152774418182224</v>
      </c>
      <c r="E72" s="22">
        <f>IF(2213.79379="","-",2213.79379/2276281.23687*100)</f>
        <v>0.0972548450579014</v>
      </c>
      <c r="F72" s="22">
        <f>IF(OR(1543712.83473="",1885.69334="",2178.53226=""),"-",(2178.53226-1885.69334)/1543712.83473*100)</f>
        <v>0.018969779444194253</v>
      </c>
      <c r="G72" s="22">
        <f>IF(OR(1792621.32665="",2213.79379="",2178.53226=""),"-",(2213.79379-2178.53226)/1792621.32665*100)</f>
        <v>0.00196703729202508</v>
      </c>
    </row>
    <row r="73" spans="1:7" s="14" customFormat="1" ht="15.75">
      <c r="A73" s="34" t="s">
        <v>106</v>
      </c>
      <c r="B73" s="22">
        <f>IF(2080.33656="","-",2080.33656)</f>
        <v>2080.33656</v>
      </c>
      <c r="C73" s="22" t="s">
        <v>169</v>
      </c>
      <c r="D73" s="22">
        <f>IF(843.54546="","-",843.54546/1792621.32665*100)</f>
        <v>0.04705653377316413</v>
      </c>
      <c r="E73" s="22">
        <f>IF(2080.33656="","-",2080.33656/2276281.23687*100)</f>
        <v>0.09139189509203909</v>
      </c>
      <c r="F73" s="22">
        <f>IF(OR(1543712.83473="",1362.75388="",843.54546=""),"-",(843.54546-1362.75388)/1543712.83473*100)</f>
        <v>-0.03363374381031243</v>
      </c>
      <c r="G73" s="22">
        <f>IF(OR(1792621.32665="",2080.33656="",843.54546=""),"-",(2080.33656-843.54546)/1792621.32665*100)</f>
        <v>0.06899343891614189</v>
      </c>
    </row>
    <row r="74" spans="1:7" s="14" customFormat="1" ht="15.75">
      <c r="A74" s="34" t="s">
        <v>156</v>
      </c>
      <c r="B74" s="22">
        <f>IF(2041.83145="","-",2041.83145)</f>
        <v>2041.83145</v>
      </c>
      <c r="C74" s="22">
        <f>IF(OR(1579.58209="",2041.83145=""),"-",2041.83145/1579.58209*100)</f>
        <v>129.26402894325042</v>
      </c>
      <c r="D74" s="22">
        <f>IF(1579.58209="","-",1579.58209/1792621.32665*100)</f>
        <v>0.08811577026989177</v>
      </c>
      <c r="E74" s="22">
        <f>IF(2041.83145="","-",2041.83145/2276281.23687*100)</f>
        <v>0.08970031544993182</v>
      </c>
      <c r="F74" s="22">
        <f>IF(OR(1543712.83473="",1207.55891="",1579.58209=""),"-",(1579.58209-1207.55891)/1543712.83473*100)</f>
        <v>0.024099247711771996</v>
      </c>
      <c r="G74" s="22">
        <f>IF(OR(1792621.32665="",2041.83145="",1579.58209=""),"-",(2041.83145-1579.58209)/1792621.32665*100)</f>
        <v>0.025786224515349166</v>
      </c>
    </row>
    <row r="75" spans="1:7" s="14" customFormat="1" ht="15.75">
      <c r="A75" s="34" t="s">
        <v>143</v>
      </c>
      <c r="B75" s="22">
        <f>IF(1955.10533="","-",1955.10533)</f>
        <v>1955.10533</v>
      </c>
      <c r="C75" s="22">
        <f>IF(OR(1085.95093="",1955.10533=""),"-",1955.10533/1085.95093*100)</f>
        <v>180.03624988838126</v>
      </c>
      <c r="D75" s="22">
        <f>IF(1085.95093="","-",1085.95093/1792621.32665*100)</f>
        <v>0.06057893621233405</v>
      </c>
      <c r="E75" s="22">
        <f>IF(1955.10533="","-",1955.10533/2276281.23687*100)</f>
        <v>0.08589032402201616</v>
      </c>
      <c r="F75" s="22">
        <f>IF(OR(1543712.83473="",1149.28455="",1085.95093=""),"-",(1085.95093-1149.28455)/1543712.83473*100)</f>
        <v>-0.004102681442761817</v>
      </c>
      <c r="G75" s="22">
        <f>IF(OR(1792621.32665="",1955.10533="",1085.95093=""),"-",(1955.10533-1085.95093)/1792621.32665*100)</f>
        <v>0.04848510876662677</v>
      </c>
    </row>
    <row r="76" spans="1:7" s="14" customFormat="1" ht="15.75">
      <c r="A76" s="34" t="s">
        <v>152</v>
      </c>
      <c r="B76" s="22">
        <f>IF(1627.96807="","-",1627.96807)</f>
        <v>1627.96807</v>
      </c>
      <c r="C76" s="22">
        <f>IF(OR(1804.82699="",1627.96807=""),"-",1627.96807/1804.82699*100)</f>
        <v>90.20078262459937</v>
      </c>
      <c r="D76" s="22">
        <f>IF(1804.82699="","-",1804.82699/1792621.32665*100)</f>
        <v>0.10068088352897205</v>
      </c>
      <c r="E76" s="22">
        <f>IF(1627.96807="","-",1627.96807/2276281.23687*100)</f>
        <v>0.07151875803530046</v>
      </c>
      <c r="F76" s="22">
        <f>IF(OR(1543712.83473="",2204.60836="",1804.82699=""),"-",(1804.82699-2204.60836)/1543712.83473*100)</f>
        <v>-0.025897392378027555</v>
      </c>
      <c r="G76" s="22">
        <f>IF(OR(1792621.32665="",1627.96807="",1804.82699=""),"-",(1627.96807-1804.82699)/1792621.32665*100)</f>
        <v>-0.009865938632477896</v>
      </c>
    </row>
    <row r="77" spans="1:7" s="14" customFormat="1" ht="15.75">
      <c r="A77" s="34" t="s">
        <v>126</v>
      </c>
      <c r="B77" s="22">
        <f>IF(1465.38718="","-",1465.38718)</f>
        <v>1465.38718</v>
      </c>
      <c r="C77" s="22">
        <f>IF(OR(1041.02125="",1465.38718=""),"-",1465.38718/1041.02125*100)</f>
        <v>140.76438689411958</v>
      </c>
      <c r="D77" s="22">
        <f>IF(1041.02125="","-",1041.02125/1792621.32665*100)</f>
        <v>0.058072568619131126</v>
      </c>
      <c r="E77" s="22">
        <f>IF(1465.38718="","-",1465.38718/2276281.23687*100)</f>
        <v>0.06437636774685102</v>
      </c>
      <c r="F77" s="22">
        <f>IF(OR(1543712.83473="",353.93274="",1041.02125=""),"-",(1041.02125-353.93274)/1543712.83473*100)</f>
        <v>0.044508829268117986</v>
      </c>
      <c r="G77" s="22">
        <f>IF(OR(1792621.32665="",1465.38718="",1041.02125=""),"-",(1465.38718-1041.02125)/1792621.32665*100)</f>
        <v>0.023672926551255694</v>
      </c>
    </row>
    <row r="78" spans="1:7" s="14" customFormat="1" ht="15.75">
      <c r="A78" s="34" t="s">
        <v>158</v>
      </c>
      <c r="B78" s="22">
        <f>IF(1230.55608="","-",1230.55608)</f>
        <v>1230.55608</v>
      </c>
      <c r="C78" s="22">
        <f>IF(OR(1417.01682="",1230.55608=""),"-",1230.55608/1417.01682*100)</f>
        <v>86.84131780454095</v>
      </c>
      <c r="D78" s="22">
        <f>IF(1417.01682="","-",1417.01682/1792621.32665*100)</f>
        <v>0.07904719189345365</v>
      </c>
      <c r="E78" s="22">
        <f>IF(1230.55608="","-",1230.55608/2276281.23687*100)</f>
        <v>0.05405993161425325</v>
      </c>
      <c r="F78" s="22">
        <f>IF(OR(1543712.83473="",512.51579="",1417.01682=""),"-",(1417.01682-512.51579)/1543712.83473*100)</f>
        <v>0.05859257043478556</v>
      </c>
      <c r="G78" s="22">
        <f>IF(OR(1792621.32665="",1230.55608="",1417.01682=""),"-",(1230.55608-1417.01682)/1792621.32665*100)</f>
        <v>-0.010401568765694234</v>
      </c>
    </row>
    <row r="79" spans="1:7" s="14" customFormat="1" ht="15.75">
      <c r="A79" s="34" t="s">
        <v>159</v>
      </c>
      <c r="B79" s="22">
        <f>IF(1007.13373="","-",1007.13373)</f>
        <v>1007.13373</v>
      </c>
      <c r="C79" s="22">
        <f>IF(OR(702.20508="",1007.13373=""),"-",1007.13373/702.20508*100)</f>
        <v>143.4244437536681</v>
      </c>
      <c r="D79" s="22">
        <f>IF(702.20508="","-",702.20508/1792621.32665*100)</f>
        <v>0.03917196953760787</v>
      </c>
      <c r="E79" s="22">
        <f>IF(1007.13373="","-",1007.13373/2276281.23687*100)</f>
        <v>0.04424469673109721</v>
      </c>
      <c r="F79" s="22">
        <f>IF(OR(1543712.83473="",743.77215="",702.20508=""),"-",(702.20508-743.77215)/1543712.83473*100)</f>
        <v>-0.0026926685497999543</v>
      </c>
      <c r="G79" s="22">
        <f>IF(OR(1792621.32665="",1007.13373="",702.20508=""),"-",(1007.13373-702.20508)/1792621.32665*100)</f>
        <v>0.01701020987906253</v>
      </c>
    </row>
    <row r="80" spans="1:7" s="14" customFormat="1" ht="15.75">
      <c r="A80" s="34" t="s">
        <v>136</v>
      </c>
      <c r="B80" s="22">
        <f>IF(1006.70628="","-",1006.70628)</f>
        <v>1006.70628</v>
      </c>
      <c r="C80" s="22">
        <f>IF(OR(960.48033="",1006.70628=""),"-",1006.70628/960.48033*100)</f>
        <v>104.81279507306516</v>
      </c>
      <c r="D80" s="22">
        <f>IF(960.48033="","-",960.48033/1792621.32665*100)</f>
        <v>0.05357965543090567</v>
      </c>
      <c r="E80" s="22">
        <f>IF(1006.70628="","-",1006.70628/2276281.23687*100)</f>
        <v>0.04422591829576696</v>
      </c>
      <c r="F80" s="22">
        <f>IF(OR(1543712.83473="",1400.20188="",960.48033=""),"-",(960.48033-1400.20188)/1543712.83473*100)</f>
        <v>-0.028484672803598777</v>
      </c>
      <c r="G80" s="22">
        <f>IF(OR(1792621.32665="",1006.70628="",960.48033=""),"-",(1006.70628-960.48033)/1792621.32665*100)</f>
        <v>0.0025786790167439187</v>
      </c>
    </row>
    <row r="81" spans="1:7" s="14" customFormat="1" ht="15.75">
      <c r="A81" s="34" t="s">
        <v>105</v>
      </c>
      <c r="B81" s="22">
        <f>IF(911.23465="","-",911.23465)</f>
        <v>911.23465</v>
      </c>
      <c r="C81" s="22" t="s">
        <v>169</v>
      </c>
      <c r="D81" s="22">
        <f>IF(361.84205="","-",361.84205/1792621.32665*100)</f>
        <v>0.020185080062402258</v>
      </c>
      <c r="E81" s="22">
        <f>IF(911.23465="","-",911.23465/2276281.23687*100)</f>
        <v>0.04003172522095701</v>
      </c>
      <c r="F81" s="22">
        <f>IF(OR(1543712.83473="",1516.3186="",361.84205=""),"-",(361.84205-1516.3186)/1543712.83473*100)</f>
        <v>-0.07478570651399173</v>
      </c>
      <c r="G81" s="22">
        <f>IF(OR(1792621.32665="",911.23465="",361.84205=""),"-",(911.23465-361.84205)/1792621.32665*100)</f>
        <v>0.030647443039556455</v>
      </c>
    </row>
    <row r="82" spans="1:7" s="14" customFormat="1" ht="15.75">
      <c r="A82" s="34" t="s">
        <v>163</v>
      </c>
      <c r="B82" s="22">
        <f>IF(797.53286="","-",797.53286)</f>
        <v>797.53286</v>
      </c>
      <c r="C82" s="22">
        <f>IF(OR(730.08394="",797.53286=""),"-",797.53286/730.08394*100)</f>
        <v>109.23851577943215</v>
      </c>
      <c r="D82" s="22">
        <f>IF(730.08394="","-",730.08394/1792621.32665*100)</f>
        <v>0.04072717026993984</v>
      </c>
      <c r="E82" s="22">
        <f>IF(797.53286="","-",797.53286/2276281.23687*100)</f>
        <v>0.03503665746929616</v>
      </c>
      <c r="F82" s="22">
        <f>IF(OR(1543712.83473="",346.3366="",730.08394=""),"-",(730.08394-346.3366)/1543712.83473*100)</f>
        <v>0.02485872575303933</v>
      </c>
      <c r="G82" s="22">
        <f>IF(OR(1792621.32665="",797.53286="",730.08394=""),"-",(797.53286-730.08394)/1792621.32665*100)</f>
        <v>0.0037625860519045974</v>
      </c>
    </row>
    <row r="83" spans="1:7" s="14" customFormat="1" ht="15.75">
      <c r="A83" s="34" t="s">
        <v>142</v>
      </c>
      <c r="B83" s="22">
        <f>IF(779.1047="","-",779.1047)</f>
        <v>779.1047</v>
      </c>
      <c r="C83" s="22">
        <f>IF(OR(978.468="",779.1047=""),"-",779.1047/978.468*100)</f>
        <v>79.62495452074059</v>
      </c>
      <c r="D83" s="22">
        <f>IF(978.468="","-",978.468/1792621.32665*100)</f>
        <v>0.054583083747448954</v>
      </c>
      <c r="E83" s="22">
        <f>IF(779.1047="","-",779.1047/2276281.23687*100)</f>
        <v>0.03422708439451479</v>
      </c>
      <c r="F83" s="22">
        <f>IF(OR(1543712.83473="",738.8277="",978.468=""),"-",(978.468-738.8277)/1543712.83473*100)</f>
        <v>0.015523632025895136</v>
      </c>
      <c r="G83" s="22">
        <f>IF(OR(1792621.32665="",779.1047="",978.468=""),"-",(779.1047-978.468)/1792621.32665*100)</f>
        <v>-0.011121328137524977</v>
      </c>
    </row>
    <row r="84" spans="1:7" s="14" customFormat="1" ht="15.75">
      <c r="A84" s="34" t="s">
        <v>160</v>
      </c>
      <c r="B84" s="22">
        <f>IF(768.86809="","-",768.86809)</f>
        <v>768.86809</v>
      </c>
      <c r="C84" s="22">
        <f>IF(OR(545.92053="",768.86809=""),"-",768.86809/545.92053*100)</f>
        <v>140.8388305162292</v>
      </c>
      <c r="D84" s="22">
        <f>IF(545.92053="","-",545.92053/1792621.32665*100)</f>
        <v>0.03045375628885331</v>
      </c>
      <c r="E84" s="22">
        <f>IF(768.86809="","-",768.86809/2276281.23687*100)</f>
        <v>0.0337773767821955</v>
      </c>
      <c r="F84" s="22">
        <f>IF(OR(1543712.83473="",559.71272="",545.92053=""),"-",(545.92053-559.71272)/1543712.83473*100)</f>
        <v>-0.0008934427239125923</v>
      </c>
      <c r="G84" s="22">
        <f>IF(OR(1792621.32665="",768.86809="",545.92053=""),"-",(768.86809-545.92053)/1792621.32665*100)</f>
        <v>0.012436957916630288</v>
      </c>
    </row>
    <row r="85" spans="1:7" s="14" customFormat="1" ht="15.75">
      <c r="A85" s="34" t="s">
        <v>267</v>
      </c>
      <c r="B85" s="22">
        <f>IF(739.68761="","-",739.68761)</f>
        <v>739.68761</v>
      </c>
      <c r="C85" s="22" t="s">
        <v>172</v>
      </c>
      <c r="D85" s="22">
        <f>IF(329.15176="","-",329.15176/1792621.32665*100)</f>
        <v>0.01836147741336479</v>
      </c>
      <c r="E85" s="22">
        <f>IF(739.68761="","-",739.68761/2276281.23687*100)</f>
        <v>0.03249544028299013</v>
      </c>
      <c r="F85" s="22">
        <f>IF(OR(1543712.83473="",97.43863="",329.15176=""),"-",(329.15176-97.43863)/1543712.83473*100)</f>
        <v>0.01501011877254537</v>
      </c>
      <c r="G85" s="22">
        <f>IF(OR(1792621.32665="",739.68761="",329.15176=""),"-",(739.68761-329.15176)/1792621.32665*100)</f>
        <v>0.022901426190616494</v>
      </c>
    </row>
    <row r="86" spans="1:7" s="14" customFormat="1" ht="15.75">
      <c r="A86" s="34" t="s">
        <v>164</v>
      </c>
      <c r="B86" s="22">
        <f>IF(736.8032="","-",736.8032)</f>
        <v>736.8032</v>
      </c>
      <c r="C86" s="22">
        <f>IF(OR(513.47923="",736.8032=""),"-",736.8032/513.47923*100)</f>
        <v>143.49230834516908</v>
      </c>
      <c r="D86" s="22">
        <f>IF(513.47923="","-",513.47923/1792621.32665*100)</f>
        <v>0.02864404335518955</v>
      </c>
      <c r="E86" s="22">
        <f>IF(736.8032="","-",736.8032/2276281.23687*100)</f>
        <v>0.032368724394229116</v>
      </c>
      <c r="F86" s="22">
        <f>IF(OR(1543712.83473="",381.50892="",513.47923=""),"-",(513.47923-381.50892)/1543712.83473*100)</f>
        <v>0.008548889860275214</v>
      </c>
      <c r="G86" s="22">
        <f>IF(OR(1792621.32665="",736.8032="",513.47923=""),"-",(736.8032-513.47923)/1792621.32665*100)</f>
        <v>0.012457955658562952</v>
      </c>
    </row>
    <row r="87" spans="1:7" s="14" customFormat="1" ht="15.75">
      <c r="A87" s="34" t="s">
        <v>157</v>
      </c>
      <c r="B87" s="22">
        <f>IF(674.40418="","-",674.40418)</f>
        <v>674.40418</v>
      </c>
      <c r="C87" s="22">
        <f>IF(OR(591.6573="",674.40418=""),"-",674.40418/591.6573*100)</f>
        <v>113.9856095750023</v>
      </c>
      <c r="D87" s="22">
        <f>IF(591.6573="","-",591.6573/1792621.32665*100)</f>
        <v>0.03300514677607191</v>
      </c>
      <c r="E87" s="22">
        <f>IF(674.40418="","-",674.40418/2276281.23687*100)</f>
        <v>0.029627454159721463</v>
      </c>
      <c r="F87" s="22">
        <f>IF(OR(1543712.83473="",485.73259="",591.6573=""),"-",(591.6573-485.73259)/1543712.83473*100)</f>
        <v>0.006861684868904163</v>
      </c>
      <c r="G87" s="22">
        <f>IF(OR(1792621.32665="",674.40418="",591.6573=""),"-",(674.40418-591.6573)/1792621.32665*100)</f>
        <v>0.0046159709677578735</v>
      </c>
    </row>
    <row r="88" spans="1:7" ht="15.75">
      <c r="A88" s="34" t="s">
        <v>224</v>
      </c>
      <c r="B88" s="22">
        <f>IF(664.40198="","-",664.40198)</f>
        <v>664.40198</v>
      </c>
      <c r="C88" s="22">
        <f>IF(OR(574.4631="",664.40198=""),"-",664.40198/574.4631*100)</f>
        <v>115.65616311996365</v>
      </c>
      <c r="D88" s="22">
        <f>IF(574.4631="","-",574.4631/1792621.32665*100)</f>
        <v>0.03204598157233465</v>
      </c>
      <c r="E88" s="22">
        <f>IF(664.40198="","-",664.40198/2276281.23687*100)</f>
        <v>0.029188044484063216</v>
      </c>
      <c r="F88" s="22">
        <f>IF(OR(1543712.83473="",0.11843="",574.4631=""),"-",(574.4631-0.11843)/1543712.83473*100)</f>
        <v>0.0372054087443313</v>
      </c>
      <c r="G88" s="22">
        <f>IF(OR(1792621.32665="",664.40198="",574.4631=""),"-",(664.40198-574.4631)/1792621.32665*100)</f>
        <v>0.005017171148358207</v>
      </c>
    </row>
    <row r="89" spans="1:7" ht="15.75">
      <c r="A89" s="34" t="s">
        <v>278</v>
      </c>
      <c r="B89" s="22">
        <f>IF(631.62479="","-",631.62479)</f>
        <v>631.62479</v>
      </c>
      <c r="C89" s="22" t="str">
        <f>IF(OR(""="",631.62479=""),"-",631.62479/""*100)</f>
        <v>-</v>
      </c>
      <c r="D89" s="22" t="str">
        <f>IF(""="","-",""/1792621.32665*100)</f>
        <v>-</v>
      </c>
      <c r="E89" s="22">
        <f>IF(631.62479="","-",631.62479/2276281.23687*100)</f>
        <v>0.02774809982919841</v>
      </c>
      <c r="F89" s="22" t="str">
        <f>IF(OR(1543712.83473="",""="",""=""),"-",(""-"")/1543712.83473*100)</f>
        <v>-</v>
      </c>
      <c r="G89" s="22" t="str">
        <f>IF(OR(1792621.32665="",631.62479="",""=""),"-",(631.62479-"")/1792621.32665*100)</f>
        <v>-</v>
      </c>
    </row>
    <row r="90" spans="1:7" ht="15.75">
      <c r="A90" s="34" t="s">
        <v>162</v>
      </c>
      <c r="B90" s="22">
        <f>IF(629.01863="","-",629.01863)</f>
        <v>629.01863</v>
      </c>
      <c r="C90" s="22">
        <f>IF(OR(294.73685="",629.01863=""),"-",629.01863/294.73685*100)</f>
        <v>213.41702946204384</v>
      </c>
      <c r="D90" s="22">
        <f>IF(294.73685="","-",294.73685/1792621.32665*100)</f>
        <v>0.016441668165958725</v>
      </c>
      <c r="E90" s="22">
        <f>IF(629.01863="","-",629.01863/2276281.23687*100)</f>
        <v>0.027633607825407896</v>
      </c>
      <c r="F90" s="22">
        <f>IF(OR(1543712.83473="",385.86901="",294.73685=""),"-",(294.73685-385.86901)/1543712.83473*100)</f>
        <v>-0.005903439937126602</v>
      </c>
      <c r="G90" s="22">
        <f>IF(OR(1792621.32665="",629.01863="",294.73685=""),"-",(629.01863-294.73685)/1792621.32665*100)</f>
        <v>0.018647651627836895</v>
      </c>
    </row>
    <row r="91" spans="1:7" ht="15.75">
      <c r="A91" s="34" t="s">
        <v>178</v>
      </c>
      <c r="B91" s="22">
        <f>IF(587.71691="","-",587.71691)</f>
        <v>587.71691</v>
      </c>
      <c r="C91" s="22" t="s">
        <v>279</v>
      </c>
      <c r="D91" s="22">
        <f>IF(15.7841="","-",15.7841/1792621.32665*100)</f>
        <v>0.0008805038613200525</v>
      </c>
      <c r="E91" s="22">
        <f>IF(587.71691="","-",587.71691/2276281.23687*100)</f>
        <v>0.02581916946291487</v>
      </c>
      <c r="F91" s="22">
        <f>IF(OR(1543712.83473="",2.35904="",15.7841=""),"-",(15.7841-2.35904)/1543712.83473*100)</f>
        <v>0.0008696604509573883</v>
      </c>
      <c r="G91" s="22">
        <f>IF(OR(1792621.32665="",587.71691="",15.7841=""),"-",(587.71691-15.7841)/1792621.32665*100)</f>
        <v>0.03190483129355668</v>
      </c>
    </row>
    <row r="92" spans="1:7" ht="15.75">
      <c r="A92" s="34" t="s">
        <v>179</v>
      </c>
      <c r="B92" s="22">
        <f>IF(532.30298="","-",532.30298)</f>
        <v>532.30298</v>
      </c>
      <c r="C92" s="22" t="s">
        <v>236</v>
      </c>
      <c r="D92" s="22">
        <f>IF(132.71572="","-",132.71572/1792621.32665*100)</f>
        <v>0.007403444220314806</v>
      </c>
      <c r="E92" s="22">
        <f>IF(532.30298="","-",532.30298/2276281.23687*100)</f>
        <v>0.023384763331438917</v>
      </c>
      <c r="F92" s="22">
        <f>IF(OR(1543712.83473="",5.24822="",132.71572=""),"-",(132.71572-5.24822)/1543712.83473*100)</f>
        <v>0.008257202838006749</v>
      </c>
      <c r="G92" s="22">
        <f>IF(OR(1792621.32665="",532.30298="",132.71572=""),"-",(532.30298-132.71572)/1792621.32665*100)</f>
        <v>0.022290667530255114</v>
      </c>
    </row>
    <row r="93" spans="1:7" ht="15.75">
      <c r="A93" s="34" t="s">
        <v>268</v>
      </c>
      <c r="B93" s="22">
        <f>IF(521.79943="","-",521.79943)</f>
        <v>521.79943</v>
      </c>
      <c r="C93" s="22" t="s">
        <v>194</v>
      </c>
      <c r="D93" s="22">
        <f>IF(228.97113="","-",228.97113/1792621.32665*100)</f>
        <v>0.01277297812962511</v>
      </c>
      <c r="E93" s="22">
        <f>IF(521.79943="","-",521.79943/2276281.23687*100)</f>
        <v>0.022923328697182437</v>
      </c>
      <c r="F93" s="22">
        <f>IF(OR(1543712.83473="",269.06109="",228.97113=""),"-",(228.97113-269.06109)/1543712.83473*100)</f>
        <v>-0.002596983007335807</v>
      </c>
      <c r="G93" s="22">
        <f>IF(OR(1792621.32665="",521.79943="",228.97113=""),"-",(521.79943-228.97113)/1792621.32665*100)</f>
        <v>0.016335201174206115</v>
      </c>
    </row>
    <row r="94" spans="1:7" ht="15.75">
      <c r="A94" s="34" t="s">
        <v>223</v>
      </c>
      <c r="B94" s="22">
        <f>IF(498.20926="","-",498.20926)</f>
        <v>498.20926</v>
      </c>
      <c r="C94" s="22">
        <f>IF(OR(368.74803="",498.20926=""),"-",498.20926/368.74803*100)</f>
        <v>135.10831773121606</v>
      </c>
      <c r="D94" s="22">
        <f>IF(368.74803="","-",368.74803/1792621.32665*100)</f>
        <v>0.020570324837600025</v>
      </c>
      <c r="E94" s="22">
        <f>IF(498.20926="","-",498.20926/2276281.23687*100)</f>
        <v>0.021886981798657817</v>
      </c>
      <c r="F94" s="22">
        <f>IF(OR(1543712.83473="",462.65973="",368.74803=""),"-",(368.74803-462.65973)/1543712.83473*100)</f>
        <v>-0.006083495445992417</v>
      </c>
      <c r="G94" s="22">
        <f>IF(OR(1792621.32665="",498.20926="",368.74803=""),"-",(498.20926-368.74803)/1792621.32665*100)</f>
        <v>0.007221895002327872</v>
      </c>
    </row>
    <row r="95" spans="1:7" ht="15.75">
      <c r="A95" s="34" t="s">
        <v>171</v>
      </c>
      <c r="B95" s="22">
        <f>IF(482.97177="","-",482.97177)</f>
        <v>482.97177</v>
      </c>
      <c r="C95" s="22" t="s">
        <v>196</v>
      </c>
      <c r="D95" s="22">
        <f>IF(128.85182="","-",128.85182/1792621.32665*100)</f>
        <v>0.007187899534855733</v>
      </c>
      <c r="E95" s="22">
        <f>IF(482.97177="","-",482.97177/2276281.23687*100)</f>
        <v>0.021217579013396</v>
      </c>
      <c r="F95" s="22">
        <f>IF(OR(1543712.83473="",45.35135="",128.85182=""),"-",(128.85182-45.35135)/1543712.83473*100)</f>
        <v>0.005409067549445133</v>
      </c>
      <c r="G95" s="22">
        <f>IF(OR(1792621.32665="",482.97177="",128.85182=""),"-",(482.97177-128.85182)/1792621.32665*100)</f>
        <v>0.01975430866159388</v>
      </c>
    </row>
    <row r="96" spans="1:7" ht="15.75">
      <c r="A96" s="34" t="s">
        <v>170</v>
      </c>
      <c r="B96" s="22">
        <f>IF(446.72877="","-",446.72877)</f>
        <v>446.72877</v>
      </c>
      <c r="C96" s="22">
        <f>IF(OR(312.14739="",446.72877=""),"-",446.72877/312.14739*100)</f>
        <v>143.11469014685662</v>
      </c>
      <c r="D96" s="22">
        <f>IF(312.14739="","-",312.14739/1792621.32665*100)</f>
        <v>0.017412901729967265</v>
      </c>
      <c r="E96" s="22">
        <f>IF(446.72877="","-",446.72877/2276281.23687*100)</f>
        <v>0.019625376810392475</v>
      </c>
      <c r="F96" s="22">
        <f>IF(OR(1543712.83473="",205.62919="",312.14739=""),"-",(312.14739-205.62919)/1543712.83473*100)</f>
        <v>0.006900130490826056</v>
      </c>
      <c r="G96" s="22">
        <f>IF(OR(1792621.32665="",446.72877="",312.14739=""),"-",(446.72877-312.14739)/1792621.32665*100)</f>
        <v>0.007507518626452019</v>
      </c>
    </row>
    <row r="97" spans="1:7" ht="15.75">
      <c r="A97" s="34" t="s">
        <v>149</v>
      </c>
      <c r="B97" s="22">
        <f>IF(375.42505="","-",375.42505)</f>
        <v>375.42505</v>
      </c>
      <c r="C97" s="22">
        <f>IF(OR(302.36946="",375.42505=""),"-",375.42505/302.36946*100)</f>
        <v>124.16103464946492</v>
      </c>
      <c r="D97" s="22">
        <f>IF(302.36946="","-",302.36946/1792621.32665*100)</f>
        <v>0.016867447436043813</v>
      </c>
      <c r="E97" s="22">
        <f>IF(375.42505="","-",375.42505/2276281.23687*100)</f>
        <v>0.01649291150491703</v>
      </c>
      <c r="F97" s="22">
        <f>IF(OR(1543712.83473="",432.11461="",302.36946=""),"-",(302.36946-432.11461)/1543712.83473*100)</f>
        <v>-0.008404746471042513</v>
      </c>
      <c r="G97" s="22">
        <f>IF(OR(1792621.32665="",375.42505="",302.36946=""),"-",(375.42505-302.36946)/1792621.32665*100)</f>
        <v>0.004075349819502829</v>
      </c>
    </row>
    <row r="98" spans="1:7" ht="15.75">
      <c r="A98" s="34" t="s">
        <v>181</v>
      </c>
      <c r="B98" s="22">
        <f>IF(346.57236="","-",346.57236)</f>
        <v>346.57236</v>
      </c>
      <c r="C98" s="22" t="s">
        <v>182</v>
      </c>
      <c r="D98" s="22">
        <f>IF(193.62265="","-",193.62265/1792621.32665*100)</f>
        <v>0.010801090398820398</v>
      </c>
      <c r="E98" s="22">
        <f>IF(346.57236="","-",346.57236/2276281.23687*100)</f>
        <v>0.015225375247416888</v>
      </c>
      <c r="F98" s="22">
        <f>IF(OR(1543712.83473="",99.62201="",193.62265=""),"-",(193.62265-99.62201)/1543712.83473*100)</f>
        <v>0.006089256880243597</v>
      </c>
      <c r="G98" s="22">
        <f>IF(OR(1792621.32665="",346.57236="",193.62265=""),"-",(346.57236-193.62265)/1792621.32665*100)</f>
        <v>0.008532181767904552</v>
      </c>
    </row>
    <row r="99" spans="1:7" ht="15.75">
      <c r="A99" s="34" t="s">
        <v>165</v>
      </c>
      <c r="B99" s="22">
        <f>IF(275.17453="","-",275.17453)</f>
        <v>275.17453</v>
      </c>
      <c r="C99" s="22">
        <f>IF(OR(396.81541="",275.17453=""),"-",275.17453/396.81541*100)</f>
        <v>69.34572677003648</v>
      </c>
      <c r="D99" s="22">
        <f>IF(396.81541="","-",396.81541/1792621.32665*100)</f>
        <v>0.022136042012930717</v>
      </c>
      <c r="E99" s="22">
        <f>IF(275.17453="","-",275.17453/2276281.23687*100)</f>
        <v>0.012088775567046305</v>
      </c>
      <c r="F99" s="22">
        <f>IF(OR(1543712.83473="",158.91576="",396.81541=""),"-",(396.81541-158.91576)/1543712.83473*100)</f>
        <v>0.015410874655428342</v>
      </c>
      <c r="G99" s="22">
        <f>IF(OR(1792621.32665="",275.17453="",396.81541=""),"-",(275.17453-396.81541)/1792621.32665*100)</f>
        <v>-0.006785642800943298</v>
      </c>
    </row>
    <row r="100" spans="1:7" ht="15.75">
      <c r="A100" s="34" t="s">
        <v>128</v>
      </c>
      <c r="B100" s="22">
        <f>IF(271.13751="","-",271.13751)</f>
        <v>271.13751</v>
      </c>
      <c r="C100" s="22">
        <f>IF(OR(280.99133="",271.13751=""),"-",271.13751/280.99133*100)</f>
        <v>96.49319429179542</v>
      </c>
      <c r="D100" s="22">
        <f>IF(280.99133="","-",280.99133/1792621.32665*100)</f>
        <v>0.015674884919789984</v>
      </c>
      <c r="E100" s="22">
        <f>IF(271.13751="","-",271.13751/2276281.23687*100)</f>
        <v>0.01191142401950418</v>
      </c>
      <c r="F100" s="22">
        <f>IF(OR(1543712.83473="",718.10223="",280.99133=""),"-",(280.99133-718.10223)/1543712.83473*100)</f>
        <v>-0.028315557801037002</v>
      </c>
      <c r="G100" s="22">
        <f>IF(OR(1792621.32665="",271.13751="",280.99133=""),"-",(271.13751-280.99133)/1792621.32665*100)</f>
        <v>-0.000549687759121695</v>
      </c>
    </row>
    <row r="101" spans="1:7" ht="15.75">
      <c r="A101" s="34" t="s">
        <v>280</v>
      </c>
      <c r="B101" s="22">
        <f>IF(268.87814="","-",268.87814)</f>
        <v>268.87814</v>
      </c>
      <c r="C101" s="22">
        <f>IF(OR(348.0777="",268.87814=""),"-",268.87814/348.0777*100)</f>
        <v>77.24658603524442</v>
      </c>
      <c r="D101" s="22">
        <f>IF(348.0777="","-",348.0777/1792621.32665*100)</f>
        <v>0.0194172463991867</v>
      </c>
      <c r="E101" s="22">
        <f>IF(268.87814="","-",268.87814/2276281.23687*100)</f>
        <v>0.011812166952169793</v>
      </c>
      <c r="F101" s="22">
        <f>IF(OR(1543712.83473="",264.07828="",348.0777=""),"-",(348.0777-264.07828)/1543712.83473*100)</f>
        <v>0.005441388975346036</v>
      </c>
      <c r="G101" s="22">
        <f>IF(OR(1792621.32665="",268.87814="",348.0777=""),"-",(268.87814-348.0777)/1792621.32665*100)</f>
        <v>-0.004418086453763547</v>
      </c>
    </row>
    <row r="102" spans="1:7" ht="15.75">
      <c r="A102" s="34" t="s">
        <v>161</v>
      </c>
      <c r="B102" s="22">
        <f>IF(232.55137="","-",232.55137)</f>
        <v>232.55137</v>
      </c>
      <c r="C102" s="22">
        <f>IF(OR(319.14437="",232.55137=""),"-",232.55137/319.14437*100)</f>
        <v>72.86713846777243</v>
      </c>
      <c r="D102" s="22">
        <f>IF(319.14437="","-",319.14437/1792621.32665*100)</f>
        <v>0.017803222870075297</v>
      </c>
      <c r="E102" s="22">
        <f>IF(232.55137="","-",232.55137/2276281.23687*100)</f>
        <v>0.010216284623940832</v>
      </c>
      <c r="F102" s="22">
        <f>IF(OR(1543712.83473="",445.07761="",319.14437=""),"-",(319.14437-445.07761)/1543712.83473*100)</f>
        <v>-0.008157815182123955</v>
      </c>
      <c r="G102" s="22">
        <f>IF(OR(1792621.32665="",232.55137="",319.14437=""),"-",(232.55137-319.14437)/1792621.32665*100)</f>
        <v>-0.004830523809611399</v>
      </c>
    </row>
    <row r="103" spans="1:7" ht="15.75">
      <c r="A103" s="34" t="s">
        <v>281</v>
      </c>
      <c r="B103" s="22">
        <f>IF(198.92417="","-",198.92417)</f>
        <v>198.92417</v>
      </c>
      <c r="C103" s="22" t="s">
        <v>282</v>
      </c>
      <c r="D103" s="22">
        <f>IF(34.10485="","-",34.10485/1792621.32665*100)</f>
        <v>0.0019025127891195055</v>
      </c>
      <c r="E103" s="22">
        <f>IF(198.92417="","-",198.92417/2276281.23687*100)</f>
        <v>0.008738997922485652</v>
      </c>
      <c r="F103" s="22">
        <f>IF(OR(1543712.83473="",18.36807="",34.10485=""),"-",(34.10485-18.36807)/1543712.83473*100)</f>
        <v>0.0010194111006890999</v>
      </c>
      <c r="G103" s="22">
        <f>IF(OR(1792621.32665="",198.92417="",34.10485=""),"-",(198.92417-34.10485)/1792621.32665*100)</f>
        <v>0.009194318819580802</v>
      </c>
    </row>
    <row r="104" spans="1:7" ht="15.75">
      <c r="A104" s="34" t="s">
        <v>132</v>
      </c>
      <c r="B104" s="22">
        <f>IF(138.92786="","-",138.92786)</f>
        <v>138.92786</v>
      </c>
      <c r="C104" s="22" t="s">
        <v>193</v>
      </c>
      <c r="D104" s="22">
        <f>IF(47.99716="","-",47.99716/1792621.32665*100)</f>
        <v>0.0026774846023781126</v>
      </c>
      <c r="E104" s="22">
        <f>IF(138.92786="","-",138.92786/2276281.23687*100)</f>
        <v>0.0061032818682384225</v>
      </c>
      <c r="F104" s="22">
        <f>IF(OR(1543712.83473="",16.07209="",47.99716=""),"-",(47.99716-16.07209)/1543712.83473*100)</f>
        <v>0.002068070516857741</v>
      </c>
      <c r="G104" s="22">
        <f>IF(OR(1792621.32665="",138.92786="",47.99716=""),"-",(138.92786-47.99716)/1792621.32665*100)</f>
        <v>0.005072499063141725</v>
      </c>
    </row>
    <row r="105" spans="1:7" ht="15.75">
      <c r="A105" s="34" t="s">
        <v>195</v>
      </c>
      <c r="B105" s="22">
        <f>IF(91.13283="","-",91.13283)</f>
        <v>91.13283</v>
      </c>
      <c r="C105" s="22" t="s">
        <v>283</v>
      </c>
      <c r="D105" s="22">
        <f>IF(16.07054="","-",16.07054/1792621.32665*100)</f>
        <v>0.0008964826960991349</v>
      </c>
      <c r="E105" s="22">
        <f>IF(91.13283="","-",91.13283/2276281.23687*100)</f>
        <v>0.004003583938745292</v>
      </c>
      <c r="F105" s="22">
        <f>IF(OR(1543712.83473="",4.14741="",16.07054=""),"-",(16.07054-4.14741)/1543712.83473*100)</f>
        <v>0.0007723670965063519</v>
      </c>
      <c r="G105" s="22">
        <f>IF(OR(1792621.32665="",91.13283="",16.07054=""),"-",(91.13283-16.07054)/1792621.32665*100)</f>
        <v>0.004187292033408655</v>
      </c>
    </row>
    <row r="106" spans="1:7" ht="15.75">
      <c r="A106" s="34" t="s">
        <v>215</v>
      </c>
      <c r="B106" s="22">
        <f>IF(87.04962="","-",87.04962)</f>
        <v>87.04962</v>
      </c>
      <c r="C106" s="22" t="s">
        <v>166</v>
      </c>
      <c r="D106" s="22">
        <f>IF(40.70822="","-",40.70822/1792621.32665*100)</f>
        <v>0.0022708766985425955</v>
      </c>
      <c r="E106" s="22">
        <f>IF(87.04962="","-",87.04962/2276281.23687*100)</f>
        <v>0.003824203204332412</v>
      </c>
      <c r="F106" s="22">
        <f>IF(OR(1543712.83473="",33.58389="",40.70822=""),"-",(40.70822-33.58389)/1543712.83473*100)</f>
        <v>0.000461506171336981</v>
      </c>
      <c r="G106" s="22">
        <f>IF(OR(1792621.32665="",87.04962="",40.70822=""),"-",(87.04962-40.70822)/1792621.32665*100)</f>
        <v>0.002585119306072382</v>
      </c>
    </row>
    <row r="107" spans="1:7" ht="15.75">
      <c r="A107" s="34" t="s">
        <v>225</v>
      </c>
      <c r="B107" s="22">
        <f>IF(84.18465="","-",84.18465)</f>
        <v>84.18465</v>
      </c>
      <c r="C107" s="22">
        <f>IF(OR(128.2835="",84.18465=""),"-",84.18465/128.2835*100)</f>
        <v>65.62391110314265</v>
      </c>
      <c r="D107" s="22">
        <f>IF(128.2835="","-",128.2835/1792621.32665*100)</f>
        <v>0.007156196241385379</v>
      </c>
      <c r="E107" s="22">
        <f>IF(84.18465="","-",84.18465/2276281.23687*100)</f>
        <v>0.0036983413400954834</v>
      </c>
      <c r="F107" s="22">
        <f>IF(OR(1543712.83473="",71.23684="",128.2835=""),"-",(128.2835-71.23684)/1543712.83473*100)</f>
        <v>0.0036954191684218022</v>
      </c>
      <c r="G107" s="22">
        <f>IF(OR(1792621.32665="",84.18465="",128.2835=""),"-",(84.18465-128.2835)/1792621.32665*100)</f>
        <v>-0.002460020381572202</v>
      </c>
    </row>
    <row r="108" spans="1:7" ht="15.75">
      <c r="A108" s="34" t="s">
        <v>148</v>
      </c>
      <c r="B108" s="22">
        <f>IF(82.81077="","-",82.81077)</f>
        <v>82.81077</v>
      </c>
      <c r="C108" s="22">
        <f>IF(OR(219.97355="",82.81077=""),"-",82.81077/219.97355*100)</f>
        <v>37.64578514098627</v>
      </c>
      <c r="D108" s="22">
        <f>IF(219.97355="","-",219.97355/1792621.32665*100)</f>
        <v>0.012271055059412929</v>
      </c>
      <c r="E108" s="22">
        <f>IF(82.81077="","-",82.81077/2276281.23687*100)</f>
        <v>0.003637985001970536</v>
      </c>
      <c r="F108" s="22">
        <f>IF(OR(1543712.83473="",742.93421="",219.97355=""),"-",(219.97355-742.93421)/1543712.83473*100)</f>
        <v>-0.03387680974301593</v>
      </c>
      <c r="G108" s="22">
        <f>IF(OR(1792621.32665="",82.81077="",219.97355=""),"-",(82.81077-219.97355)/1792621.32665*100)</f>
        <v>-0.007651520037214213</v>
      </c>
    </row>
    <row r="109" spans="1:7" ht="15.75">
      <c r="A109" s="34" t="s">
        <v>284</v>
      </c>
      <c r="B109" s="22">
        <f>IF(61.30736="","-",61.30736)</f>
        <v>61.30736</v>
      </c>
      <c r="C109" s="22">
        <f>IF(OR(67.67332="",61.30736=""),"-",61.30736/67.67332*100)</f>
        <v>90.59310227427885</v>
      </c>
      <c r="D109" s="22">
        <f>IF(67.67332="","-",67.67332/1792621.32665*100)</f>
        <v>0.0037751040330679313</v>
      </c>
      <c r="E109" s="22">
        <f>IF(61.30736="","-",61.30736/2276281.23687*100)</f>
        <v>0.002693312188624841</v>
      </c>
      <c r="F109" s="22">
        <f>IF(OR(1543712.83473="",20.89212="",67.67332=""),"-",(67.67332-20.89212)/1543712.83473*100)</f>
        <v>0.003030434090300362</v>
      </c>
      <c r="G109" s="22">
        <f>IF(OR(1792621.32665="",61.30736="",67.67332=""),"-",(61.30736-67.67332)/1792621.32665*100)</f>
        <v>-0.0003551201754302749</v>
      </c>
    </row>
    <row r="110" spans="1:7" ht="15.75">
      <c r="A110" s="34" t="s">
        <v>186</v>
      </c>
      <c r="B110" s="22">
        <f>IF(55.1994="","-",55.1994)</f>
        <v>55.1994</v>
      </c>
      <c r="C110" s="22" t="s">
        <v>180</v>
      </c>
      <c r="D110" s="22">
        <f>IF(17.98053="","-",17.98053/1792621.32665*100)</f>
        <v>0.0010030300171426337</v>
      </c>
      <c r="E110" s="22">
        <f>IF(55.1994="","-",55.1994/2276281.23687*100)</f>
        <v>0.002424981549112179</v>
      </c>
      <c r="F110" s="22">
        <f>IF(OR(1543712.83473="",15.34342="",17.98053=""),"-",(17.98053-15.34342)/1543712.83473*100)</f>
        <v>0.00017082905192410607</v>
      </c>
      <c r="G110" s="22">
        <f>IF(OR(1792621.32665="",55.1994="",17.98053=""),"-",(55.1994-17.98053)/1792621.32665*100)</f>
        <v>0.002076225996348798</v>
      </c>
    </row>
    <row r="111" spans="1:7" ht="15.75">
      <c r="A111" s="34" t="s">
        <v>285</v>
      </c>
      <c r="B111" s="22">
        <f>IF(49.86233="","-",49.86233)</f>
        <v>49.86233</v>
      </c>
      <c r="C111" s="22" t="s">
        <v>196</v>
      </c>
      <c r="D111" s="22">
        <f>IF(13.44436="","-",13.44436/1792621.32665*100)</f>
        <v>0.0007499832675272496</v>
      </c>
      <c r="E111" s="22">
        <f>IF(49.86233="","-",49.86233/2276281.23687*100)</f>
        <v>0.002190517111521913</v>
      </c>
      <c r="F111" s="22">
        <f>IF(OR(1543712.83473="",50.88726="",13.44436=""),"-",(13.44436-50.88726)/1543712.83473*100)</f>
        <v>-0.00242550940548142</v>
      </c>
      <c r="G111" s="22">
        <f>IF(OR(1792621.32665="",49.86233="",13.44436=""),"-",(49.86233-13.44436)/1792621.32665*100)</f>
        <v>0.0020315484067154814</v>
      </c>
    </row>
    <row r="112" spans="1:7" ht="15.75">
      <c r="A112" s="111" t="s">
        <v>23</v>
      </c>
      <c r="B112" s="111"/>
      <c r="C112" s="111"/>
      <c r="D112" s="111"/>
      <c r="E112" s="111"/>
      <c r="F112" s="111"/>
      <c r="G112" s="111"/>
    </row>
  </sheetData>
  <sheetProtection/>
  <mergeCells count="10">
    <mergeCell ref="A112:G112"/>
    <mergeCell ref="A1:G1"/>
    <mergeCell ref="A3:A5"/>
    <mergeCell ref="B3:C3"/>
    <mergeCell ref="D3:E3"/>
    <mergeCell ref="F3:G3"/>
    <mergeCell ref="B4:B5"/>
    <mergeCell ref="C4:C5"/>
    <mergeCell ref="D4:E4"/>
    <mergeCell ref="F4:G4"/>
  </mergeCells>
  <printOptions/>
  <pageMargins left="0.5905511811023623" right="0.3937007874015748" top="0.3937007874015748" bottom="0.3937007874015748" header="0.11811023622047245" footer="0.1181102362204724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G129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:D1"/>
    </sheetView>
  </sheetViews>
  <sheetFormatPr defaultColWidth="9.00390625" defaultRowHeight="15.75"/>
  <cols>
    <col min="1" max="1" width="42.75390625" style="0" customWidth="1"/>
    <col min="2" max="3" width="13.875" style="0" customWidth="1"/>
    <col min="4" max="4" width="18.375" style="0" customWidth="1"/>
  </cols>
  <sheetData>
    <row r="1" spans="1:4" ht="15.75">
      <c r="A1" s="112" t="s">
        <v>246</v>
      </c>
      <c r="B1" s="112"/>
      <c r="C1" s="112"/>
      <c r="D1" s="112"/>
    </row>
    <row r="2" ht="15.75">
      <c r="A2" s="4"/>
    </row>
    <row r="3" spans="1:5" ht="21.75" customHeight="1">
      <c r="A3" s="113"/>
      <c r="B3" s="117" t="s">
        <v>255</v>
      </c>
      <c r="C3" s="118"/>
      <c r="D3" s="115" t="s">
        <v>256</v>
      </c>
      <c r="E3" s="1"/>
    </row>
    <row r="4" spans="1:5" ht="21" customHeight="1">
      <c r="A4" s="114"/>
      <c r="B4" s="39">
        <v>2017</v>
      </c>
      <c r="C4" s="38">
        <v>2018</v>
      </c>
      <c r="D4" s="116"/>
      <c r="E4" s="1"/>
    </row>
    <row r="5" spans="1:4" ht="17.25" customHeight="1">
      <c r="A5" s="91" t="s">
        <v>177</v>
      </c>
      <c r="B5" s="56">
        <f>IF(-935510.5401="","-",-935510.5401)</f>
        <v>-935510.5401</v>
      </c>
      <c r="C5" s="56">
        <f>IF(-1175144.93844="","-",-1175144.93844)</f>
        <v>-1175144.93844</v>
      </c>
      <c r="D5" s="57">
        <f>IF(-935510.5401="","-",-1175144.93844/-935510.5401*100)</f>
        <v>125.61536060452987</v>
      </c>
    </row>
    <row r="6" spans="1:4" ht="15.75">
      <c r="A6" s="7" t="s">
        <v>26</v>
      </c>
      <c r="B6" s="30"/>
      <c r="C6" s="29"/>
      <c r="D6" s="35"/>
    </row>
    <row r="7" spans="1:4" ht="15.75">
      <c r="A7" s="32" t="s">
        <v>3</v>
      </c>
      <c r="B7" s="46">
        <f>IF(-335626.77187="","-",-335626.77187)</f>
        <v>-335626.77187</v>
      </c>
      <c r="C7" s="46">
        <f>IF(-403737.07227="","-",-403737.07227)</f>
        <v>-403737.07227</v>
      </c>
      <c r="D7" s="46">
        <f>IF(-335626.77187="","-",-403737.07227/-335626.77187*100)</f>
        <v>120.29346467819364</v>
      </c>
    </row>
    <row r="8" spans="1:4" ht="15.75">
      <c r="A8" s="34" t="s">
        <v>5</v>
      </c>
      <c r="B8" s="51">
        <f>IF(-84280.63127="","-",-84280.63127)</f>
        <v>-84280.63127</v>
      </c>
      <c r="C8" s="51">
        <f>IF(-101396.72048="","-",-101396.72048)</f>
        <v>-101396.72048</v>
      </c>
      <c r="D8" s="51">
        <f>IF(OR(-84280.63127="",-101396.72048="",-84280.63127=0),"-",-101396.72048/-84280.63127*100)</f>
        <v>120.30844922739983</v>
      </c>
    </row>
    <row r="9" spans="1:4" ht="15.75">
      <c r="A9" s="34" t="s">
        <v>110</v>
      </c>
      <c r="B9" s="51">
        <f>IF(-34978.3941="","-",-34978.3941)</f>
        <v>-34978.3941</v>
      </c>
      <c r="C9" s="51">
        <f>IF(-48703.19784="","-",-48703.19784)</f>
        <v>-48703.19784</v>
      </c>
      <c r="D9" s="51">
        <f>IF(OR(-34978.3941="",-48703.19784="",-34978.3941=0),"-",-48703.19784/-34978.3941*100)</f>
        <v>139.23794700454818</v>
      </c>
    </row>
    <row r="10" spans="1:4" ht="15.75">
      <c r="A10" s="34" t="s">
        <v>260</v>
      </c>
      <c r="B10" s="51">
        <f>IF(-36135.04237="","-",-36135.04237)</f>
        <v>-36135.04237</v>
      </c>
      <c r="C10" s="51">
        <f>IF(-45684.88671="","-",-45684.88671)</f>
        <v>-45684.88671</v>
      </c>
      <c r="D10" s="51">
        <f>IF(OR(-36135.04237="",-45684.88671="",-36135.04237=0),"-",-45684.88671/-36135.04237*100)</f>
        <v>126.42820850247143</v>
      </c>
    </row>
    <row r="11" spans="1:4" ht="15.75">
      <c r="A11" s="34" t="s">
        <v>6</v>
      </c>
      <c r="B11" s="51">
        <f>IF(-28485.61791="","-",-28485.61791)</f>
        <v>-28485.61791</v>
      </c>
      <c r="C11" s="51">
        <f>IF(-41410.60344="","-",-41410.60344)</f>
        <v>-41410.60344</v>
      </c>
      <c r="D11" s="51">
        <f>IF(OR(-28485.61791="",-41410.60344="",-28485.61791=0),"-",-41410.60344/-28485.61791*100)</f>
        <v>145.37372357811</v>
      </c>
    </row>
    <row r="12" spans="1:4" ht="15.75">
      <c r="A12" s="34" t="s">
        <v>4</v>
      </c>
      <c r="B12" s="51">
        <f>IF(-49945.71253="","-",-49945.71253)</f>
        <v>-49945.71253</v>
      </c>
      <c r="C12" s="51">
        <f>IF(-35450.82189="","-",-35450.82189)</f>
        <v>-35450.82189</v>
      </c>
      <c r="D12" s="51">
        <f>IF(OR(-49945.71253="",-35450.82189="",-49945.71253=0),"-",-35450.82189/-49945.71253*100)</f>
        <v>70.978708870569</v>
      </c>
    </row>
    <row r="13" spans="1:4" ht="15.75">
      <c r="A13" s="34" t="s">
        <v>258</v>
      </c>
      <c r="B13" s="51">
        <f>IF(-37795.15355="","-",-37795.15355)</f>
        <v>-37795.15355</v>
      </c>
      <c r="C13" s="51">
        <f>IF(-29165.57213="","-",-29165.57213)</f>
        <v>-29165.57213</v>
      </c>
      <c r="D13" s="51">
        <f>IF(OR(-37795.15355="",-29165.57213="",-37795.15355=0),"-",-29165.57213/-37795.15355*100)</f>
        <v>77.16749210031982</v>
      </c>
    </row>
    <row r="14" spans="1:4" ht="15.75">
      <c r="A14" s="34" t="s">
        <v>8</v>
      </c>
      <c r="B14" s="51">
        <f>IF(-15356.96252="","-",-15356.96252)</f>
        <v>-15356.96252</v>
      </c>
      <c r="C14" s="51">
        <f>IF(-28017.45047="","-",-28017.45047)</f>
        <v>-28017.45047</v>
      </c>
      <c r="D14" s="51" t="s">
        <v>182</v>
      </c>
    </row>
    <row r="15" spans="1:4" ht="15.75">
      <c r="A15" s="34" t="s">
        <v>108</v>
      </c>
      <c r="B15" s="51">
        <f>IF(-15223.81964="","-",-15223.81964)</f>
        <v>-15223.81964</v>
      </c>
      <c r="C15" s="51">
        <f>IF(-21439.30302="","-",-21439.30302)</f>
        <v>-21439.30302</v>
      </c>
      <c r="D15" s="51">
        <f>IF(OR(-15223.81964="",-21439.30302="",-15223.81964=0),"-",-21439.30302/-15223.81964*100)</f>
        <v>140.8273582253238</v>
      </c>
    </row>
    <row r="16" spans="1:4" ht="15.75">
      <c r="A16" s="34" t="s">
        <v>261</v>
      </c>
      <c r="B16" s="51">
        <f>IF(-12566.9016="","-",-12566.9016)</f>
        <v>-12566.9016</v>
      </c>
      <c r="C16" s="51">
        <f>IF(-16128.68447="","-",-16128.68447)</f>
        <v>-16128.68447</v>
      </c>
      <c r="D16" s="51">
        <f>IF(OR(-12566.9016="",-16128.68447="",-12566.9016=0),"-",-16128.68447/-12566.9016*100)</f>
        <v>128.34256989805667</v>
      </c>
    </row>
    <row r="17" spans="1:4" ht="15.75">
      <c r="A17" s="34" t="s">
        <v>109</v>
      </c>
      <c r="B17" s="51">
        <f>IF(-9508.93965="","-",-9508.93965)</f>
        <v>-9508.93965</v>
      </c>
      <c r="C17" s="51">
        <f>IF(-12240.22662="","-",-12240.22662)</f>
        <v>-12240.22662</v>
      </c>
      <c r="D17" s="51">
        <f>IF(OR(-9508.93965="",-12240.22662="",-9508.93965=0),"-",-12240.22662/-9508.93965*100)</f>
        <v>128.72336002258672</v>
      </c>
    </row>
    <row r="18" spans="1:4" ht="15.75">
      <c r="A18" s="34" t="s">
        <v>118</v>
      </c>
      <c r="B18" s="51">
        <f>IF(-6673.24149="","-",-6673.24149)</f>
        <v>-6673.24149</v>
      </c>
      <c r="C18" s="51">
        <f>IF(-9281.00633="","-",-9281.00633)</f>
        <v>-9281.00633</v>
      </c>
      <c r="D18" s="51">
        <f>IF(OR(-6673.24149="",-9281.00633="",-6673.24149=0),"-",-9281.00633/-6673.24149*100)</f>
        <v>139.0779330241202</v>
      </c>
    </row>
    <row r="19" spans="1:4" ht="15.75">
      <c r="A19" s="34" t="s">
        <v>10</v>
      </c>
      <c r="B19" s="51">
        <f>IF(-8678.10222="","-",-8678.10222)</f>
        <v>-8678.10222</v>
      </c>
      <c r="C19" s="51">
        <f>IF(-8860.18138="","-",-8860.18138)</f>
        <v>-8860.18138</v>
      </c>
      <c r="D19" s="51">
        <f>IF(OR(-8678.10222="",-8860.18138="",-8678.10222=0),"-",-8860.18138/-8678.10222*100)</f>
        <v>102.09814490984412</v>
      </c>
    </row>
    <row r="20" spans="1:4" ht="15.75">
      <c r="A20" s="34" t="s">
        <v>120</v>
      </c>
      <c r="B20" s="51">
        <f>IF(-5681.88501="","-",-5681.88501)</f>
        <v>-5681.88501</v>
      </c>
      <c r="C20" s="51">
        <f>IF(-8533.7753="","-",-8533.7753)</f>
        <v>-8533.7753</v>
      </c>
      <c r="D20" s="51">
        <f>IF(OR(-5681.88501="",-8533.7753="",-5681.88501=0),"-",-8533.7753/-5681.88501*100)</f>
        <v>150.19267874975876</v>
      </c>
    </row>
    <row r="21" spans="1:4" ht="15.75">
      <c r="A21" s="34" t="s">
        <v>116</v>
      </c>
      <c r="B21" s="51">
        <f>IF(-5243.05648="","-",-5243.05648)</f>
        <v>-5243.05648</v>
      </c>
      <c r="C21" s="51">
        <f>IF(-5527.0078="","-",-5527.0078)</f>
        <v>-5527.0078</v>
      </c>
      <c r="D21" s="51">
        <f>IF(OR(-5243.05648="",-5527.0078="",-5243.05648=0),"-",-5527.0078/-5243.05648*100)</f>
        <v>105.41575932060148</v>
      </c>
    </row>
    <row r="22" spans="1:6" ht="15.75">
      <c r="A22" s="34" t="s">
        <v>117</v>
      </c>
      <c r="B22" s="51">
        <f>IF(-3252.20721="","-",-3252.20721)</f>
        <v>-3252.20721</v>
      </c>
      <c r="C22" s="51">
        <f>IF(-4359.93875="","-",-4359.93875)</f>
        <v>-4359.93875</v>
      </c>
      <c r="D22" s="51">
        <f>IF(OR(-3252.20721="",-4359.93875="",-3252.20721=0),"-",-4359.93875/-3252.20721*100)</f>
        <v>134.06091520226352</v>
      </c>
      <c r="F22" t="s">
        <v>189</v>
      </c>
    </row>
    <row r="23" spans="1:4" ht="15.75">
      <c r="A23" s="34" t="s">
        <v>121</v>
      </c>
      <c r="B23" s="51">
        <f>IF(-1983.55325="","-",-1983.55325)</f>
        <v>-1983.55325</v>
      </c>
      <c r="C23" s="51">
        <f>IF(-2198.74452="","-",-2198.74452)</f>
        <v>-2198.74452</v>
      </c>
      <c r="D23" s="51">
        <f>IF(OR(-1983.55325="",-2198.74452="",-1983.55325=0),"-",-2198.74452/-1983.55325*100)</f>
        <v>110.84877706207283</v>
      </c>
    </row>
    <row r="24" spans="1:4" ht="15.75">
      <c r="A24" s="34" t="s">
        <v>113</v>
      </c>
      <c r="B24" s="51">
        <f>IF(-1015.94141="","-",-1015.94141)</f>
        <v>-1015.94141</v>
      </c>
      <c r="C24" s="51">
        <f>IF(-2027.44231="","-",-2027.44231)</f>
        <v>-2027.44231</v>
      </c>
      <c r="D24" s="51" t="s">
        <v>22</v>
      </c>
    </row>
    <row r="25" spans="1:4" ht="15.75">
      <c r="A25" s="34" t="s">
        <v>112</v>
      </c>
      <c r="B25" s="51">
        <f>IF(-5139.03068="","-",-5139.03068)</f>
        <v>-5139.03068</v>
      </c>
      <c r="C25" s="51">
        <f>IF(-1858.40285="","-",-1858.40285)</f>
        <v>-1858.40285</v>
      </c>
      <c r="D25" s="51">
        <f>IF(OR(-5139.03068="",-1858.40285="",-5139.03068=0),"-",-1858.40285/-5139.03068*100)</f>
        <v>36.16251713056518</v>
      </c>
    </row>
    <row r="26" spans="1:4" ht="15.75">
      <c r="A26" s="34" t="s">
        <v>7</v>
      </c>
      <c r="B26" s="51">
        <f>IF(4906.15301="","-",4906.15301)</f>
        <v>4906.15301</v>
      </c>
      <c r="C26" s="51">
        <f>IF(-1763.60319="","-",-1763.60319)</f>
        <v>-1763.60319</v>
      </c>
      <c r="D26" s="51" t="s">
        <v>27</v>
      </c>
    </row>
    <row r="27" spans="1:4" ht="15.75">
      <c r="A27" s="34" t="s">
        <v>262</v>
      </c>
      <c r="B27" s="51">
        <f>IF(-591.45918="","-",-591.45918)</f>
        <v>-591.45918</v>
      </c>
      <c r="C27" s="51">
        <f>IF(-716.5629="","-",-716.5629)</f>
        <v>-716.5629</v>
      </c>
      <c r="D27" s="51">
        <f>IF(OR(-591.45918="",-716.5629="",-591.45918=0),"-",-716.5629/-591.45918*100)</f>
        <v>121.15170822101366</v>
      </c>
    </row>
    <row r="28" spans="1:4" ht="15.75">
      <c r="A28" s="34" t="s">
        <v>111</v>
      </c>
      <c r="B28" s="51">
        <f>IF(-1117.7554="","-",-1117.7554)</f>
        <v>-1117.7554</v>
      </c>
      <c r="C28" s="51">
        <f>IF(-524.78569="","-",-524.78569)</f>
        <v>-524.78569</v>
      </c>
      <c r="D28" s="51">
        <f>IF(OR(-1117.7554="",-524.78569="",-1117.7554=0),"-",-524.78569/-1117.7554*100)</f>
        <v>46.94995792460497</v>
      </c>
    </row>
    <row r="29" spans="1:4" ht="15.75">
      <c r="A29" s="34" t="s">
        <v>122</v>
      </c>
      <c r="B29" s="51">
        <f>IF(-933.5575="","-",-933.5575)</f>
        <v>-933.5575</v>
      </c>
      <c r="C29" s="51">
        <f>IF(-429.56579="","-",-429.56579)</f>
        <v>-429.56579</v>
      </c>
      <c r="D29" s="51">
        <f>IF(OR(-933.5575="",-429.56579="",-933.5575=0),"-",-429.56579/-933.5575*100)</f>
        <v>46.013854529581735</v>
      </c>
    </row>
    <row r="30" spans="1:4" ht="15.75">
      <c r="A30" s="34" t="s">
        <v>114</v>
      </c>
      <c r="B30" s="51">
        <f>IF(-901.60129="","-",-901.60129)</f>
        <v>-901.60129</v>
      </c>
      <c r="C30" s="51">
        <f>IF(-340.43338="","-",-340.43338)</f>
        <v>-340.43338</v>
      </c>
      <c r="D30" s="51">
        <f>IF(OR(-901.60129="",-340.43338="",-901.60129=0),"-",-340.43338/-901.60129*100)</f>
        <v>37.75875032299477</v>
      </c>
    </row>
    <row r="31" spans="1:4" ht="15.75">
      <c r="A31" s="34" t="s">
        <v>123</v>
      </c>
      <c r="B31" s="51">
        <f>IF(-57.26369="","-",-57.26369)</f>
        <v>-57.26369</v>
      </c>
      <c r="C31" s="51">
        <f>IF(531.7874="","-",531.7874)</f>
        <v>531.7874</v>
      </c>
      <c r="D31" s="51" t="s">
        <v>27</v>
      </c>
    </row>
    <row r="32" spans="1:4" ht="15.75">
      <c r="A32" s="34" t="s">
        <v>115</v>
      </c>
      <c r="B32" s="51">
        <f>IF(2796.28574="","-",2796.28574)</f>
        <v>2796.28574</v>
      </c>
      <c r="C32" s="51">
        <f>IF(902.53497="","-",902.53497)</f>
        <v>902.53497</v>
      </c>
      <c r="D32" s="51">
        <f>IF(OR(2796.28574="",902.53497="",2796.28574=0),"-",902.53497/2796.28574*100)</f>
        <v>32.276206865754716</v>
      </c>
    </row>
    <row r="33" spans="1:4" ht="15.75">
      <c r="A33" s="34" t="s">
        <v>119</v>
      </c>
      <c r="B33" s="51">
        <f>IF(-4579.29454="","-",-4579.29454)</f>
        <v>-4579.29454</v>
      </c>
      <c r="C33" s="51">
        <f>IF(2552.48727="","-",2552.48727)</f>
        <v>2552.48727</v>
      </c>
      <c r="D33" s="51" t="s">
        <v>27</v>
      </c>
    </row>
    <row r="34" spans="1:4" ht="15.75">
      <c r="A34" s="34" t="s">
        <v>9</v>
      </c>
      <c r="B34" s="51">
        <f>IF(2620.41106="","-",2620.41106)</f>
        <v>2620.41106</v>
      </c>
      <c r="C34" s="51">
        <f>IF(5533.82022="","-",5533.82022)</f>
        <v>5533.82022</v>
      </c>
      <c r="D34" s="51" t="s">
        <v>166</v>
      </c>
    </row>
    <row r="35" spans="1:4" ht="15.75">
      <c r="A35" s="34" t="s">
        <v>259</v>
      </c>
      <c r="B35" s="51">
        <f>IF(24175.50281="","-",24175.50281)</f>
        <v>24175.50281</v>
      </c>
      <c r="C35" s="51">
        <f>IF(12801.21513="","-",12801.21513)</f>
        <v>12801.21513</v>
      </c>
      <c r="D35" s="51">
        <f>IF(OR(24175.50281="",12801.21513="",24175.50281=0),"-",12801.21513/24175.50281*100)</f>
        <v>52.95118463763608</v>
      </c>
    </row>
    <row r="36" spans="1:4" ht="15.75">
      <c r="A36" s="44" t="s">
        <v>287</v>
      </c>
      <c r="B36" s="46">
        <f>IF(-275662.5505="","-",-275662.5505)</f>
        <v>-275662.5505</v>
      </c>
      <c r="C36" s="46">
        <f>IF(-355504.19568="","-",-355504.19568)</f>
        <v>-355504.19568</v>
      </c>
      <c r="D36" s="46">
        <f>IF(-275662.5505="","-",-355504.19568/-275662.5505*100)</f>
        <v>128.9635443897556</v>
      </c>
    </row>
    <row r="37" spans="1:4" ht="15.75">
      <c r="A37" s="34" t="s">
        <v>264</v>
      </c>
      <c r="B37" s="51">
        <f>IF(-131019.60352="","-",-131019.60352)</f>
        <v>-131019.60352</v>
      </c>
      <c r="C37" s="51">
        <f>IF(-195696.15725="","-",-195696.15725)</f>
        <v>-195696.15725</v>
      </c>
      <c r="D37" s="51">
        <f>IF(OR(-131019.60352="",-195696.15725="",-131019.60352=0),"-",-195696.15725/-131019.60352*100)</f>
        <v>149.36402797168225</v>
      </c>
    </row>
    <row r="38" spans="1:4" ht="15.75">
      <c r="A38" s="34" t="s">
        <v>13</v>
      </c>
      <c r="B38" s="51">
        <f>IF(-155895.78701="","-",-155895.78701)</f>
        <v>-155895.78701</v>
      </c>
      <c r="C38" s="51">
        <f>IF(-169981.66566="","-",-169981.66566)</f>
        <v>-169981.66566</v>
      </c>
      <c r="D38" s="51">
        <f>IF(OR(-155895.78701="",-169981.66566="",-155895.78701=0),"-",-169981.66566/-155895.78701*100)</f>
        <v>109.03544535754288</v>
      </c>
    </row>
    <row r="39" spans="1:4" ht="15.75">
      <c r="A39" s="34" t="s">
        <v>16</v>
      </c>
      <c r="B39" s="51">
        <f>IF(626.22407="","-",626.22407)</f>
        <v>626.22407</v>
      </c>
      <c r="C39" s="51">
        <f>IF(-540.46471="","-",-540.46471)</f>
        <v>-540.46471</v>
      </c>
      <c r="D39" s="51" t="s">
        <v>27</v>
      </c>
    </row>
    <row r="40" spans="1:4" ht="15.75">
      <c r="A40" s="34" t="s">
        <v>17</v>
      </c>
      <c r="B40" s="51">
        <f>IF(194.36216="","-",194.36216)</f>
        <v>194.36216</v>
      </c>
      <c r="C40" s="51">
        <f>IF(167.07036="","-",167.07036)</f>
        <v>167.07036</v>
      </c>
      <c r="D40" s="51">
        <f>IF(OR(194.36216="",167.07036="",194.36216=0),"-",167.07036/194.36216*100)</f>
        <v>85.95827500579331</v>
      </c>
    </row>
    <row r="41" spans="1:4" ht="15.75">
      <c r="A41" s="34" t="s">
        <v>19</v>
      </c>
      <c r="B41" s="51">
        <f>IF(256.02438="","-",256.02438)</f>
        <v>256.02438</v>
      </c>
      <c r="C41" s="51">
        <f>IF(213.79224="","-",213.79224)</f>
        <v>213.79224</v>
      </c>
      <c r="D41" s="51">
        <f>IF(OR(256.02438="",213.79224="",256.02438=0),"-",213.79224/256.02438*100)</f>
        <v>83.50464123768212</v>
      </c>
    </row>
    <row r="42" spans="1:4" ht="15.75">
      <c r="A42" s="34" t="s">
        <v>265</v>
      </c>
      <c r="B42" s="51">
        <f>IF(348.18803="","-",348.18803)</f>
        <v>348.18803</v>
      </c>
      <c r="C42" s="51">
        <f>IF(296.53487="","-",296.53487)</f>
        <v>296.53487</v>
      </c>
      <c r="D42" s="51">
        <f>IF(OR(348.18803="",296.53487="",348.18803=0),"-",296.53487/348.18803*100)</f>
        <v>85.16515343735395</v>
      </c>
    </row>
    <row r="43" spans="1:4" ht="15.75">
      <c r="A43" s="34" t="s">
        <v>18</v>
      </c>
      <c r="B43" s="51">
        <f>IF(6.94729="","-",6.94729)</f>
        <v>6.94729</v>
      </c>
      <c r="C43" s="51">
        <f>IF(374.79268="","-",374.79268)</f>
        <v>374.79268</v>
      </c>
      <c r="D43" s="51" t="s">
        <v>286</v>
      </c>
    </row>
    <row r="44" spans="1:4" ht="15.75">
      <c r="A44" s="34" t="s">
        <v>15</v>
      </c>
      <c r="B44" s="51">
        <f>IF(2021.56648="","-",2021.56648)</f>
        <v>2021.56648</v>
      </c>
      <c r="C44" s="51">
        <f>IF(1623.70515="","-",1623.70515)</f>
        <v>1623.70515</v>
      </c>
      <c r="D44" s="51">
        <f>IF(OR(2021.56648="",1623.70515="",2021.56648=0),"-",1623.70515/2021.56648*100)</f>
        <v>80.31915675610134</v>
      </c>
    </row>
    <row r="45" spans="1:4" ht="15.75">
      <c r="A45" s="34" t="s">
        <v>12</v>
      </c>
      <c r="B45" s="51">
        <f>IF(3826.37768="","-",3826.37768)</f>
        <v>3826.37768</v>
      </c>
      <c r="C45" s="51">
        <f>IF(3247.50384="","-",3247.50384)</f>
        <v>3247.50384</v>
      </c>
      <c r="D45" s="51">
        <f>IF(OR(3826.37768="",3247.50384="",3826.37768=0),"-",3247.50384/3826.37768*100)</f>
        <v>84.87149235095893</v>
      </c>
    </row>
    <row r="46" spans="1:4" ht="15.75">
      <c r="A46" s="34" t="s">
        <v>14</v>
      </c>
      <c r="B46" s="51">
        <f>IF(3973.14994="","-",3973.14994)</f>
        <v>3973.14994</v>
      </c>
      <c r="C46" s="51">
        <f>IF(4790.6928="","-",4790.6928)</f>
        <v>4790.6928</v>
      </c>
      <c r="D46" s="51">
        <f>IF(OR(3973.14994="",4790.6928="",3973.14994=0),"-",4790.6928/3973.14994*100)</f>
        <v>120.57669285946959</v>
      </c>
    </row>
    <row r="47" spans="1:4" ht="15.75">
      <c r="A47" s="44" t="s">
        <v>288</v>
      </c>
      <c r="B47" s="21">
        <f>IF(-324221.21773="","-",-324221.21773)</f>
        <v>-324221.21773</v>
      </c>
      <c r="C47" s="21">
        <f>IF(-415903.67049="","-",-415903.67049)</f>
        <v>-415903.67049</v>
      </c>
      <c r="D47" s="21">
        <f>IF(-324221.21773="","-",-415903.67049/-324221.21773*100)</f>
        <v>128.27774610246203</v>
      </c>
    </row>
    <row r="48" spans="1:4" ht="15.75">
      <c r="A48" s="34" t="s">
        <v>127</v>
      </c>
      <c r="B48" s="22">
        <f>IF(-170446.65966="","-",-170446.65966)</f>
        <v>-170446.65966</v>
      </c>
      <c r="C48" s="22">
        <f>IF(-232196.08295="","-",-232196.08295)</f>
        <v>-232196.08295</v>
      </c>
      <c r="D48" s="22">
        <f>IF(OR(-170446.65966="",-232196.08295="",-170446.65966=0),"-",-232196.08295/-170446.65966*100)</f>
        <v>136.22800435818175</v>
      </c>
    </row>
    <row r="49" spans="1:4" ht="15.75">
      <c r="A49" s="34" t="s">
        <v>124</v>
      </c>
      <c r="B49" s="22">
        <f>IF(-78756.86983="","-",-78756.86983)</f>
        <v>-78756.86983</v>
      </c>
      <c r="C49" s="22">
        <f>IF(-93340.05331="","-",-93340.05331)</f>
        <v>-93340.05331</v>
      </c>
      <c r="D49" s="64">
        <f>IF(OR(-78756.86983="",-93340.05331="",-78756.86983=0),"-",-93340.05331/-78756.86983*100)</f>
        <v>118.51671290578005</v>
      </c>
    </row>
    <row r="50" spans="1:4" ht="15.75">
      <c r="A50" s="34" t="s">
        <v>21</v>
      </c>
      <c r="B50" s="22">
        <f>IF(-27394.31472="","-",-27394.31472)</f>
        <v>-27394.31472</v>
      </c>
      <c r="C50" s="22">
        <f>IF(-23997.70553="","-",-23997.70553)</f>
        <v>-23997.70553</v>
      </c>
      <c r="D50" s="64">
        <f>IF(OR(-27394.31472="",-23997.70553="",-27394.31472=0),"-",-23997.70553/-27394.31472*100)</f>
        <v>87.60104341095195</v>
      </c>
    </row>
    <row r="51" spans="1:4" ht="15.75">
      <c r="A51" s="34" t="s">
        <v>145</v>
      </c>
      <c r="B51" s="22">
        <f>IF(-11986.88793="","-",-11986.88793)</f>
        <v>-11986.88793</v>
      </c>
      <c r="C51" s="22">
        <f>IF(-23512.98521="","-",-23512.98521)</f>
        <v>-23512.98521</v>
      </c>
      <c r="D51" s="64" t="s">
        <v>22</v>
      </c>
    </row>
    <row r="52" spans="1:4" ht="15.75">
      <c r="A52" s="34" t="s">
        <v>104</v>
      </c>
      <c r="B52" s="22">
        <f>IF(-8664.29558="","-",-8664.29558)</f>
        <v>-8664.29558</v>
      </c>
      <c r="C52" s="22">
        <f>IF(-14529.78355="","-",-14529.78355)</f>
        <v>-14529.78355</v>
      </c>
      <c r="D52" s="64" t="s">
        <v>183</v>
      </c>
    </row>
    <row r="53" spans="1:4" ht="15.75">
      <c r="A53" s="34" t="s">
        <v>141</v>
      </c>
      <c r="B53" s="22">
        <f>IF(-10475.93088="","-",-10475.93088)</f>
        <v>-10475.93088</v>
      </c>
      <c r="C53" s="22">
        <f>IF(-13615.2844="","-",-13615.2844)</f>
        <v>-13615.2844</v>
      </c>
      <c r="D53" s="64">
        <f>IF(OR(-10475.93088="",-13615.2844="",-10475.93088=0),"-",-13615.2844/-10475.93088*100)</f>
        <v>129.96729890604243</v>
      </c>
    </row>
    <row r="54" spans="1:4" ht="15.75">
      <c r="A54" s="34" t="s">
        <v>138</v>
      </c>
      <c r="B54" s="22">
        <f>IF(-11543.35926="","-",-11543.35926)</f>
        <v>-11543.35926</v>
      </c>
      <c r="C54" s="22">
        <f>IF(-12940.00966="","-",-12940.00966)</f>
        <v>-12940.00966</v>
      </c>
      <c r="D54" s="22">
        <f>IF(OR(-11543.35926="",-12940.00966="",-11543.35926=0),"-",-12940.00966/-11543.35926*100)</f>
        <v>112.0991677426143</v>
      </c>
    </row>
    <row r="55" spans="1:4" ht="15.75">
      <c r="A55" s="34" t="s">
        <v>139</v>
      </c>
      <c r="B55" s="22">
        <f>IF(-5763.97804="","-",-5763.97804)</f>
        <v>-5763.97804</v>
      </c>
      <c r="C55" s="22">
        <f>IF(-7828.2929="","-",-7828.2929)</f>
        <v>-7828.2929</v>
      </c>
      <c r="D55" s="64">
        <f>IF(OR(-5763.97804="",-7828.2929="",-5763.97804=0),"-",-7828.2929/-5763.97804*100)</f>
        <v>135.81406531521068</v>
      </c>
    </row>
    <row r="56" spans="1:4" ht="15.75">
      <c r="A56" s="34" t="s">
        <v>150</v>
      </c>
      <c r="B56" s="22">
        <f>IF(-5901.28328="","-",-5901.28328)</f>
        <v>-5901.28328</v>
      </c>
      <c r="C56" s="22">
        <f>IF(-7344.88279="","-",-7344.88279)</f>
        <v>-7344.88279</v>
      </c>
      <c r="D56" s="22">
        <f>IF(OR(-5901.28328="",-7344.88279="",-5901.28328=0),"-",-7344.88279/-5901.28328*100)</f>
        <v>124.46246759399762</v>
      </c>
    </row>
    <row r="57" spans="1:4" ht="15.75">
      <c r="A57" s="34" t="s">
        <v>130</v>
      </c>
      <c r="B57" s="22">
        <f>IF(-2872.44673="","-",-2872.44673)</f>
        <v>-2872.44673</v>
      </c>
      <c r="C57" s="22">
        <f>IF(-5820.06868="","-",-5820.06868)</f>
        <v>-5820.06868</v>
      </c>
      <c r="D57" s="64" t="s">
        <v>22</v>
      </c>
    </row>
    <row r="58" spans="1:4" ht="15.75">
      <c r="A58" s="34" t="s">
        <v>154</v>
      </c>
      <c r="B58" s="22">
        <f>IF(-1938.14056="","-",-1938.14056)</f>
        <v>-1938.14056</v>
      </c>
      <c r="C58" s="22">
        <f>IF(-5070.74984="","-",-5070.74984)</f>
        <v>-5070.74984</v>
      </c>
      <c r="D58" s="22" t="s">
        <v>176</v>
      </c>
    </row>
    <row r="59" spans="1:4" ht="15.75">
      <c r="A59" s="34" t="s">
        <v>140</v>
      </c>
      <c r="B59" s="22">
        <f>IF(-3353.06267="","-",-3353.06267)</f>
        <v>-3353.06267</v>
      </c>
      <c r="C59" s="22">
        <f>IF(-4900.26292="","-",-4900.26292)</f>
        <v>-4900.26292</v>
      </c>
      <c r="D59" s="22">
        <f>IF(OR(-3353.06267="",-4900.26292="",-3353.06267=0),"-",-4900.26292/-3353.06267*100)</f>
        <v>146.14289687582846</v>
      </c>
    </row>
    <row r="60" spans="1:4" ht="15.75">
      <c r="A60" s="34" t="s">
        <v>147</v>
      </c>
      <c r="B60" s="22">
        <f>IF(-3201.69967="","-",-3201.69967)</f>
        <v>-3201.69967</v>
      </c>
      <c r="C60" s="22">
        <f>IF(-3471.11613="","-",-3471.11613)</f>
        <v>-3471.11613</v>
      </c>
      <c r="D60" s="64">
        <f>IF(OR(-3201.69967="",-3471.11613="",-3201.69967=0),"-",-3471.11613/-3201.69967*100)</f>
        <v>108.41479488299413</v>
      </c>
    </row>
    <row r="61" spans="1:7" ht="15.75">
      <c r="A61" s="34" t="s">
        <v>151</v>
      </c>
      <c r="B61" s="22">
        <f>IF(-2854.30479="","-",-2854.30479)</f>
        <v>-2854.30479</v>
      </c>
      <c r="C61" s="22">
        <f>IF(-3406.8629="","-",-3406.8629)</f>
        <v>-3406.8629</v>
      </c>
      <c r="D61" s="64">
        <f>IF(OR(-2854.30479="",-3406.8629="",-2854.30479=0),"-",-3406.8629/-2854.30479*100)</f>
        <v>119.35876336458098</v>
      </c>
      <c r="E61" s="1"/>
      <c r="F61" s="1"/>
      <c r="G61" s="1"/>
    </row>
    <row r="62" spans="1:4" ht="15.75">
      <c r="A62" s="34" t="s">
        <v>131</v>
      </c>
      <c r="B62" s="22">
        <f>IF(-2873.15306="","-",-2873.15306)</f>
        <v>-2873.15306</v>
      </c>
      <c r="C62" s="22">
        <f>IF(-3060.73717="","-",-3060.73717)</f>
        <v>-3060.73717</v>
      </c>
      <c r="D62" s="22">
        <f>IF(OR(-2873.15306="",-3060.73717="",-2873.15306=0),"-",-3060.73717/-2873.15306*100)</f>
        <v>106.52885892546217</v>
      </c>
    </row>
    <row r="63" spans="1:4" ht="15.75">
      <c r="A63" s="34" t="s">
        <v>153</v>
      </c>
      <c r="B63" s="22">
        <f>IF(-2334.65666="","-",-2334.65666)</f>
        <v>-2334.65666</v>
      </c>
      <c r="C63" s="22">
        <f>IF(-2946.80261="","-",-2946.80261)</f>
        <v>-2946.80261</v>
      </c>
      <c r="D63" s="64">
        <f>IF(OR(-2334.65666="",-2946.80261="",-2334.65666=0),"-",-2946.80261/-2334.65666*100)</f>
        <v>126.21995604270137</v>
      </c>
    </row>
    <row r="64" spans="1:4" ht="15.75">
      <c r="A64" s="34" t="s">
        <v>155</v>
      </c>
      <c r="B64" s="22">
        <f>IF(-1272.84902="","-",-1272.84902)</f>
        <v>-1272.84902</v>
      </c>
      <c r="C64" s="22">
        <f>IF(-2361.20482="","-",-2361.20482)</f>
        <v>-2361.20482</v>
      </c>
      <c r="D64" s="64" t="s">
        <v>184</v>
      </c>
    </row>
    <row r="65" spans="1:4" ht="15.75">
      <c r="A65" s="34" t="s">
        <v>133</v>
      </c>
      <c r="B65" s="22">
        <f>IF(-3255.0441="","-",-3255.0441)</f>
        <v>-3255.0441</v>
      </c>
      <c r="C65" s="22">
        <f>IF(-1846.07859="","-",-1846.07859)</f>
        <v>-1846.07859</v>
      </c>
      <c r="D65" s="64">
        <f>IF(OR(-3255.0441="",-1846.07859="",-3255.0441=0),"-",-1846.07859/-3255.0441*100)</f>
        <v>56.71439566671309</v>
      </c>
    </row>
    <row r="66" spans="1:4" ht="15.75">
      <c r="A66" s="34" t="s">
        <v>129</v>
      </c>
      <c r="B66" s="22">
        <f>IF(-1387.90176="","-",-1387.90176)</f>
        <v>-1387.90176</v>
      </c>
      <c r="C66" s="22">
        <f>IF(-1752.78592="","-",-1752.78592)</f>
        <v>-1752.78592</v>
      </c>
      <c r="D66" s="64">
        <f>IF(OR(-1387.90176="",-1752.78592="",-1387.90176=0),"-",-1752.78592/-1387.90176*100)</f>
        <v>126.29034493046541</v>
      </c>
    </row>
    <row r="67" spans="1:4" ht="15.75">
      <c r="A67" s="34" t="s">
        <v>143</v>
      </c>
      <c r="B67" s="22">
        <f>IF(-1085.95093="","-",-1085.95093)</f>
        <v>-1085.95093</v>
      </c>
      <c r="C67" s="22">
        <f>IF(-1675.42599="","-",-1675.42599)</f>
        <v>-1675.42599</v>
      </c>
      <c r="D67" s="64">
        <f>IF(OR(-1085.95093="",-1675.42599="",-1085.95093=0),"-",-1675.42599/-1085.95093*100)</f>
        <v>154.2819241381376</v>
      </c>
    </row>
    <row r="68" spans="1:7" ht="15.75">
      <c r="A68" s="34" t="s">
        <v>106</v>
      </c>
      <c r="B68" s="22">
        <f>IF(-843.54546="","-",-843.54546)</f>
        <v>-843.54546</v>
      </c>
      <c r="C68" s="22">
        <f>IF(-1658.36093="","-",-1658.36093)</f>
        <v>-1658.36093</v>
      </c>
      <c r="D68" s="22" t="s">
        <v>22</v>
      </c>
      <c r="E68" s="1"/>
      <c r="F68" s="1"/>
      <c r="G68" s="1"/>
    </row>
    <row r="69" spans="1:4" ht="15.75">
      <c r="A69" s="34" t="s">
        <v>152</v>
      </c>
      <c r="B69" s="22">
        <f>IF(-1789.88676="","-",-1789.88676)</f>
        <v>-1789.88676</v>
      </c>
      <c r="C69" s="22">
        <f>IF(-1627.96807="","-",-1627.96807)</f>
        <v>-1627.96807</v>
      </c>
      <c r="D69" s="22">
        <f>IF(OR(-1789.88676="",-1627.96807="",-1789.88676=0),"-",-1627.96807/-1789.88676*100)</f>
        <v>90.95369083572638</v>
      </c>
    </row>
    <row r="70" spans="1:4" ht="15.75">
      <c r="A70" s="34" t="s">
        <v>158</v>
      </c>
      <c r="B70" s="22">
        <f>IF(-1417.01682="","-",-1417.01682)</f>
        <v>-1417.01682</v>
      </c>
      <c r="C70" s="22">
        <f>IF(-1175.68098="","-",-1175.68098)</f>
        <v>-1175.68098</v>
      </c>
      <c r="D70" s="22">
        <f>IF(OR(-1417.01682="",-1175.68098="",-1417.01682=0),"-",-1175.68098/-1417.01682*100)</f>
        <v>82.96873850798751</v>
      </c>
    </row>
    <row r="71" spans="1:4" ht="15.75">
      <c r="A71" s="34" t="s">
        <v>137</v>
      </c>
      <c r="B71" s="22">
        <f>IF(-58.16605="","-",-58.16605)</f>
        <v>-58.16605</v>
      </c>
      <c r="C71" s="22">
        <f>IF(-1079.95375="","-",-1079.95375)</f>
        <v>-1079.95375</v>
      </c>
      <c r="D71" s="22" t="s">
        <v>289</v>
      </c>
    </row>
    <row r="72" spans="1:4" ht="15.75">
      <c r="A72" s="34" t="s">
        <v>156</v>
      </c>
      <c r="B72" s="22">
        <f>IF(-1272.00146="","-",-1272.00146)</f>
        <v>-1272.00146</v>
      </c>
      <c r="C72" s="22">
        <f>IF(-1015.74239="","-",-1015.74239)</f>
        <v>-1015.74239</v>
      </c>
      <c r="D72" s="64">
        <f>IF(OR(-1272.00146="",-1015.74239="",-1272.00146=0),"-",-1015.74239/-1272.00146*100)</f>
        <v>79.85386982181609</v>
      </c>
    </row>
    <row r="73" spans="1:4" ht="15.75">
      <c r="A73" s="34" t="s">
        <v>136</v>
      </c>
      <c r="B73" s="22">
        <f>IF(198.54788="","-",198.54788)</f>
        <v>198.54788</v>
      </c>
      <c r="C73" s="22">
        <f>IF(-1006.70628="","-",-1006.70628)</f>
        <v>-1006.70628</v>
      </c>
      <c r="D73" s="65" t="s">
        <v>27</v>
      </c>
    </row>
    <row r="74" spans="1:4" ht="15.75">
      <c r="A74" s="34" t="s">
        <v>159</v>
      </c>
      <c r="B74" s="22">
        <f>IF(-698.71382="","-",-698.71382)</f>
        <v>-698.71382</v>
      </c>
      <c r="C74" s="22">
        <f>IF(-1005.60673="","-",-1005.60673)</f>
        <v>-1005.60673</v>
      </c>
      <c r="D74" s="22">
        <f>IF(OR(-698.71382="",-1005.60673="",-698.71382=0),"-",-1005.60673/-698.71382*100)</f>
        <v>143.9225475746279</v>
      </c>
    </row>
    <row r="75" spans="1:4" ht="15.75">
      <c r="A75" s="34" t="s">
        <v>135</v>
      </c>
      <c r="B75" s="22">
        <f>IF(-3002.65726="","-",-3002.65726)</f>
        <v>-3002.65726</v>
      </c>
      <c r="C75" s="22">
        <f>IF(-937.66983="","-",-937.66983)</f>
        <v>-937.66983</v>
      </c>
      <c r="D75" s="64">
        <f>IF(OR(-3002.65726="",-937.66983="",-3002.65726=0),"-",-937.66983/-3002.65726*100)</f>
        <v>31.228000694291698</v>
      </c>
    </row>
    <row r="76" spans="1:7" ht="15.75">
      <c r="A76" s="34" t="s">
        <v>105</v>
      </c>
      <c r="B76" s="22">
        <f>IF(-307.93642="","-",-307.93642)</f>
        <v>-307.93642</v>
      </c>
      <c r="C76" s="22">
        <f>IF(-782.0788="","-",-782.0788)</f>
        <v>-782.0788</v>
      </c>
      <c r="D76" s="22" t="s">
        <v>169</v>
      </c>
      <c r="E76" s="19"/>
      <c r="F76" s="19"/>
      <c r="G76" s="19"/>
    </row>
    <row r="77" spans="1:4" ht="15.75">
      <c r="A77" s="34" t="s">
        <v>160</v>
      </c>
      <c r="B77" s="22">
        <f>IF(-543.37053="","-",-543.37053)</f>
        <v>-543.37053</v>
      </c>
      <c r="C77" s="22">
        <f>IF(-768.86809="","-",-768.86809)</f>
        <v>-768.86809</v>
      </c>
      <c r="D77" s="22">
        <f>IF(OR(-543.37053="",-768.86809="",-543.37053=0),"-",-768.86809/-543.37053*100)</f>
        <v>141.4997773250603</v>
      </c>
    </row>
    <row r="78" spans="1:4" ht="15.75">
      <c r="A78" s="34" t="s">
        <v>163</v>
      </c>
      <c r="B78" s="22">
        <f>IF(-712.31219="","-",-712.31219)</f>
        <v>-712.31219</v>
      </c>
      <c r="C78" s="22">
        <f>IF(-767.01441="","-",-767.01441)</f>
        <v>-767.01441</v>
      </c>
      <c r="D78" s="64">
        <f>IF(OR(-712.31219="",-767.01441="",-712.31219=0),"-",-767.01441/-712.31219*100)</f>
        <v>107.67952883131203</v>
      </c>
    </row>
    <row r="79" spans="1:4" ht="15.75">
      <c r="A79" s="34" t="s">
        <v>164</v>
      </c>
      <c r="B79" s="22">
        <f>IF(-513.13202="","-",-513.13202)</f>
        <v>-513.13202</v>
      </c>
      <c r="C79" s="22">
        <f>IF(-736.8032="","-",-736.8032)</f>
        <v>-736.8032</v>
      </c>
      <c r="D79" s="22">
        <f>IF(OR(-513.13202="",-736.8032="",-513.13202=0),"-",-736.8032/-513.13202*100)</f>
        <v>143.58940219711877</v>
      </c>
    </row>
    <row r="80" spans="1:4" ht="15.75">
      <c r="A80" s="34" t="s">
        <v>142</v>
      </c>
      <c r="B80" s="22">
        <f>IF(-977.5206="","-",-977.5206)</f>
        <v>-977.5206</v>
      </c>
      <c r="C80" s="22">
        <f>IF(-708.06136="","-",-708.06136)</f>
        <v>-708.06136</v>
      </c>
      <c r="D80" s="64">
        <f>IF(OR(-977.5206="",-708.06136="",-977.5206=0),"-",-708.06136/-977.5206*100)</f>
        <v>72.43441826187602</v>
      </c>
    </row>
    <row r="81" spans="1:4" ht="15.75">
      <c r="A81" s="34" t="s">
        <v>224</v>
      </c>
      <c r="B81" s="22">
        <f>IF(10939.84374="","-",10939.84374)</f>
        <v>10939.84374</v>
      </c>
      <c r="C81" s="22">
        <f>IF(-664.40198="","-",-664.40198)</f>
        <v>-664.40198</v>
      </c>
      <c r="D81" s="66" t="s">
        <v>27</v>
      </c>
    </row>
    <row r="82" spans="1:4" ht="15.75">
      <c r="A82" s="34" t="s">
        <v>157</v>
      </c>
      <c r="B82" s="22">
        <f>IF(-523.40715="","-",-523.40715)</f>
        <v>-523.40715</v>
      </c>
      <c r="C82" s="22">
        <f>IF(-644.19269="","-",-644.19269)</f>
        <v>-644.19269</v>
      </c>
      <c r="D82" s="64">
        <f>IF(OR(-523.40715="",-644.19269="",-523.40715=0),"-",-644.19269/-523.40715*100)</f>
        <v>123.07678448794594</v>
      </c>
    </row>
    <row r="83" spans="1:4" ht="15.75">
      <c r="A83" s="34" t="s">
        <v>162</v>
      </c>
      <c r="B83" s="22">
        <f>IF(-268.61198="","-",-268.61198)</f>
        <v>-268.61198</v>
      </c>
      <c r="C83" s="22">
        <f>IF(-566.48308="","-",-566.48308)</f>
        <v>-566.48308</v>
      </c>
      <c r="D83" s="22">
        <f>IF(OR(-78756.86983="",-93340.05331="",-78756.86983=0),"-",-93340.05331/-78756.86983*100)</f>
        <v>118.51671290578005</v>
      </c>
    </row>
    <row r="84" spans="1:4" ht="15.75">
      <c r="A84" s="34" t="s">
        <v>223</v>
      </c>
      <c r="B84" s="22">
        <f>IF(-368.74803="","-",-368.74803)</f>
        <v>-368.74803</v>
      </c>
      <c r="C84" s="22">
        <f>IF(-498.20926="","-",-498.20926)</f>
        <v>-498.20926</v>
      </c>
      <c r="D84" s="64">
        <f>IF(OR(-368.74803="",-498.20926="",-368.74803=0),"-",-498.20926/-368.74803*100)</f>
        <v>135.10831773121606</v>
      </c>
    </row>
    <row r="85" spans="1:4" ht="15.75">
      <c r="A85" s="34" t="s">
        <v>178</v>
      </c>
      <c r="B85" s="22">
        <f>IF(399.55843="","-",399.55843)</f>
        <v>399.55843</v>
      </c>
      <c r="C85" s="22">
        <f>IF(-488.4436="","-",-488.4436)</f>
        <v>-488.4436</v>
      </c>
      <c r="D85" s="22" t="s">
        <v>27</v>
      </c>
    </row>
    <row r="86" spans="1:4" ht="15.75">
      <c r="A86" s="34" t="s">
        <v>170</v>
      </c>
      <c r="B86" s="22">
        <f>IF(-312.14739="","-",-312.14739)</f>
        <v>-312.14739</v>
      </c>
      <c r="C86" s="22">
        <f>IF(-446.72877="","-",-446.72877)</f>
        <v>-446.72877</v>
      </c>
      <c r="D86" s="64">
        <f>IF(OR(-312.14739="",-446.72877="",-312.14739=0),"-",-446.72877/-312.14739*100)</f>
        <v>143.11469014685662</v>
      </c>
    </row>
    <row r="87" spans="1:4" ht="15.75">
      <c r="A87" s="34" t="s">
        <v>171</v>
      </c>
      <c r="B87" s="22">
        <f>IF(-118.48067="","-",-118.48067)</f>
        <v>-118.48067</v>
      </c>
      <c r="C87" s="22">
        <f>IF(-430.76753="","-",-430.76753)</f>
        <v>-430.76753</v>
      </c>
      <c r="D87" s="64" t="s">
        <v>290</v>
      </c>
    </row>
    <row r="88" spans="1:4" ht="15.75">
      <c r="A88" s="34" t="s">
        <v>149</v>
      </c>
      <c r="B88" s="22">
        <f>IF(-299.81946="","-",-299.81946)</f>
        <v>-299.81946</v>
      </c>
      <c r="C88" s="22">
        <f>IF(-375.42505="","-",-375.42505)</f>
        <v>-375.42505</v>
      </c>
      <c r="D88" s="22">
        <f>IF(OR(-299.81946="",-375.42505="",-299.81946=0),"-",-375.42505/-299.81946*100)</f>
        <v>125.21703894737186</v>
      </c>
    </row>
    <row r="89" spans="1:4" ht="15.75">
      <c r="A89" s="34" t="s">
        <v>181</v>
      </c>
      <c r="B89" s="22">
        <f>IF(-193.62265="","-",-193.62265)</f>
        <v>-193.62265</v>
      </c>
      <c r="C89" s="22">
        <f>IF(-308.5658="","-",-308.5658)</f>
        <v>-308.5658</v>
      </c>
      <c r="D89" s="22">
        <f>IF(OR(-193.62265="",-308.5658="",-193.62265=0),"-",-308.5658/-193.62265*100)</f>
        <v>159.36451649639133</v>
      </c>
    </row>
    <row r="90" spans="1:4" ht="15.75">
      <c r="A90" s="34" t="s">
        <v>179</v>
      </c>
      <c r="B90" s="22">
        <f>IF(-8.46155="","-",-8.46155)</f>
        <v>-8.46155</v>
      </c>
      <c r="C90" s="22">
        <f>IF(-303.98494="","-",-303.98494)</f>
        <v>-303.98494</v>
      </c>
      <c r="D90" s="22" t="s">
        <v>291</v>
      </c>
    </row>
    <row r="91" spans="1:4" ht="15.75">
      <c r="A91" s="34" t="s">
        <v>280</v>
      </c>
      <c r="B91" s="22">
        <f>IF(-347.9157="","-",-347.9157)</f>
        <v>-347.9157</v>
      </c>
      <c r="C91" s="22">
        <f>IF(-245.22814="","-",-245.22814)</f>
        <v>-245.22814</v>
      </c>
      <c r="D91" s="64">
        <f>IF(OR(-347.9157="",-245.22814="",-347.9157=0),"-",-245.22814/-347.9157*100)</f>
        <v>70.48493068866969</v>
      </c>
    </row>
    <row r="92" spans="1:4" ht="15.75">
      <c r="A92" s="34" t="s">
        <v>161</v>
      </c>
      <c r="B92" s="22">
        <f>IF(-319.14437="","-",-319.14437)</f>
        <v>-319.14437</v>
      </c>
      <c r="C92" s="22">
        <f>IF(-232.55137="","-",-232.55137)</f>
        <v>-232.55137</v>
      </c>
      <c r="D92" s="64">
        <f>IF(OR(-319.14437="",-232.55137="",-319.14437=0),"-",-232.55137/-319.14437*100)</f>
        <v>72.86713846777243</v>
      </c>
    </row>
    <row r="93" spans="1:4" ht="15.75">
      <c r="A93" s="34" t="s">
        <v>281</v>
      </c>
      <c r="B93" s="22">
        <f>IF(-34.10485="","-",-34.10485)</f>
        <v>-34.10485</v>
      </c>
      <c r="C93" s="22">
        <f>IF(-198.92417="","-",-198.92417)</f>
        <v>-198.92417</v>
      </c>
      <c r="D93" s="64" t="s">
        <v>282</v>
      </c>
    </row>
    <row r="94" spans="1:4" ht="15.75">
      <c r="A94" s="34" t="s">
        <v>165</v>
      </c>
      <c r="B94" s="22">
        <f>IF(-299.41218="","-",-299.41218)</f>
        <v>-299.41218</v>
      </c>
      <c r="C94" s="22">
        <f>IF(-184.94965="","-",-184.94965)</f>
        <v>-184.94965</v>
      </c>
      <c r="D94" s="22">
        <f>IF(OR(-299.41218="",-184.94965="",-299.41218=0),"-",-184.94965/-299.41218*100)</f>
        <v>61.77091726862949</v>
      </c>
    </row>
    <row r="95" spans="1:4" ht="15.75">
      <c r="A95" s="34" t="s">
        <v>195</v>
      </c>
      <c r="B95" s="22">
        <f>IF(-16.07054="","-",-16.07054)</f>
        <v>-16.07054</v>
      </c>
      <c r="C95" s="22">
        <f>IF(-91.13283="","-",-91.13283)</f>
        <v>-91.13283</v>
      </c>
      <c r="D95" s="22" t="s">
        <v>283</v>
      </c>
    </row>
    <row r="96" spans="1:7" ht="15.75">
      <c r="A96" s="34" t="s">
        <v>225</v>
      </c>
      <c r="B96" s="22">
        <f>IF(-128.2835="","-",-128.2835)</f>
        <v>-128.2835</v>
      </c>
      <c r="C96" s="22">
        <f>IF(-84.18465="","-",-84.18465)</f>
        <v>-84.18465</v>
      </c>
      <c r="D96" s="64">
        <f>IF(OR(-128.2835="",-84.18465="",-128.2835=0),"-",-84.18465/-128.2835*100)</f>
        <v>65.62391110314265</v>
      </c>
      <c r="E96" s="19"/>
      <c r="F96" s="19"/>
      <c r="G96" s="19"/>
    </row>
    <row r="97" spans="1:7" ht="15.75">
      <c r="A97" s="34" t="s">
        <v>284</v>
      </c>
      <c r="B97" s="22">
        <f>IF(-67.67332="","-",-67.67332)</f>
        <v>-67.67332</v>
      </c>
      <c r="C97" s="22">
        <f>IF(-61.30736="","-",-61.30736)</f>
        <v>-61.30736</v>
      </c>
      <c r="D97" s="22">
        <f>IF(OR(-67.67332="",-61.30736="",-67.67332=0),"-",-61.30736/-67.67332*100)</f>
        <v>90.59310227427885</v>
      </c>
      <c r="E97" s="19"/>
      <c r="F97" s="19"/>
      <c r="G97" s="19"/>
    </row>
    <row r="98" spans="1:4" ht="15.75">
      <c r="A98" s="34" t="s">
        <v>285</v>
      </c>
      <c r="B98" s="22">
        <f>IF(-13.44436="","-",-13.44436)</f>
        <v>-13.44436</v>
      </c>
      <c r="C98" s="22">
        <f>IF(-49.86233="","-",-49.86233)</f>
        <v>-49.86233</v>
      </c>
      <c r="D98" s="22" t="s">
        <v>196</v>
      </c>
    </row>
    <row r="99" spans="1:4" ht="15.75">
      <c r="A99" s="34" t="s">
        <v>221</v>
      </c>
      <c r="B99" s="22">
        <f>IF(8.936="","-",8.936)</f>
        <v>8.936</v>
      </c>
      <c r="C99" s="22">
        <f>IF(48.96218="","-",48.96218)</f>
        <v>48.96218</v>
      </c>
      <c r="D99" s="64" t="s">
        <v>202</v>
      </c>
    </row>
    <row r="100" spans="1:7" ht="15.75">
      <c r="A100" s="34" t="s">
        <v>230</v>
      </c>
      <c r="B100" s="22">
        <f>IF(11.02792="","-",11.02792)</f>
        <v>11.02792</v>
      </c>
      <c r="C100" s="22">
        <f>IF(51.92029="","-",51.92029)</f>
        <v>51.92029</v>
      </c>
      <c r="D100" s="22" t="s">
        <v>233</v>
      </c>
      <c r="E100" s="18"/>
      <c r="F100" s="18"/>
      <c r="G100" s="18"/>
    </row>
    <row r="101" spans="1:4" ht="15.75">
      <c r="A101" s="34" t="s">
        <v>269</v>
      </c>
      <c r="B101" s="22">
        <f>IF(-1.38581="","-",-1.38581)</f>
        <v>-1.38581</v>
      </c>
      <c r="C101" s="22">
        <f>IF(68.67352="","-",68.67352)</f>
        <v>68.67352</v>
      </c>
      <c r="D101" s="22" t="s">
        <v>27</v>
      </c>
    </row>
    <row r="102" spans="1:7" ht="15.75">
      <c r="A102" s="34" t="s">
        <v>190</v>
      </c>
      <c r="B102" s="22">
        <f>IF(938.97176="","-",938.97176)</f>
        <v>938.97176</v>
      </c>
      <c r="C102" s="22">
        <f>IF(69.71556="","-",69.71556)</f>
        <v>69.71556</v>
      </c>
      <c r="D102" s="22">
        <f>IF(OR(938.97176="",69.71556="",938.97176=0),"-",69.71556/938.97176*100)</f>
        <v>7.424670577952205</v>
      </c>
      <c r="E102" s="18"/>
      <c r="F102" s="18"/>
      <c r="G102" s="18"/>
    </row>
    <row r="103" spans="1:7" ht="15.75">
      <c r="A103" s="34" t="s">
        <v>201</v>
      </c>
      <c r="B103" s="22">
        <f>IF(-0.40038="","-",-0.40038)</f>
        <v>-0.40038</v>
      </c>
      <c r="C103" s="22">
        <f>IF(74.15029="","-",74.15029)</f>
        <v>74.15029</v>
      </c>
      <c r="D103" s="22" t="s">
        <v>27</v>
      </c>
      <c r="E103" s="1"/>
      <c r="F103" s="1"/>
      <c r="G103" s="1"/>
    </row>
    <row r="104" spans="1:4" ht="15.75">
      <c r="A104" s="34" t="s">
        <v>188</v>
      </c>
      <c r="B104" s="22">
        <f>IF(-23.77189="","-",-23.77189)</f>
        <v>-23.77189</v>
      </c>
      <c r="C104" s="22">
        <f>IF(98.16652="","-",98.16652)</f>
        <v>98.16652</v>
      </c>
      <c r="D104" s="22" t="s">
        <v>27</v>
      </c>
    </row>
    <row r="105" spans="1:4" ht="15.75">
      <c r="A105" s="34" t="s">
        <v>218</v>
      </c>
      <c r="B105" s="22">
        <f>IF(116.25016="","-",116.25016)</f>
        <v>116.25016</v>
      </c>
      <c r="C105" s="22">
        <f>IF(105.16189="","-",105.16189)</f>
        <v>105.16189</v>
      </c>
      <c r="D105" s="64">
        <f>IF(OR(116.25016="",105.16189="",116.25016=0),"-",105.16189/116.25016*100)</f>
        <v>90.46171635376675</v>
      </c>
    </row>
    <row r="106" spans="1:4" ht="15.75">
      <c r="A106" s="34" t="s">
        <v>268</v>
      </c>
      <c r="B106" s="22">
        <f>IF(254.03727="","-",254.03727)</f>
        <v>254.03727</v>
      </c>
      <c r="C106" s="22">
        <f>IF(107.87257="","-",107.87257)</f>
        <v>107.87257</v>
      </c>
      <c r="D106" s="22">
        <f>IF(OR(254.03727="",107.87257="",254.03727=0),"-",107.87257/254.03727*100)</f>
        <v>42.46328501325809</v>
      </c>
    </row>
    <row r="107" spans="1:7" ht="15.75">
      <c r="A107" s="34" t="s">
        <v>217</v>
      </c>
      <c r="B107" s="22" t="s">
        <v>292</v>
      </c>
      <c r="C107" s="22">
        <f>IF(162.9725="","-",162.9725)</f>
        <v>162.9725</v>
      </c>
      <c r="D107" s="22" t="s">
        <v>27</v>
      </c>
      <c r="E107" s="19"/>
      <c r="F107" s="19"/>
      <c r="G107" s="19"/>
    </row>
    <row r="108" spans="1:7" ht="15.75">
      <c r="A108" s="34" t="s">
        <v>148</v>
      </c>
      <c r="B108" s="22">
        <f>IF(-55.38741="","-",-55.38741)</f>
        <v>-55.38741</v>
      </c>
      <c r="C108" s="22">
        <f>IF(166.02503="","-",166.02503)</f>
        <v>166.02503</v>
      </c>
      <c r="D108" s="22" t="s">
        <v>27</v>
      </c>
      <c r="E108" s="15"/>
      <c r="F108" s="15"/>
      <c r="G108" s="15"/>
    </row>
    <row r="109" spans="1:4" ht="15.75">
      <c r="A109" s="34" t="s">
        <v>220</v>
      </c>
      <c r="B109" s="22" t="s">
        <v>292</v>
      </c>
      <c r="C109" s="22">
        <f>IF(180.69192="","-",180.69192)</f>
        <v>180.69192</v>
      </c>
      <c r="D109" s="22" t="s">
        <v>27</v>
      </c>
    </row>
    <row r="110" spans="1:7" ht="15.75">
      <c r="A110" s="34" t="s">
        <v>187</v>
      </c>
      <c r="B110" s="22">
        <f>IF(265.52391="","-",265.52391)</f>
        <v>265.52391</v>
      </c>
      <c r="C110" s="22">
        <f>IF(203.26985="","-",203.26985)</f>
        <v>203.26985</v>
      </c>
      <c r="D110" s="64">
        <f>IF(OR(265.52391="",203.26985="",265.52391=0),"-",203.26985/265.52391*100)</f>
        <v>76.5542545678843</v>
      </c>
      <c r="E110" s="19"/>
      <c r="F110" s="19"/>
      <c r="G110" s="19"/>
    </row>
    <row r="111" spans="1:4" ht="15.75">
      <c r="A111" s="34" t="s">
        <v>216</v>
      </c>
      <c r="B111" s="22">
        <f>IF(34.39184="","-",34.39184)</f>
        <v>34.39184</v>
      </c>
      <c r="C111" s="22">
        <f>IF(204.24648="","-",204.24648)</f>
        <v>204.24648</v>
      </c>
      <c r="D111" s="64" t="s">
        <v>293</v>
      </c>
    </row>
    <row r="112" spans="1:4" ht="15.75">
      <c r="A112" s="34" t="s">
        <v>134</v>
      </c>
      <c r="B112" s="22">
        <f>IF(-1092.43564="","-",-1092.43564)</f>
        <v>-1092.43564</v>
      </c>
      <c r="C112" s="22">
        <f>IF(241.33016="","-",241.33016)</f>
        <v>241.33016</v>
      </c>
      <c r="D112" s="22" t="s">
        <v>27</v>
      </c>
    </row>
    <row r="113" spans="1:7" ht="15.75">
      <c r="A113" s="34" t="s">
        <v>168</v>
      </c>
      <c r="B113" s="22">
        <f>IF(119.40201="","-",119.40201)</f>
        <v>119.40201</v>
      </c>
      <c r="C113" s="22">
        <f>IF(255.87693="","-",255.87693)</f>
        <v>255.87693</v>
      </c>
      <c r="D113" s="64" t="s">
        <v>166</v>
      </c>
      <c r="E113" s="19"/>
      <c r="F113" s="19"/>
      <c r="G113" s="19"/>
    </row>
    <row r="114" spans="1:4" ht="15.75">
      <c r="A114" s="34" t="s">
        <v>199</v>
      </c>
      <c r="B114" s="22" t="s">
        <v>292</v>
      </c>
      <c r="C114" s="22">
        <f>IF(409.8874="","-",409.8874)</f>
        <v>409.8874</v>
      </c>
      <c r="D114" s="22" t="s">
        <v>27</v>
      </c>
    </row>
    <row r="115" spans="1:4" ht="15.75">
      <c r="A115" s="34" t="s">
        <v>192</v>
      </c>
      <c r="B115" s="22">
        <f>IF(-30.60435="","-",-30.60435)</f>
        <v>-30.60435</v>
      </c>
      <c r="C115" s="22">
        <f>IF(420.24593="","-",420.24593)</f>
        <v>420.24593</v>
      </c>
      <c r="D115" s="22" t="s">
        <v>27</v>
      </c>
    </row>
    <row r="116" spans="1:4" ht="15.75">
      <c r="A116" s="34" t="s">
        <v>229</v>
      </c>
      <c r="B116" s="22">
        <f>IF(0.19842="","-",0.19842)</f>
        <v>0.19842</v>
      </c>
      <c r="C116" s="22">
        <f>IF(443.63577="","-",443.63577)</f>
        <v>443.63577</v>
      </c>
      <c r="D116" s="22" t="s">
        <v>272</v>
      </c>
    </row>
    <row r="117" spans="1:4" ht="15.75">
      <c r="A117" s="34" t="s">
        <v>146</v>
      </c>
      <c r="B117" s="22">
        <f>IF(248.14538="","-",248.14538)</f>
        <v>248.14538</v>
      </c>
      <c r="C117" s="22">
        <f>IF(721.40815="","-",721.40815)</f>
        <v>721.40815</v>
      </c>
      <c r="D117" s="22" t="s">
        <v>204</v>
      </c>
    </row>
    <row r="118" spans="1:4" ht="15.75">
      <c r="A118" s="34" t="s">
        <v>186</v>
      </c>
      <c r="B118" s="22">
        <f>IF(718.70956="","-",718.70956)</f>
        <v>718.70956</v>
      </c>
      <c r="C118" s="22">
        <f>IF(891.36339="","-",891.36339)</f>
        <v>891.36339</v>
      </c>
      <c r="D118" s="64">
        <f>IF(OR(718.70956="",891.36339="",718.70956=0),"-",891.36339/718.70956*100)</f>
        <v>124.02275405937273</v>
      </c>
    </row>
    <row r="119" spans="1:4" ht="15.75">
      <c r="A119" s="34" t="s">
        <v>215</v>
      </c>
      <c r="B119" s="22">
        <f>IF(-40.70822="","-",-40.70822)</f>
        <v>-40.70822</v>
      </c>
      <c r="C119" s="22">
        <f>IF(911.9217="","-",911.9217)</f>
        <v>911.9217</v>
      </c>
      <c r="D119" s="22" t="s">
        <v>27</v>
      </c>
    </row>
    <row r="120" spans="1:4" ht="15.75">
      <c r="A120" s="34" t="s">
        <v>132</v>
      </c>
      <c r="B120" s="22">
        <f>IF(411.51152="","-",411.51152)</f>
        <v>411.51152</v>
      </c>
      <c r="C120" s="22">
        <f>IF(1575.85891="","-",1575.85891)</f>
        <v>1575.85891</v>
      </c>
      <c r="D120" s="64" t="s">
        <v>294</v>
      </c>
    </row>
    <row r="121" spans="1:4" ht="15.75">
      <c r="A121" s="34" t="s">
        <v>200</v>
      </c>
      <c r="B121" s="22" t="s">
        <v>292</v>
      </c>
      <c r="C121" s="22">
        <f>IF(1732.39958="","-",1732.39958)</f>
        <v>1732.39958</v>
      </c>
      <c r="D121" s="22" t="str">
        <f>IF(OR(0="",1732.39958="",0=0),"-",1732.39958/0*100)</f>
        <v>-</v>
      </c>
    </row>
    <row r="122" spans="1:4" ht="15.75">
      <c r="A122" s="34" t="s">
        <v>219</v>
      </c>
      <c r="B122" s="22">
        <f>IF(3577.03835="","-",3577.03835)</f>
        <v>3577.03835</v>
      </c>
      <c r="C122" s="22">
        <f>IF(1773.44095="","-",1773.44095)</f>
        <v>1773.44095</v>
      </c>
      <c r="D122" s="64">
        <f>IF(OR(3577.03835="",1773.44095="",3577.03835=0),"-",1773.44095/3577.03835*100)</f>
        <v>49.57847181034556</v>
      </c>
    </row>
    <row r="123" spans="1:4" ht="15.75">
      <c r="A123" s="34" t="s">
        <v>267</v>
      </c>
      <c r="B123" s="22">
        <f>IF(1285.30645="","-",1285.30645)</f>
        <v>1285.30645</v>
      </c>
      <c r="C123" s="22">
        <f>IF(1809.99794="","-",1809.99794)</f>
        <v>1809.99794</v>
      </c>
      <c r="D123" s="22">
        <f>IF(OR(1285.30645="",1809.99794="",1285.30645=0),"-",1809.99794/1285.30645*100)</f>
        <v>140.8222871673911</v>
      </c>
    </row>
    <row r="124" spans="1:4" ht="15.75">
      <c r="A124" s="34" t="s">
        <v>128</v>
      </c>
      <c r="B124" s="22">
        <f>IF(4606.68451="","-",4606.68451)</f>
        <v>4606.68451</v>
      </c>
      <c r="C124" s="22">
        <f>IF(6055.0064="","-",6055.0064)</f>
        <v>6055.0064</v>
      </c>
      <c r="D124" s="64">
        <f>IF(OR(4606.68451="",6055.0064="",4606.68451=0),"-",6055.0064/4606.68451*100)</f>
        <v>131.43957192762045</v>
      </c>
    </row>
    <row r="125" spans="1:7" ht="15.75">
      <c r="A125" s="34" t="s">
        <v>144</v>
      </c>
      <c r="B125" s="22">
        <f>IF(1056.94069="","-",1056.94069)</f>
        <v>1056.94069</v>
      </c>
      <c r="C125" s="22">
        <f>IF(6090.97744="","-",6090.97744)</f>
        <v>6090.97744</v>
      </c>
      <c r="D125" s="22" t="s">
        <v>282</v>
      </c>
      <c r="E125" s="1"/>
      <c r="F125" s="1"/>
      <c r="G125" s="1"/>
    </row>
    <row r="126" spans="1:7" ht="15.75">
      <c r="A126" s="34" t="s">
        <v>125</v>
      </c>
      <c r="B126" s="22">
        <f>IF(8185.49344="","-",8185.49344)</f>
        <v>8185.49344</v>
      </c>
      <c r="C126" s="22">
        <f>IF(6176.40729="","-",6176.40729)</f>
        <v>6176.40729</v>
      </c>
      <c r="D126" s="64">
        <f>IF(OR(8185.49344="",6176.40729="",8185.49344=0),"-",6176.40729/8185.49344*100)</f>
        <v>75.4555279443239</v>
      </c>
      <c r="E126" s="19"/>
      <c r="F126" s="19"/>
      <c r="G126" s="19"/>
    </row>
    <row r="127" spans="1:4" ht="15.75">
      <c r="A127" s="34" t="s">
        <v>126</v>
      </c>
      <c r="B127" s="22">
        <f>IF(5644.6677="","-",5644.6677)</f>
        <v>5644.6677</v>
      </c>
      <c r="C127" s="22">
        <f>IF(8067.94454="","-",8067.94454)</f>
        <v>8067.94454</v>
      </c>
      <c r="D127" s="22">
        <f>IF(OR(5644.6677="",8067.94454="",5644.6677=0),"-",8067.94454/5644.6677*100)</f>
        <v>142.9303719685749</v>
      </c>
    </row>
    <row r="128" spans="1:4" ht="15.75">
      <c r="A128" s="63" t="s">
        <v>266</v>
      </c>
      <c r="B128" s="67">
        <f>IF(-1389.82013="","-",-1389.82013)</f>
        <v>-1389.82013</v>
      </c>
      <c r="C128" s="67">
        <f>IF(14931.92905="","-",14931.92905)</f>
        <v>14931.92905</v>
      </c>
      <c r="D128" s="67" t="s">
        <v>27</v>
      </c>
    </row>
    <row r="129" ht="15.75">
      <c r="A129" s="62" t="s">
        <v>23</v>
      </c>
    </row>
  </sheetData>
  <sheetProtection/>
  <mergeCells count="4">
    <mergeCell ref="A1:D1"/>
    <mergeCell ref="A3:A4"/>
    <mergeCell ref="D3:D4"/>
    <mergeCell ref="B3:C3"/>
  </mergeCells>
  <printOptions/>
  <pageMargins left="0.5905511811023623" right="0.3937007874015748" top="0.3937007874015748" bottom="0.3937007874015748" header="0.11811023622047245" footer="0.1181102362204724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K39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:E1"/>
    </sheetView>
  </sheetViews>
  <sheetFormatPr defaultColWidth="9.00390625" defaultRowHeight="15.75"/>
  <cols>
    <col min="1" max="1" width="32.625" style="0" customWidth="1"/>
    <col min="2" max="2" width="14.25390625" style="0" customWidth="1"/>
    <col min="3" max="3" width="14.75390625" style="0" customWidth="1"/>
    <col min="4" max="4" width="11.25390625" style="0" customWidth="1"/>
    <col min="5" max="5" width="11.00390625" style="0" customWidth="1"/>
    <col min="6" max="6" width="10.25390625" style="0" customWidth="1"/>
  </cols>
  <sheetData>
    <row r="1" spans="1:5" ht="15.75">
      <c r="A1" s="98" t="s">
        <v>247</v>
      </c>
      <c r="B1" s="98"/>
      <c r="C1" s="98"/>
      <c r="D1" s="98"/>
      <c r="E1" s="98"/>
    </row>
    <row r="2" spans="1:5" ht="15.75">
      <c r="A2" s="14"/>
      <c r="B2" s="14"/>
      <c r="C2" s="14"/>
      <c r="D2" s="14"/>
      <c r="E2" s="14"/>
    </row>
    <row r="3" spans="1:6" ht="19.5" customHeight="1">
      <c r="A3" s="99"/>
      <c r="B3" s="102" t="s">
        <v>252</v>
      </c>
      <c r="C3" s="103"/>
      <c r="D3" s="102" t="s">
        <v>191</v>
      </c>
      <c r="E3" s="119"/>
      <c r="F3" s="1"/>
    </row>
    <row r="4" spans="1:6" ht="21.75" customHeight="1">
      <c r="A4" s="100"/>
      <c r="B4" s="106" t="s">
        <v>228</v>
      </c>
      <c r="C4" s="108" t="s">
        <v>253</v>
      </c>
      <c r="D4" s="110" t="s">
        <v>254</v>
      </c>
      <c r="E4" s="102"/>
      <c r="F4" s="1"/>
    </row>
    <row r="5" spans="1:6" ht="20.25" customHeight="1">
      <c r="A5" s="101"/>
      <c r="B5" s="107"/>
      <c r="C5" s="109"/>
      <c r="D5" s="41">
        <v>2017</v>
      </c>
      <c r="E5" s="40">
        <v>2018</v>
      </c>
      <c r="F5" s="1"/>
    </row>
    <row r="6" spans="1:5" ht="15.75" customHeight="1">
      <c r="A6" s="87" t="s">
        <v>25</v>
      </c>
      <c r="B6" s="88">
        <f>IF(1101136.29843="","-",1101136.29843)</f>
        <v>1101136.29843</v>
      </c>
      <c r="C6" s="89">
        <f>IF(857110.78655="","-",1101136.29843/857110.78655*100)</f>
        <v>128.4707083039101</v>
      </c>
      <c r="D6" s="90">
        <v>100</v>
      </c>
      <c r="E6" s="90">
        <v>100</v>
      </c>
    </row>
    <row r="7" spans="1:5" ht="15.75" customHeight="1">
      <c r="A7" s="12" t="s">
        <v>295</v>
      </c>
      <c r="B7" s="21"/>
      <c r="C7" s="47"/>
      <c r="D7" s="46"/>
      <c r="E7" s="46"/>
    </row>
    <row r="8" spans="1:5" ht="15.75">
      <c r="A8" s="45" t="s">
        <v>205</v>
      </c>
      <c r="B8" s="22">
        <f>IF(86139.77875="","-",86139.77875)</f>
        <v>86139.77875</v>
      </c>
      <c r="C8" s="52">
        <v>129.237</v>
      </c>
      <c r="D8" s="22">
        <f>IF(66652.73649="","-",66652.73649/857110.78655*100)</f>
        <v>7.776443551514187</v>
      </c>
      <c r="E8" s="22">
        <f>IF(86139.77875="","-",86139.77875/1101136.29843*100)</f>
        <v>7.822808027745347</v>
      </c>
    </row>
    <row r="9" spans="1:5" ht="15.75">
      <c r="A9" s="45" t="s">
        <v>206</v>
      </c>
      <c r="B9" s="22">
        <f>IF(33983.63936="","-",33983.63936)</f>
        <v>33983.63936</v>
      </c>
      <c r="C9" s="52" t="s">
        <v>194</v>
      </c>
      <c r="D9" s="22">
        <f>IF(14807.4087="","-",14807.4087/857110.78655*100)</f>
        <v>1.727595654186322</v>
      </c>
      <c r="E9" s="22">
        <f>IF(33983.63936="","-",33983.63936/1101136.29843*100)</f>
        <v>3.086233685008284</v>
      </c>
    </row>
    <row r="10" spans="1:5" ht="15.75">
      <c r="A10" s="45" t="s">
        <v>207</v>
      </c>
      <c r="B10" s="22">
        <f>IF(957236.15709="","-",957236.15709)</f>
        <v>957236.15709</v>
      </c>
      <c r="C10" s="52">
        <v>127.672</v>
      </c>
      <c r="D10" s="22">
        <f>IF(749760.40111="","-",749760.40111/857110.78655*100)</f>
        <v>87.47531974575871</v>
      </c>
      <c r="E10" s="22">
        <f>IF(957236.15709="","-",957236.15709/1101136.29843*100)</f>
        <v>86.93166853684028</v>
      </c>
    </row>
    <row r="11" spans="1:5" ht="15.75">
      <c r="A11" s="45" t="s">
        <v>208</v>
      </c>
      <c r="B11" s="22">
        <f>IF(23182.38892="","-",23182.38892)</f>
        <v>23182.38892</v>
      </c>
      <c r="C11" s="52">
        <v>91.735</v>
      </c>
      <c r="D11" s="22">
        <f>IF(25271.04591="","-",25271.04591/857110.78655*100)</f>
        <v>2.9483990058881147</v>
      </c>
      <c r="E11" s="22">
        <f>IF(23182.38892="","-",23182.38892/1101136.29843*100)</f>
        <v>2.105315114309959</v>
      </c>
    </row>
    <row r="12" spans="1:5" ht="15.75">
      <c r="A12" s="45" t="s">
        <v>209</v>
      </c>
      <c r="B12" s="22">
        <f>IF(583.15234="","-",583.15234)</f>
        <v>583.15234</v>
      </c>
      <c r="C12" s="52">
        <v>113.535</v>
      </c>
      <c r="D12" s="22">
        <f>IF(513.62503="","-",513.62503/857110.78655*100)</f>
        <v>0.05992516230806267</v>
      </c>
      <c r="E12" s="22">
        <f>IF(583.15234="","-",583.15234/1101136.29843*100)</f>
        <v>0.052959142372425515</v>
      </c>
    </row>
    <row r="13" spans="1:5" ht="15.75">
      <c r="A13" s="45" t="s">
        <v>210</v>
      </c>
      <c r="B13" s="22">
        <f>IF(3.43643="","-",3.43643)</f>
        <v>3.43643</v>
      </c>
      <c r="C13" s="52">
        <v>124.188</v>
      </c>
      <c r="D13" s="22">
        <f>IF(2.77419="","-",2.77419/857110.78655*100)</f>
        <v>0.0003236676102475075</v>
      </c>
      <c r="E13" s="22">
        <f>IF(3.43643="","-",3.43643/1101136.29843*100)</f>
        <v>0.0003120803487179255</v>
      </c>
    </row>
    <row r="14" spans="1:5" ht="15.75">
      <c r="A14" s="45" t="s">
        <v>211</v>
      </c>
      <c r="B14" s="22">
        <f>IF(7.74554="","-",7.74554)</f>
        <v>7.74554</v>
      </c>
      <c r="C14" s="52">
        <v>7.539</v>
      </c>
      <c r="D14" s="22">
        <f>IF(102.79512="","-",102.79512/857110.78655*100)</f>
        <v>0.011993212734349761</v>
      </c>
      <c r="E14" s="22">
        <f>IF(7.74554="","-",7.74554/1101136.29843*100)</f>
        <v>0.0007034133749876005</v>
      </c>
    </row>
    <row r="15" spans="1:5" ht="15.75">
      <c r="A15" s="44" t="s">
        <v>296</v>
      </c>
      <c r="B15" s="21">
        <f>IF(747023.03234="","-",747023.03234)</f>
        <v>747023.03234</v>
      </c>
      <c r="C15" s="21">
        <f>IF(541999.82239="","-",747023.03234/541999.82239*100)</f>
        <v>137.82717290310734</v>
      </c>
      <c r="D15" s="21">
        <f>IF(541999.82239="","-",541999.82239/857110.78655*100)</f>
        <v>63.2356786188202</v>
      </c>
      <c r="E15" s="21">
        <f>IF(747023.03234="","-",747023.03234/1101136.29843*100)</f>
        <v>67.84110499355126</v>
      </c>
    </row>
    <row r="16" spans="1:5" ht="15.75">
      <c r="A16" s="12" t="s">
        <v>295</v>
      </c>
      <c r="B16" s="21"/>
      <c r="C16" s="53"/>
      <c r="D16" s="21"/>
      <c r="E16" s="21"/>
    </row>
    <row r="17" spans="1:5" ht="15.75">
      <c r="A17" s="45" t="s">
        <v>205</v>
      </c>
      <c r="B17" s="22">
        <f>IF(54135.1578="","-",54135.1578)</f>
        <v>54135.1578</v>
      </c>
      <c r="C17" s="52" t="s">
        <v>297</v>
      </c>
      <c r="D17" s="22">
        <f>IF(30559.86724="","-",30559.86724/857110.78655*100)</f>
        <v>3.5654512484912333</v>
      </c>
      <c r="E17" s="22">
        <f>IF(54135.1578="","-",54135.1578/1101136.29843*100)</f>
        <v>4.916299451501681</v>
      </c>
    </row>
    <row r="18" spans="1:5" ht="15.75">
      <c r="A18" s="45" t="s">
        <v>206</v>
      </c>
      <c r="B18" s="22">
        <f>IF(12228.03956="","-",12228.03956)</f>
        <v>12228.03956</v>
      </c>
      <c r="C18" s="52" t="s">
        <v>298</v>
      </c>
      <c r="D18" s="22">
        <f>IF(3467.93694="","-",3467.93694/857110.78655*100)</f>
        <v>0.40460778168000533</v>
      </c>
      <c r="E18" s="22">
        <f>IF(12228.03956="","-",12228.03956/1101136.29843*100)</f>
        <v>1.1104928224993342</v>
      </c>
    </row>
    <row r="19" spans="1:5" ht="15.75">
      <c r="A19" s="45" t="s">
        <v>207</v>
      </c>
      <c r="B19" s="22">
        <f>IF(675082.94773="","-",675082.94773)</f>
        <v>675082.94773</v>
      </c>
      <c r="C19" s="52">
        <v>133.409</v>
      </c>
      <c r="D19" s="22">
        <f>IF(506024.33333="","-",506024.33333/857110.78655*100)</f>
        <v>59.0383811837002</v>
      </c>
      <c r="E19" s="22">
        <f>IF(675082.94773="","-",675082.94773/1101136.29843*100)</f>
        <v>61.30784614879495</v>
      </c>
    </row>
    <row r="20" spans="1:5" ht="15.75">
      <c r="A20" s="45" t="s">
        <v>208</v>
      </c>
      <c r="B20" s="22">
        <f>IF(5244.75285="","-",5244.75285)</f>
        <v>5244.75285</v>
      </c>
      <c r="C20" s="52" t="s">
        <v>222</v>
      </c>
      <c r="D20" s="22">
        <f>IF(1549.44993="","-",1549.44993/857110.78655*100)</f>
        <v>0.18077592235617163</v>
      </c>
      <c r="E20" s="22">
        <f>IF(5244.75285="","-",5244.75285/1101136.29843*100)</f>
        <v>0.47630369260172134</v>
      </c>
    </row>
    <row r="21" spans="1:5" ht="15.75">
      <c r="A21" s="45" t="s">
        <v>209</v>
      </c>
      <c r="B21" s="22">
        <f>IF(326.85635="","-",326.85635)</f>
        <v>326.85635</v>
      </c>
      <c r="C21" s="52">
        <v>110.635</v>
      </c>
      <c r="D21" s="22">
        <f>IF(295.43983="","-",295.43983/857110.78655*100)</f>
        <v>0.03446926985823966</v>
      </c>
      <c r="E21" s="22">
        <f>IF(326.85635="","-",326.85635/1101136.29843*100)</f>
        <v>0.029683550570990327</v>
      </c>
    </row>
    <row r="22" spans="1:5" ht="15.75">
      <c r="A22" s="45" t="s">
        <v>211</v>
      </c>
      <c r="B22" s="22">
        <f>IF(5.27805="","-",5.27805)</f>
        <v>5.27805</v>
      </c>
      <c r="C22" s="52">
        <v>5.136</v>
      </c>
      <c r="D22" s="22">
        <f>IF(102.79512="","-",102.79512/857110.78655*100)</f>
        <v>0.011993212734349761</v>
      </c>
      <c r="E22" s="22">
        <f>IF(5.27805="","-",5.27805/1101136.29843*100)</f>
        <v>0.00047932758256406983</v>
      </c>
    </row>
    <row r="23" spans="1:5" ht="15.75">
      <c r="A23" s="44" t="s">
        <v>299</v>
      </c>
      <c r="B23" s="21">
        <f>IF(177513.39461="","-",177513.39461)</f>
        <v>177513.39461</v>
      </c>
      <c r="C23" s="21">
        <f>IF(177809.06675="","-",177513.39461/177809.06675*100)</f>
        <v>99.83371368771891</v>
      </c>
      <c r="D23" s="21">
        <f>IF(177809.06675="","-",177809.06675/857110.78655*100)</f>
        <v>20.745167315617188</v>
      </c>
      <c r="E23" s="21">
        <f>IF(177513.39461="","-",177513.39461/1101136.29843*100)</f>
        <v>16.120928432120397</v>
      </c>
    </row>
    <row r="24" spans="1:5" ht="15.75">
      <c r="A24" s="45" t="s">
        <v>295</v>
      </c>
      <c r="B24" s="21"/>
      <c r="C24" s="53"/>
      <c r="D24" s="46"/>
      <c r="E24" s="21"/>
    </row>
    <row r="25" spans="1:11" ht="15.75">
      <c r="A25" s="45" t="s">
        <v>205</v>
      </c>
      <c r="B25" s="22">
        <f>IF(1465.55729="","-",1465.55729)</f>
        <v>1465.55729</v>
      </c>
      <c r="C25" s="52" t="s">
        <v>227</v>
      </c>
      <c r="D25" s="22">
        <f>IF(547.45788="","-",547.45788/857110.78655*100)</f>
        <v>0.06387247583286176</v>
      </c>
      <c r="E25" s="22">
        <f>IF(1465.55729="","-",1465.55729/1101136.29843*100)</f>
        <v>0.13309499397028246</v>
      </c>
      <c r="K25" s="43"/>
    </row>
    <row r="26" spans="1:5" ht="15.75">
      <c r="A26" s="45" t="s">
        <v>206</v>
      </c>
      <c r="B26" s="22">
        <f>IF(5547.91912="","-",5547.91912)</f>
        <v>5547.91912</v>
      </c>
      <c r="C26" s="52">
        <v>80.562</v>
      </c>
      <c r="D26" s="22">
        <f>IF(6886.52126="","-",6886.52126/857110.78655*100)</f>
        <v>0.8034575422530017</v>
      </c>
      <c r="E26" s="22">
        <f>IF(5547.91912="","-",5547.91912/1101136.29843*100)</f>
        <v>0.5038358219513989</v>
      </c>
    </row>
    <row r="27" spans="1:5" ht="15.75">
      <c r="A27" s="45" t="s">
        <v>207</v>
      </c>
      <c r="B27" s="22">
        <f>IF(164498.75761="","-",164498.75761)</f>
        <v>164498.75761</v>
      </c>
      <c r="C27" s="52">
        <v>99.024</v>
      </c>
      <c r="D27" s="22">
        <f>IF(166120.21029="","-",166120.21029/857110.78655*100)</f>
        <v>19.38141636959895</v>
      </c>
      <c r="E27" s="22">
        <f>IF(164498.75761="","-",164498.75761/1101136.29843*100)</f>
        <v>14.939000543760326</v>
      </c>
    </row>
    <row r="28" spans="1:5" ht="15.75">
      <c r="A28" s="45" t="s">
        <v>208</v>
      </c>
      <c r="B28" s="22">
        <f>IF(5984.89501="","-",5984.89501)</f>
        <v>5984.89501</v>
      </c>
      <c r="C28" s="52">
        <v>142.325</v>
      </c>
      <c r="D28" s="22">
        <f>IF(4205.09891="","-",4205.09891/857110.78655*100)</f>
        <v>0.4906132294666546</v>
      </c>
      <c r="E28" s="22">
        <f>IF(5984.89501="","-",5984.89501/1101136.29843*100)</f>
        <v>0.5435199092549453</v>
      </c>
    </row>
    <row r="29" spans="1:5" ht="15.75">
      <c r="A29" s="45" t="s">
        <v>209</v>
      </c>
      <c r="B29" s="22">
        <f>IF(10.36166="","-",10.36166)</f>
        <v>10.36166</v>
      </c>
      <c r="C29" s="52">
        <v>22.043</v>
      </c>
      <c r="D29" s="22">
        <f>IF(47.00422="","-",47.00422/857110.78655*100)</f>
        <v>0.005484030855474245</v>
      </c>
      <c r="E29" s="22">
        <f>IF(10.36166="","-",10.36166/1101136.29843*100)</f>
        <v>0.0009409970423074468</v>
      </c>
    </row>
    <row r="30" spans="1:5" ht="15.75">
      <c r="A30" s="45" t="s">
        <v>210</v>
      </c>
      <c r="B30" s="22">
        <f>IF(3.43643="","-",3.43643)</f>
        <v>3.43643</v>
      </c>
      <c r="C30" s="52">
        <v>124.188</v>
      </c>
      <c r="D30" s="22">
        <f>IF(2.77419="","-",2.77419/857110.78655*100)</f>
        <v>0.0003236676102475075</v>
      </c>
      <c r="E30" s="22">
        <f>IF(3.43643="","-",3.43643/1101136.29843*100)</f>
        <v>0.0003120803487179255</v>
      </c>
    </row>
    <row r="31" spans="1:5" ht="15.75">
      <c r="A31" s="45" t="s">
        <v>211</v>
      </c>
      <c r="B31" s="22">
        <f>IF(2.46749="","-",2.46749)</f>
        <v>2.46749</v>
      </c>
      <c r="C31" s="52" t="s">
        <v>235</v>
      </c>
      <c r="D31" s="51" t="s">
        <v>235</v>
      </c>
      <c r="E31" s="22">
        <f>IF(2.46749="","-",2.46749/1101136.29843*100)</f>
        <v>0.00022408579242353077</v>
      </c>
    </row>
    <row r="32" spans="1:5" ht="15.75">
      <c r="A32" s="44" t="s">
        <v>300</v>
      </c>
      <c r="B32" s="21">
        <f>IF(176599.87148="","-",176599.87148)</f>
        <v>176599.87148</v>
      </c>
      <c r="C32" s="21">
        <f>IF(137301.89741="","-",176599.87148/137301.89741*100)</f>
        <v>128.62158120994607</v>
      </c>
      <c r="D32" s="21">
        <f>IF(137301.89741="","-",137301.89741/857110.78655*100)</f>
        <v>16.019154065562613</v>
      </c>
      <c r="E32" s="21">
        <f>IF(176599.87148="","-",176599.87148/1101136.29843*100)</f>
        <v>16.03796657432836</v>
      </c>
    </row>
    <row r="33" spans="1:5" ht="15.75">
      <c r="A33" s="45" t="s">
        <v>295</v>
      </c>
      <c r="B33" s="21"/>
      <c r="C33" s="53"/>
      <c r="D33" s="46"/>
      <c r="E33" s="21"/>
    </row>
    <row r="34" spans="1:5" ht="15.75">
      <c r="A34" s="45" t="s">
        <v>205</v>
      </c>
      <c r="B34" s="22">
        <f>IF(30539.06366="","-",30539.06366)</f>
        <v>30539.06366</v>
      </c>
      <c r="C34" s="52">
        <v>85.916</v>
      </c>
      <c r="D34" s="22">
        <f>IF(35545.41137="","-",35545.41137/857110.78655*100)</f>
        <v>4.147119827190092</v>
      </c>
      <c r="E34" s="22">
        <f>IF(30539.06366="","-",30539.06366/1101136.29843*100)</f>
        <v>2.773413582273384</v>
      </c>
    </row>
    <row r="35" spans="1:7" ht="15.75">
      <c r="A35" s="45" t="s">
        <v>206</v>
      </c>
      <c r="B35" s="22">
        <f>IF(16207.68068="","-",16207.68068)</f>
        <v>16207.68068</v>
      </c>
      <c r="C35" s="52" t="s">
        <v>301</v>
      </c>
      <c r="D35" s="22">
        <f>IF(4452.9505="","-",4452.9505/857110.78655*100)</f>
        <v>0.5195303302533149</v>
      </c>
      <c r="E35" s="22">
        <f>IF(16207.68068="","-",16207.68068/1101136.29843*100)</f>
        <v>1.4719050405575502</v>
      </c>
      <c r="F35" s="1"/>
      <c r="G35" s="1"/>
    </row>
    <row r="36" spans="1:7" ht="15.75">
      <c r="A36" s="45" t="s">
        <v>207</v>
      </c>
      <c r="B36" s="22">
        <f>IF(117654.45175="","-",117654.45175)</f>
        <v>117654.45175</v>
      </c>
      <c r="C36" s="52">
        <v>151.586</v>
      </c>
      <c r="D36" s="22">
        <f>IF(77615.85749="","-",77615.85749/857110.78655*100)</f>
        <v>9.055522192459566</v>
      </c>
      <c r="E36" s="22">
        <f>IF(117654.45175="","-",117654.45175/1101136.29843*100)</f>
        <v>10.684821844285008</v>
      </c>
      <c r="F36" s="19"/>
      <c r="G36" s="19"/>
    </row>
    <row r="37" spans="1:5" ht="15.75">
      <c r="A37" s="68" t="s">
        <v>208</v>
      </c>
      <c r="B37" s="69">
        <f>IF(11952.74106="","-",11952.74106)</f>
        <v>11952.74106</v>
      </c>
      <c r="C37" s="70">
        <v>61.244</v>
      </c>
      <c r="D37" s="69">
        <f>IF(19516.49707="","-",19516.49707/857110.78655*100)</f>
        <v>2.2770098540652888</v>
      </c>
      <c r="E37" s="69">
        <f>IF(11952.74106="","-",11952.74106/1101136.29843*100)</f>
        <v>1.0854915124532918</v>
      </c>
    </row>
    <row r="38" spans="1:5" ht="15.75">
      <c r="A38" s="71" t="s">
        <v>209</v>
      </c>
      <c r="B38" s="67">
        <f>IF(245.93433="","-",245.93433)</f>
        <v>245.93433</v>
      </c>
      <c r="C38" s="72">
        <v>143.667</v>
      </c>
      <c r="D38" s="67">
        <f>IF(171.18098="","-",171.18098/857110.78655*100)</f>
        <v>0.019971861594348758</v>
      </c>
      <c r="E38" s="67">
        <f>IF(245.93433="","-",245.93433/1101136.29843*100)</f>
        <v>0.022334594759127743</v>
      </c>
    </row>
    <row r="39" ht="15.75">
      <c r="A39" s="73" t="s">
        <v>23</v>
      </c>
    </row>
  </sheetData>
  <sheetProtection/>
  <mergeCells count="7">
    <mergeCell ref="A1:E1"/>
    <mergeCell ref="A3:A5"/>
    <mergeCell ref="B3:C3"/>
    <mergeCell ref="D3:E3"/>
    <mergeCell ref="B4:B5"/>
    <mergeCell ref="C4:C5"/>
    <mergeCell ref="D4:E4"/>
  </mergeCells>
  <printOptions/>
  <pageMargins left="0.5905511811023623" right="0.3937007874015748" top="0.3937007874015748" bottom="0.3937007874015748" header="0.11811023622047245" footer="0.118110236220472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G40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:E1"/>
    </sheetView>
  </sheetViews>
  <sheetFormatPr defaultColWidth="9.00390625" defaultRowHeight="15.75"/>
  <cols>
    <col min="1" max="1" width="31.375" style="0" customWidth="1"/>
    <col min="2" max="2" width="14.00390625" style="0" customWidth="1"/>
    <col min="3" max="3" width="14.875" style="0" customWidth="1"/>
    <col min="4" max="5" width="11.875" style="0" customWidth="1"/>
    <col min="6" max="6" width="13.625" style="0" customWidth="1"/>
  </cols>
  <sheetData>
    <row r="1" spans="1:5" ht="15.75">
      <c r="A1" s="98" t="s">
        <v>248</v>
      </c>
      <c r="B1" s="98"/>
      <c r="C1" s="98"/>
      <c r="D1" s="98"/>
      <c r="E1" s="98"/>
    </row>
    <row r="2" spans="1:5" ht="15.75">
      <c r="A2" s="14"/>
      <c r="B2" s="14"/>
      <c r="C2" s="14"/>
      <c r="D2" s="14"/>
      <c r="E2" s="14"/>
    </row>
    <row r="3" spans="1:6" ht="19.5" customHeight="1">
      <c r="A3" s="99"/>
      <c r="B3" s="102" t="s">
        <v>252</v>
      </c>
      <c r="C3" s="103"/>
      <c r="D3" s="102" t="s">
        <v>191</v>
      </c>
      <c r="E3" s="119"/>
      <c r="F3" s="1"/>
    </row>
    <row r="4" spans="1:6" ht="21.75" customHeight="1">
      <c r="A4" s="100"/>
      <c r="B4" s="106" t="s">
        <v>228</v>
      </c>
      <c r="C4" s="108" t="s">
        <v>253</v>
      </c>
      <c r="D4" s="110" t="s">
        <v>254</v>
      </c>
      <c r="E4" s="102"/>
      <c r="F4" s="1"/>
    </row>
    <row r="5" spans="1:6" ht="20.25" customHeight="1">
      <c r="A5" s="101"/>
      <c r="B5" s="107"/>
      <c r="C5" s="109"/>
      <c r="D5" s="41">
        <v>2017</v>
      </c>
      <c r="E5" s="40">
        <v>2018</v>
      </c>
      <c r="F5" s="1"/>
    </row>
    <row r="6" spans="1:5" ht="16.5" customHeight="1">
      <c r="A6" s="87" t="s">
        <v>24</v>
      </c>
      <c r="B6" s="56">
        <f>IF(2276281.23687="","-",2276281.23687)</f>
        <v>2276281.23687</v>
      </c>
      <c r="C6" s="57">
        <f>IF(1792621.32665="","-",2276281.23687/1792621.32665*100)</f>
        <v>126.98059556860512</v>
      </c>
      <c r="D6" s="58">
        <v>100</v>
      </c>
      <c r="E6" s="58">
        <v>100</v>
      </c>
    </row>
    <row r="7" spans="1:5" ht="15.75" customHeight="1">
      <c r="A7" s="12" t="s">
        <v>295</v>
      </c>
      <c r="B7" s="21"/>
      <c r="C7" s="47"/>
      <c r="D7" s="46"/>
      <c r="E7" s="46"/>
    </row>
    <row r="8" spans="1:5" ht="15.75" customHeight="1">
      <c r="A8" s="45" t="s">
        <v>205</v>
      </c>
      <c r="B8" s="22">
        <f>IF(63201.02434="","-",63201.02434)</f>
        <v>63201.02434</v>
      </c>
      <c r="C8" s="52">
        <v>141.078</v>
      </c>
      <c r="D8" s="22">
        <f>IF(44798.69951="","-",44798.69951/1792621.32665*100)</f>
        <v>2.49906094745166</v>
      </c>
      <c r="E8" s="22">
        <f>IF(63201.02434="","-",63201.02434/2276281.23687*100)</f>
        <v>2.7765033299182553</v>
      </c>
    </row>
    <row r="9" spans="1:5" ht="15.75" customHeight="1">
      <c r="A9" s="45" t="s">
        <v>206</v>
      </c>
      <c r="B9" s="22">
        <f>IF(120258.758="","-",120258.758)</f>
        <v>120258.758</v>
      </c>
      <c r="C9" s="52">
        <v>118.745</v>
      </c>
      <c r="D9" s="22">
        <f>IF(101275.14296="","-",101275.14296/1792621.32665*100)</f>
        <v>5.649555846200944</v>
      </c>
      <c r="E9" s="22">
        <f>IF(120258.758="","-",120258.758/2276281.23687*100)</f>
        <v>5.283123897526906</v>
      </c>
    </row>
    <row r="10" spans="1:5" ht="15.75" customHeight="1">
      <c r="A10" s="45" t="s">
        <v>207</v>
      </c>
      <c r="B10" s="22">
        <f>IF(1883631.31055="","-",1883631.31055)</f>
        <v>1883631.31055</v>
      </c>
      <c r="C10" s="52">
        <v>127.938</v>
      </c>
      <c r="D10" s="22">
        <f>IF(1472302.59477="","-",1472302.59477/1792621.32665*100)</f>
        <v>82.13126625696223</v>
      </c>
      <c r="E10" s="22">
        <f>IF(1883631.31055="","-",1883631.31055/2276281.23687*100)</f>
        <v>82.75037723985665</v>
      </c>
    </row>
    <row r="11" spans="1:5" ht="15.75" customHeight="1">
      <c r="A11" s="45" t="s">
        <v>208</v>
      </c>
      <c r="B11" s="22">
        <f>IF(57636.80952="","-",57636.80952)</f>
        <v>57636.80952</v>
      </c>
      <c r="C11" s="52">
        <v>123.968</v>
      </c>
      <c r="D11" s="22">
        <f>IF(46493.28376="","-",46493.28376/1792621.32665*100)</f>
        <v>2.593592024640549</v>
      </c>
      <c r="E11" s="22">
        <f>IF(57636.80952="","-",57636.80952/2276281.23687*100)</f>
        <v>2.532060124488549</v>
      </c>
    </row>
    <row r="12" spans="1:5" ht="15.75" customHeight="1">
      <c r="A12" s="45" t="s">
        <v>209</v>
      </c>
      <c r="B12" s="22">
        <f>IF(6021.72491="","-",6021.72491)</f>
        <v>6021.72491</v>
      </c>
      <c r="C12" s="52">
        <v>114.592</v>
      </c>
      <c r="D12" s="22">
        <f>IF(5254.89674="","-",5254.89674/1792621.32665*100)</f>
        <v>0.29314036723083076</v>
      </c>
      <c r="E12" s="22">
        <f>IF(6021.72491="","-",6021.72491/2276281.23687*100)</f>
        <v>0.26454221967230074</v>
      </c>
    </row>
    <row r="13" spans="1:5" ht="15.75" customHeight="1">
      <c r="A13" s="45" t="s">
        <v>210</v>
      </c>
      <c r="B13" s="22">
        <f>IF(131706.40309="","-",131706.40309)</f>
        <v>131706.40309</v>
      </c>
      <c r="C13" s="52">
        <v>117.014</v>
      </c>
      <c r="D13" s="22">
        <f>IF(112556.18919="","-",112556.18919/1792621.32665*100)</f>
        <v>6.278860321289484</v>
      </c>
      <c r="E13" s="22">
        <f>IF(131706.40309="","-",131706.40309/2276281.23687*100)</f>
        <v>5.786033858940157</v>
      </c>
    </row>
    <row r="14" spans="1:5" ht="15.75" customHeight="1">
      <c r="A14" s="45" t="s">
        <v>211</v>
      </c>
      <c r="B14" s="22">
        <f>IF(13825.20646="","-",13825.20646)</f>
        <v>13825.20646</v>
      </c>
      <c r="C14" s="52">
        <v>139.079</v>
      </c>
      <c r="D14" s="22">
        <f>IF(9940.51972="","-",9940.51972/1792621.32665*100)</f>
        <v>0.5545242362243097</v>
      </c>
      <c r="E14" s="22">
        <f>IF(13825.20646="","-",13825.20646/2276281.23687*100)</f>
        <v>0.6073593295971786</v>
      </c>
    </row>
    <row r="15" spans="1:5" ht="15.75">
      <c r="A15" s="44" t="s">
        <v>296</v>
      </c>
      <c r="B15" s="21">
        <f>IF(1150760.10461="","-",1150760.10461)</f>
        <v>1150760.10461</v>
      </c>
      <c r="C15" s="60">
        <f>IF(877626.59426="","-",1150760.10461/877626.59426*100)</f>
        <v>131.1218361130341</v>
      </c>
      <c r="D15" s="61">
        <f>IF(877626.59426="","-",877626.59426/1792621.32665*100)</f>
        <v>48.957723597994</v>
      </c>
      <c r="E15" s="61">
        <f>IF(1150760.10461="","-",1150760.10461/2276281.23687*100)</f>
        <v>50.554390466810354</v>
      </c>
    </row>
    <row r="16" spans="1:5" ht="15.75">
      <c r="A16" s="12" t="s">
        <v>295</v>
      </c>
      <c r="B16" s="21"/>
      <c r="C16" s="53"/>
      <c r="D16" s="21"/>
      <c r="E16" s="21"/>
    </row>
    <row r="17" spans="1:5" ht="15.75">
      <c r="A17" s="45" t="s">
        <v>205</v>
      </c>
      <c r="B17" s="22">
        <f>IF(34747.00994="","-",34747.00994)</f>
        <v>34747.00994</v>
      </c>
      <c r="C17" s="52" t="s">
        <v>308</v>
      </c>
      <c r="D17" s="22">
        <f>IF(21429.55528="","-",21429.55528/1792621.32665*100)</f>
        <v>1.1954312358900108</v>
      </c>
      <c r="E17" s="22">
        <f>IF(34747.00994="","-",34747.00994/2276281.23687*100)</f>
        <v>1.5264814108725366</v>
      </c>
    </row>
    <row r="18" spans="1:5" ht="15.75">
      <c r="A18" s="45" t="s">
        <v>206</v>
      </c>
      <c r="B18" s="22">
        <f>IF(18262.54852="","-",18262.54852)</f>
        <v>18262.54852</v>
      </c>
      <c r="C18" s="52">
        <v>115.232</v>
      </c>
      <c r="D18" s="22">
        <f>IF(15848.47824="","-",15848.47824/1792621.32665*100)</f>
        <v>0.8840951518532467</v>
      </c>
      <c r="E18" s="22">
        <f>IF(18262.54852="","-",18262.54852/2276281.23687*100)</f>
        <v>0.80229754672634</v>
      </c>
    </row>
    <row r="19" spans="1:5" ht="15.75">
      <c r="A19" s="45" t="s">
        <v>207</v>
      </c>
      <c r="B19" s="22">
        <f>IF(1067129.51867="","-",1067129.51867)</f>
        <v>1067129.51867</v>
      </c>
      <c r="C19" s="52">
        <v>130.791</v>
      </c>
      <c r="D19" s="22">
        <f>IF(815904.01186="","-",815904.01186/1792621.32665*100)</f>
        <v>45.51457687858363</v>
      </c>
      <c r="E19" s="22">
        <f>IF(1067129.51867="","-",1067129.51867/2276281.23687*100)</f>
        <v>46.880389882638404</v>
      </c>
    </row>
    <row r="20" spans="1:5" ht="15.75">
      <c r="A20" s="45" t="s">
        <v>208</v>
      </c>
      <c r="B20" s="22">
        <f>IF(15888.26158="","-",15888.26158)</f>
        <v>15888.26158</v>
      </c>
      <c r="C20" s="52">
        <v>118.755</v>
      </c>
      <c r="D20" s="22">
        <f>IF(13379.01878="","-",13379.01878/1792621.32665*100)</f>
        <v>0.7463382578964589</v>
      </c>
      <c r="E20" s="22">
        <f>IF(15888.26158="","-",15888.26158/2276281.23687*100)</f>
        <v>0.6979920285178447</v>
      </c>
    </row>
    <row r="21" spans="1:5" ht="15.75">
      <c r="A21" s="45" t="s">
        <v>209</v>
      </c>
      <c r="B21" s="22">
        <f>IF(2476.85149="","-",2476.85149)</f>
        <v>2476.85149</v>
      </c>
      <c r="C21" s="52">
        <v>117.932</v>
      </c>
      <c r="D21" s="22">
        <f>IF(2100.22825="","-",2100.22825/1792621.32665*100)</f>
        <v>0.117159615295041</v>
      </c>
      <c r="E21" s="22">
        <f>IF(2476.85149="","-",2476.85149/2276281.23687*100)</f>
        <v>0.10881131249870486</v>
      </c>
    </row>
    <row r="22" spans="1:5" ht="15.75">
      <c r="A22" s="45" t="s">
        <v>211</v>
      </c>
      <c r="B22" s="22">
        <f>IF(12255.91441="","-",12255.91441)</f>
        <v>12255.91441</v>
      </c>
      <c r="C22" s="52">
        <v>136.704</v>
      </c>
      <c r="D22" s="22">
        <f>IF(8965.30185="","-",8965.30185/1792621.32665*100)</f>
        <v>0.5001224584756058</v>
      </c>
      <c r="E22" s="22">
        <f>IF(12255.91441="","-",12255.91441/2276281.23687*100)</f>
        <v>0.5384182855565111</v>
      </c>
    </row>
    <row r="23" spans="1:5" ht="15.75">
      <c r="A23" s="44" t="s">
        <v>299</v>
      </c>
      <c r="B23" s="21">
        <f>IF(533017.59029="","-",533017.59029)</f>
        <v>533017.59029</v>
      </c>
      <c r="C23" s="60">
        <f>IF(453471.61725="","-",533017.59029/453471.61725*100)</f>
        <v>117.54155497589744</v>
      </c>
      <c r="D23" s="61">
        <f>IF(453471.61725="","-",453471.61725/1792621.32665*100)</f>
        <v>25.296564896805897</v>
      </c>
      <c r="E23" s="61">
        <f>IF(533017.59029="","-",533017.59029/2276281.23687*100)</f>
        <v>23.416157092386598</v>
      </c>
    </row>
    <row r="24" spans="1:5" ht="15.75">
      <c r="A24" s="45" t="s">
        <v>295</v>
      </c>
      <c r="B24" s="21"/>
      <c r="C24" s="53"/>
      <c r="D24" s="46"/>
      <c r="E24" s="21"/>
    </row>
    <row r="25" spans="1:5" ht="15.75">
      <c r="A25" s="45" t="s">
        <v>205</v>
      </c>
      <c r="B25" s="22">
        <f>IF(14590.67357="","-",14590.67357)</f>
        <v>14590.67357</v>
      </c>
      <c r="C25" s="52">
        <v>71.657</v>
      </c>
      <c r="D25" s="22">
        <f>IF(20361.76014="","-",20361.76014/1792621.32665*100)</f>
        <v>1.135865106438931</v>
      </c>
      <c r="E25" s="22">
        <f>IF(14590.67357="","-",14590.67357/2276281.23687*100)</f>
        <v>0.6409872968975882</v>
      </c>
    </row>
    <row r="26" spans="1:5" ht="15.75">
      <c r="A26" s="45" t="s">
        <v>206</v>
      </c>
      <c r="B26" s="22">
        <f>IF(101425.27428="","-",101425.27428)</f>
        <v>101425.27428</v>
      </c>
      <c r="C26" s="52">
        <v>119.51</v>
      </c>
      <c r="D26" s="22">
        <f>IF(84867.37646="","-",84867.37646/1792621.32665*100)</f>
        <v>4.734261229536846</v>
      </c>
      <c r="E26" s="22">
        <f>IF(101425.27428="","-",101425.27428/2276281.23687*100)</f>
        <v>4.4557444237191355</v>
      </c>
    </row>
    <row r="27" spans="1:5" ht="15.75">
      <c r="A27" s="45" t="s">
        <v>207</v>
      </c>
      <c r="B27" s="22">
        <f>IF(278268.66763="","-",278268.66763)</f>
        <v>278268.66763</v>
      </c>
      <c r="C27" s="52">
        <v>121.136</v>
      </c>
      <c r="D27" s="22">
        <f>IF(229715.27354="","-",229715.27354/1792621.32665*100)</f>
        <v>12.814489603852108</v>
      </c>
      <c r="E27" s="22">
        <f>IF(278268.66763="","-",278268.66763/2276281.23687*100)</f>
        <v>12.224705063801046</v>
      </c>
    </row>
    <row r="28" spans="1:5" ht="15.75">
      <c r="A28" s="45" t="s">
        <v>208</v>
      </c>
      <c r="B28" s="22">
        <f>IF(6092.4877="","-",6092.4877)</f>
        <v>6092.4877</v>
      </c>
      <c r="C28" s="52">
        <v>121.472</v>
      </c>
      <c r="D28" s="22">
        <f>IF(5015.56209="","-",5015.56209/1792621.32665*100)</f>
        <v>0.2797892681201635</v>
      </c>
      <c r="E28" s="22">
        <f>IF(6092.4877="","-",6092.4877/2276281.23687*100)</f>
        <v>0.26765092121821793</v>
      </c>
    </row>
    <row r="29" spans="1:5" ht="15.75">
      <c r="A29" s="45" t="s">
        <v>209</v>
      </c>
      <c r="B29" s="22">
        <f>IF(271.18647="","-",271.18647)</f>
        <v>271.18647</v>
      </c>
      <c r="C29" s="52">
        <v>83.825</v>
      </c>
      <c r="D29" s="22">
        <f>IF(323.52247="","-",323.52247/1792621.32665*100)</f>
        <v>0.01804745180648886</v>
      </c>
      <c r="E29" s="22">
        <f>IF(271.18647="","-",271.18647/2276281.23687*100)</f>
        <v>0.011913574896083353</v>
      </c>
    </row>
    <row r="30" spans="1:5" ht="15.75">
      <c r="A30" s="45" t="s">
        <v>210</v>
      </c>
      <c r="B30" s="22">
        <f>IF(131706.40309="","-",131706.40309)</f>
        <v>131706.40309</v>
      </c>
      <c r="C30" s="52">
        <v>117.014</v>
      </c>
      <c r="D30" s="22">
        <f>IF(112556.18919="","-",112556.18919/1792621.32665*100)</f>
        <v>6.278860321289484</v>
      </c>
      <c r="E30" s="22">
        <f>IF(131706.40309="","-",131706.40309/2276281.23687*100)</f>
        <v>5.786033858940157</v>
      </c>
    </row>
    <row r="31" spans="1:5" ht="15.75">
      <c r="A31" s="45" t="s">
        <v>211</v>
      </c>
      <c r="B31" s="22">
        <f>IF(662.89755="","-",662.89755)</f>
        <v>662.89755</v>
      </c>
      <c r="C31" s="52">
        <v>104.901</v>
      </c>
      <c r="D31" s="22">
        <f>IF(631.93336="","-",631.93336/1792621.32665*100)</f>
        <v>0.03525191576187143</v>
      </c>
      <c r="E31" s="22">
        <f>IF(662.89755="","-",662.89755/2276281.23687*100)</f>
        <v>0.029121952914373497</v>
      </c>
    </row>
    <row r="32" spans="1:5" ht="15.75">
      <c r="A32" s="44" t="s">
        <v>300</v>
      </c>
      <c r="B32" s="21">
        <f>IF(592503.54197="","-",592503.54197)</f>
        <v>592503.54197</v>
      </c>
      <c r="C32" s="60">
        <f>IF(461523.11514="","-",592503.54197/461523.11514*100)</f>
        <v>128.3800361310761</v>
      </c>
      <c r="D32" s="61">
        <f>IF(461523.11514="","-",461523.11514/1792621.32665*100)</f>
        <v>25.74571150520012</v>
      </c>
      <c r="E32" s="61">
        <f>IF(592503.54197="","-",592503.54197/2276281.23687*100)</f>
        <v>26.02945244080305</v>
      </c>
    </row>
    <row r="33" spans="1:5" ht="15.75">
      <c r="A33" s="45" t="s">
        <v>295</v>
      </c>
      <c r="B33" s="21"/>
      <c r="C33" s="53"/>
      <c r="D33" s="46"/>
      <c r="E33" s="21"/>
    </row>
    <row r="34" spans="1:5" ht="15.75">
      <c r="A34" s="45" t="s">
        <v>205</v>
      </c>
      <c r="B34" s="22">
        <f>IF(13863.34083="","-",13863.34083)</f>
        <v>13863.34083</v>
      </c>
      <c r="C34" s="52" t="s">
        <v>302</v>
      </c>
      <c r="D34" s="22">
        <f>IF(3007.38409="","-",3007.38409/1792621.32665*100)</f>
        <v>0.16776460512271793</v>
      </c>
      <c r="E34" s="22">
        <f>IF(13863.34083="","-",13863.34083/2276281.23687*100)</f>
        <v>0.6090346221481306</v>
      </c>
    </row>
    <row r="35" spans="1:7" ht="15.75">
      <c r="A35" s="45" t="s">
        <v>206</v>
      </c>
      <c r="B35" s="22">
        <f>IF(570.9352="","-",570.9352)</f>
        <v>570.9352</v>
      </c>
      <c r="C35" s="52">
        <v>102.083</v>
      </c>
      <c r="D35" s="22">
        <f>IF(559.28826="","-",559.28826/1792621.32665*100)</f>
        <v>0.03119946481085228</v>
      </c>
      <c r="E35" s="22">
        <f>IF(570.9352="","-",570.9352/2276281.23687*100)</f>
        <v>0.02508192708142972</v>
      </c>
      <c r="F35" s="1"/>
      <c r="G35" s="1"/>
    </row>
    <row r="36" spans="1:7" ht="15.75">
      <c r="A36" s="45" t="s">
        <v>207</v>
      </c>
      <c r="B36" s="22">
        <f>IF(538233.12425="","-",538233.12425)</f>
        <v>538233.12425</v>
      </c>
      <c r="C36" s="52">
        <v>126.143</v>
      </c>
      <c r="D36" s="22">
        <f>IF(426683.30937="","-",426683.30937/1792621.32665*100)</f>
        <v>23.802199774526485</v>
      </c>
      <c r="E36" s="22">
        <f>IF(538233.12425="","-",538233.12425/2276281.23687*100)</f>
        <v>23.645282293417193</v>
      </c>
      <c r="F36" s="1"/>
      <c r="G36" s="1"/>
    </row>
    <row r="37" spans="1:7" ht="15.75">
      <c r="A37" s="45" t="s">
        <v>208</v>
      </c>
      <c r="B37" s="22">
        <f>IF(35656.06024="","-",35656.06024)</f>
        <v>35656.06024</v>
      </c>
      <c r="C37" s="52">
        <v>126.896</v>
      </c>
      <c r="D37" s="22">
        <f>IF(28098.70289="","-",28098.70289/1792621.32665*100)</f>
        <v>1.5674644986239266</v>
      </c>
      <c r="E37" s="22">
        <f>IF(35656.06024="","-",35656.06024/2276281.23687*100)</f>
        <v>1.566417174752486</v>
      </c>
      <c r="F37" s="19"/>
      <c r="G37" s="19"/>
    </row>
    <row r="38" spans="1:5" ht="15.75">
      <c r="A38" s="45" t="s">
        <v>209</v>
      </c>
      <c r="B38" s="22">
        <f>IF(3273.68695="","-",3273.68695)</f>
        <v>3273.68695</v>
      </c>
      <c r="C38" s="52">
        <v>115.631</v>
      </c>
      <c r="D38" s="22">
        <f>IF(2831.14602="","-",2831.14602/1792621.32665*100)</f>
        <v>0.1579333001293009</v>
      </c>
      <c r="E38" s="22">
        <f>IF(3273.68695="","-",3273.68695/2276281.23687*100)</f>
        <v>0.1438173322775125</v>
      </c>
    </row>
    <row r="39" spans="1:5" ht="15.75">
      <c r="A39" s="71" t="s">
        <v>211</v>
      </c>
      <c r="B39" s="67">
        <f>IF(906.3945="","-",906.3945)</f>
        <v>906.3945</v>
      </c>
      <c r="C39" s="86" t="s">
        <v>176</v>
      </c>
      <c r="D39" s="67">
        <f>IF(343.28451="","-",343.28451/1792621.32665*100)</f>
        <v>0.019149861986832457</v>
      </c>
      <c r="E39" s="67">
        <f>IF(906.3945="","-",906.3945/2276281.23687*100)</f>
        <v>0.03981909112629411</v>
      </c>
    </row>
    <row r="40" ht="15.75">
      <c r="A40" s="62" t="s">
        <v>23</v>
      </c>
    </row>
  </sheetData>
  <sheetProtection/>
  <mergeCells count="7">
    <mergeCell ref="A1:E1"/>
    <mergeCell ref="A3:A5"/>
    <mergeCell ref="B3:C3"/>
    <mergeCell ref="D3:E3"/>
    <mergeCell ref="B4:B5"/>
    <mergeCell ref="C4:C5"/>
    <mergeCell ref="D4:E4"/>
  </mergeCells>
  <printOptions/>
  <pageMargins left="0.5905511811023623" right="0.3937007874015748" top="0.3937007874015748" bottom="0.3937007874015748" header="0.11811023622047245" footer="0.118110236220472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M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:G2"/>
    </sheetView>
  </sheetViews>
  <sheetFormatPr defaultColWidth="9.00390625" defaultRowHeight="15.75"/>
  <cols>
    <col min="1" max="1" width="27.375" style="0" customWidth="1"/>
    <col min="2" max="2" width="11.125" style="0" customWidth="1"/>
    <col min="3" max="3" width="11.25390625" style="0" customWidth="1"/>
    <col min="4" max="4" width="8.25390625" style="0" customWidth="1"/>
    <col min="5" max="5" width="8.375" style="0" customWidth="1"/>
    <col min="6" max="6" width="9.625" style="0" customWidth="1"/>
    <col min="7" max="7" width="9.875" style="0" customWidth="1"/>
    <col min="8" max="8" width="11.00390625" style="0" customWidth="1"/>
  </cols>
  <sheetData>
    <row r="1" spans="1:7" ht="15.75">
      <c r="A1" s="112" t="s">
        <v>249</v>
      </c>
      <c r="B1" s="112"/>
      <c r="C1" s="112"/>
      <c r="D1" s="112"/>
      <c r="E1" s="112"/>
      <c r="F1" s="112"/>
      <c r="G1" s="112"/>
    </row>
    <row r="2" spans="1:7" ht="15.75">
      <c r="A2" s="112" t="s">
        <v>28</v>
      </c>
      <c r="B2" s="112"/>
      <c r="C2" s="112"/>
      <c r="D2" s="112"/>
      <c r="E2" s="112"/>
      <c r="F2" s="112"/>
      <c r="G2" s="112"/>
    </row>
    <row r="3" ht="15.75">
      <c r="A3" s="6"/>
    </row>
    <row r="4" spans="1:7" ht="57" customHeight="1">
      <c r="A4" s="121"/>
      <c r="B4" s="124" t="s">
        <v>252</v>
      </c>
      <c r="C4" s="118"/>
      <c r="D4" s="124" t="s">
        <v>0</v>
      </c>
      <c r="E4" s="118"/>
      <c r="F4" s="115" t="s">
        <v>185</v>
      </c>
      <c r="G4" s="125"/>
    </row>
    <row r="5" spans="1:7" ht="26.25" customHeight="1">
      <c r="A5" s="122"/>
      <c r="B5" s="126" t="s">
        <v>198</v>
      </c>
      <c r="C5" s="113" t="s">
        <v>253</v>
      </c>
      <c r="D5" s="128" t="s">
        <v>254</v>
      </c>
      <c r="E5" s="128"/>
      <c r="F5" s="128" t="s">
        <v>254</v>
      </c>
      <c r="G5" s="124"/>
    </row>
    <row r="6" spans="1:13" ht="26.25" customHeight="1">
      <c r="A6" s="123"/>
      <c r="B6" s="127"/>
      <c r="C6" s="114"/>
      <c r="D6" s="42">
        <v>2017</v>
      </c>
      <c r="E6" s="42">
        <v>2018</v>
      </c>
      <c r="F6" s="42" t="s">
        <v>167</v>
      </c>
      <c r="G6" s="38" t="s">
        <v>197</v>
      </c>
      <c r="H6" s="1"/>
      <c r="I6" s="1"/>
      <c r="J6" s="1"/>
      <c r="K6" s="1"/>
      <c r="L6" s="1"/>
      <c r="M6" s="1"/>
    </row>
    <row r="7" spans="1:13" ht="16.5" customHeight="1">
      <c r="A7" s="91" t="s">
        <v>174</v>
      </c>
      <c r="B7" s="89">
        <f>IF(1101136.29843="","-",1101136.29843)</f>
        <v>1101136.29843</v>
      </c>
      <c r="C7" s="92">
        <f>IF(857110.78655="","-",1101136.29843/857110.78655*100)</f>
        <v>128.4707083039101</v>
      </c>
      <c r="D7" s="92">
        <v>100</v>
      </c>
      <c r="E7" s="92">
        <v>100</v>
      </c>
      <c r="F7" s="92">
        <f>IF(747953.45327="","-",(857110.78655-747953.45327)/747953.45327*100)</f>
        <v>14.594134541764825</v>
      </c>
      <c r="G7" s="92">
        <f>IF(857110.78655="","-",(1101136.29843-857110.78655)/857110.78655*100)</f>
        <v>28.470708303910097</v>
      </c>
      <c r="H7" s="49"/>
      <c r="I7" s="49"/>
      <c r="J7" s="49"/>
      <c r="K7" s="49"/>
      <c r="L7" s="49"/>
      <c r="M7" s="49"/>
    </row>
    <row r="8" spans="1:7" ht="13.5" customHeight="1">
      <c r="A8" s="7" t="s">
        <v>101</v>
      </c>
      <c r="B8" s="48"/>
      <c r="C8" s="48"/>
      <c r="D8" s="48"/>
      <c r="E8" s="48"/>
      <c r="F8" s="48"/>
      <c r="G8" s="48"/>
    </row>
    <row r="9" spans="1:10" ht="13.5" customHeight="1">
      <c r="A9" s="8" t="s">
        <v>29</v>
      </c>
      <c r="B9" s="46">
        <f>IF(239527.31265="","-",239527.31265)</f>
        <v>239527.31265</v>
      </c>
      <c r="C9" s="74">
        <f>IF(182675.9743="","-",239527.31265/182675.9743*100)</f>
        <v>131.121409680638</v>
      </c>
      <c r="D9" s="74">
        <f>IF(182675.9743="","-",182675.9743/857110.78655*100)</f>
        <v>21.312994442095206</v>
      </c>
      <c r="E9" s="74">
        <f>IF(239527.31265="","-",239527.31265/1101136.29843*100)</f>
        <v>21.752739691854497</v>
      </c>
      <c r="F9" s="74">
        <f>IF(747953.45327="","-",(182675.9743-156530.88825)/747953.45327*100)</f>
        <v>3.4955498815729147</v>
      </c>
      <c r="G9" s="74">
        <f>IF(857110.78655="","-",(239527.31265-182675.9743)/857110.78655*100)</f>
        <v>6.632904315536059</v>
      </c>
      <c r="J9" s="26"/>
    </row>
    <row r="10" spans="1:10" s="14" customFormat="1" ht="13.5" customHeight="1">
      <c r="A10" s="12" t="s">
        <v>30</v>
      </c>
      <c r="B10" s="51">
        <f>IF(5882.10325="","-",5882.10325)</f>
        <v>5882.10325</v>
      </c>
      <c r="C10" s="59" t="s">
        <v>107</v>
      </c>
      <c r="D10" s="59">
        <f>IF(2418.99934="","-",2418.99934/857110.78655*100)</f>
        <v>0.28222714939066823</v>
      </c>
      <c r="E10" s="59">
        <f>IF(5882.10325="","-",5882.10325/1101136.29843*100)</f>
        <v>0.5341848469064822</v>
      </c>
      <c r="F10" s="59">
        <f>IF(OR(747953.45327="",4682.36202="",2418.99934=""),"-",(2418.99934-4682.36202)/747953.45327*100)</f>
        <v>-0.3026074243129351</v>
      </c>
      <c r="G10" s="59">
        <f>IF(OR(857110.78655="",5882.10325="",2418.99934=""),"-",(5882.10325-2418.99934)/857110.78655*100)</f>
        <v>0.40404390708224724</v>
      </c>
      <c r="J10" s="26"/>
    </row>
    <row r="11" spans="1:10" s="14" customFormat="1" ht="14.25" customHeight="1">
      <c r="A11" s="12" t="s">
        <v>31</v>
      </c>
      <c r="B11" s="51">
        <f>IF(2258.89698="","-",2258.89698)</f>
        <v>2258.89698</v>
      </c>
      <c r="C11" s="59">
        <f>IF(OR(3321.04138="",2258.89698=""),"-",2258.89698/3321.04138*100)</f>
        <v>68.01773063122748</v>
      </c>
      <c r="D11" s="59">
        <f>IF(3321.04138="","-",3321.04138/857110.78655*100)</f>
        <v>0.3874693250994649</v>
      </c>
      <c r="E11" s="59">
        <f>IF(2258.89698="","-",2258.89698/1101136.29843*100)</f>
        <v>0.20514235914488835</v>
      </c>
      <c r="F11" s="59">
        <f>IF(OR(747953.45327="",1701.96623="",3321.04138=""),"-",(3321.04138-1701.96623)/747953.45327*100)</f>
        <v>0.2164673674439923</v>
      </c>
      <c r="G11" s="59">
        <f>IF(OR(857110.78655="",2258.89698="",3321.04138=""),"-",(2258.89698-3321.04138)/857110.78655*100)</f>
        <v>-0.12392148327467575</v>
      </c>
      <c r="J11" s="26"/>
    </row>
    <row r="12" spans="1:10" s="14" customFormat="1" ht="15.75">
      <c r="A12" s="12" t="s">
        <v>32</v>
      </c>
      <c r="B12" s="51">
        <f>IF(8805.54175="","-",8805.54175)</f>
        <v>8805.54175</v>
      </c>
      <c r="C12" s="59">
        <f>IF(OR(9795.47135="",8805.54175=""),"-",8805.54175/9795.47135*100)</f>
        <v>89.89400749970036</v>
      </c>
      <c r="D12" s="59">
        <f>IF(9795.47135="","-",9795.47135/857110.78655*100)</f>
        <v>1.142847751272417</v>
      </c>
      <c r="E12" s="59">
        <f>IF(8805.54175="","-",8805.54175/1101136.29843*100)</f>
        <v>0.7996777295013289</v>
      </c>
      <c r="F12" s="59">
        <f>IF(OR(747953.45327="",6001.73349="",9795.47135=""),"-",(9795.47135-6001.73349)/747953.45327*100)</f>
        <v>0.507215769031354</v>
      </c>
      <c r="G12" s="59">
        <f>IF(OR(857110.78655="",8805.54175="",9795.47135=""),"-",(8805.54175-9795.47135)/857110.78655*100)</f>
        <v>-0.11549610803343348</v>
      </c>
      <c r="J12" s="26"/>
    </row>
    <row r="13" spans="1:10" s="14" customFormat="1" ht="15.75">
      <c r="A13" s="12" t="s">
        <v>34</v>
      </c>
      <c r="B13" s="51">
        <f>IF(83774.67329="","-",83774.67329)</f>
        <v>83774.67329</v>
      </c>
      <c r="C13" s="59">
        <f>IF(OR(56792.26219="",83774.67329=""),"-",83774.67329/56792.26219*100)</f>
        <v>147.5107172342064</v>
      </c>
      <c r="D13" s="59">
        <f>IF(56792.26219="","-",56792.26219/857110.78655*100)</f>
        <v>6.626011838982613</v>
      </c>
      <c r="E13" s="59">
        <f>IF(83774.67329="","-",83774.67329/1101136.29843*100)</f>
        <v>7.608020315872424</v>
      </c>
      <c r="F13" s="59">
        <f>IF(OR(747953.45327="",43738.24788="",56792.26219=""),"-",(56792.26219-43738.24788)/747953.45327*100)</f>
        <v>1.7452976856953815</v>
      </c>
      <c r="G13" s="59">
        <f>IF(OR(857110.78655="",83774.67329="",56792.26219=""),"-",(83774.67329-56792.26219)/857110.78655*100)</f>
        <v>3.148065748724068</v>
      </c>
      <c r="J13" s="26"/>
    </row>
    <row r="14" spans="1:10" s="14" customFormat="1" ht="15" customHeight="1">
      <c r="A14" s="12" t="s">
        <v>35</v>
      </c>
      <c r="B14" s="51">
        <f>IF(113199.08768="","-",113199.08768)</f>
        <v>113199.08768</v>
      </c>
      <c r="C14" s="59">
        <f>IF(OR(81841.142="",113199.08768=""),"-",113199.08768/81841.142*100)</f>
        <v>138.3156257521431</v>
      </c>
      <c r="D14" s="59">
        <f>IF(81841.142="","-",81841.142/857110.78655*100)</f>
        <v>9.548490496709642</v>
      </c>
      <c r="E14" s="59">
        <f>IF(113199.08768="","-",113199.08768/1101136.29843*100)</f>
        <v>10.280206713864509</v>
      </c>
      <c r="F14" s="59">
        <f>IF(OR(747953.45327="",71227.63952="",81841.142=""),"-",(81841.142-71227.63952)/747953.45327*100)</f>
        <v>1.4190057460926908</v>
      </c>
      <c r="G14" s="59">
        <f>IF(OR(857110.78655="",113199.08768="",81841.142=""),"-",(113199.08768-81841.142)/857110.78655*100)</f>
        <v>3.658563883698214</v>
      </c>
      <c r="J14" s="26"/>
    </row>
    <row r="15" spans="1:10" s="14" customFormat="1" ht="15.75" customHeight="1">
      <c r="A15" s="12" t="s">
        <v>36</v>
      </c>
      <c r="B15" s="51">
        <f>IF(9388.76422="","-",9388.76422)</f>
        <v>9388.76422</v>
      </c>
      <c r="C15" s="59">
        <f>IF(OR(17572.57313="",9388.76422=""),"-",9388.76422/17572.57313*100)</f>
        <v>53.42851129736626</v>
      </c>
      <c r="D15" s="59">
        <f>IF(17572.57313="","-",17572.57313/857110.78655*100)</f>
        <v>2.050210241867595</v>
      </c>
      <c r="E15" s="59">
        <f>IF(9388.76422="","-",9388.76422/1101136.29843*100)</f>
        <v>0.8526432407492605</v>
      </c>
      <c r="F15" s="59">
        <f>IF(OR(747953.45327="",18591.41343="",17572.57313=""),"-",(17572.57313-18591.41343)/747953.45327*100)</f>
        <v>-0.13621707280656323</v>
      </c>
      <c r="G15" s="59">
        <f>IF(OR(857110.78655="",9388.76422="",17572.57313=""),"-",(9388.76422-17572.57313)/857110.78655*100)</f>
        <v>-0.9548134311716068</v>
      </c>
      <c r="J15" s="26"/>
    </row>
    <row r="16" spans="1:10" s="14" customFormat="1" ht="25.5">
      <c r="A16" s="12" t="s">
        <v>37</v>
      </c>
      <c r="B16" s="51">
        <f>IF(4564.63227="","-",4564.63227)</f>
        <v>4564.63227</v>
      </c>
      <c r="C16" s="59">
        <f>IF(OR(3659.15009="",4564.63227=""),"-",4564.63227/3659.15009*100)</f>
        <v>124.74569661612323</v>
      </c>
      <c r="D16" s="59">
        <f>IF(3659.15009="","-",3659.15009/857110.78655*100)</f>
        <v>0.42691681722133384</v>
      </c>
      <c r="E16" s="59">
        <f>IF(4564.63227="","-",4564.63227/1101136.29843*100)</f>
        <v>0.41453835247355414</v>
      </c>
      <c r="F16" s="59">
        <f>IF(OR(747953.45327="",3036.43768="",3659.15009=""),"-",(3659.15009-3036.43768)/747953.45327*100)</f>
        <v>0.08325550303665892</v>
      </c>
      <c r="G16" s="59">
        <f>IF(OR(857110.78655="",4564.63227="",3659.15009=""),"-",(4564.63227-3659.15009)/857110.78655*100)</f>
        <v>0.10564354039280058</v>
      </c>
      <c r="J16" s="26"/>
    </row>
    <row r="17" spans="1:10" s="14" customFormat="1" ht="25.5">
      <c r="A17" s="12" t="s">
        <v>38</v>
      </c>
      <c r="B17" s="51">
        <f>IF(10721.0219="","-",10721.0219)</f>
        <v>10721.0219</v>
      </c>
      <c r="C17" s="59" t="s">
        <v>183</v>
      </c>
      <c r="D17" s="59">
        <f>IF(6141.95832="","-",6141.95832/857110.78655*100)</f>
        <v>0.7165886156586954</v>
      </c>
      <c r="E17" s="59">
        <f>IF(10721.0219="","-",10721.0219/1101136.29843*100)</f>
        <v>0.9736325934660433</v>
      </c>
      <c r="F17" s="59">
        <f>IF(OR(747953.45327="",5906.08046="",6141.95832=""),"-",(6141.95832-5906.08046)/747953.45327*100)</f>
        <v>0.03153643571919591</v>
      </c>
      <c r="G17" s="59">
        <f>IF(OR(857110.78655="",10721.0219="",6141.95832=""),"-",(10721.0219-6141.95832)/857110.78655*100)</f>
        <v>0.5342440734448601</v>
      </c>
      <c r="J17" s="26"/>
    </row>
    <row r="18" spans="1:10" s="14" customFormat="1" ht="15.75">
      <c r="A18" s="12" t="s">
        <v>39</v>
      </c>
      <c r="B18" s="51">
        <f>IF(924.02261="","-",924.02261)</f>
        <v>924.02261</v>
      </c>
      <c r="C18" s="59">
        <f>IF(OR(1126.43282="",924.02261=""),"-",924.02261/1126.43282*100)</f>
        <v>82.03086714039458</v>
      </c>
      <c r="D18" s="59">
        <f>IF(1126.43282="","-",1126.43282/857110.78655*100)</f>
        <v>0.13142207958134117</v>
      </c>
      <c r="E18" s="59">
        <f>IF(924.02261="","-",924.02261/1101136.29843*100)</f>
        <v>0.08391537099607663</v>
      </c>
      <c r="F18" s="59">
        <f>IF(OR(747953.45327="",1641.20152="",1126.43282=""),"-",(1126.43282-1641.20152)/747953.45327*100)</f>
        <v>-0.06882362769360412</v>
      </c>
      <c r="G18" s="59">
        <f>IF(OR(857110.78655="",924.02261="",1126.43282=""),"-",(924.02261-1126.43282)/857110.78655*100)</f>
        <v>-0.023615408086827563</v>
      </c>
      <c r="J18" s="26"/>
    </row>
    <row r="19" spans="1:7" s="14" customFormat="1" ht="15.75">
      <c r="A19" s="13" t="s">
        <v>40</v>
      </c>
      <c r="B19" s="46">
        <f>IF(89095.70872="","-",89095.70872)</f>
        <v>89095.70872</v>
      </c>
      <c r="C19" s="74">
        <f>IF(67777.52988="","-",89095.70872/67777.52988*100)</f>
        <v>131.45316578775265</v>
      </c>
      <c r="D19" s="74">
        <f>IF(67777.52988="","-",67777.52988/857110.78655*100)</f>
        <v>7.907674357105546</v>
      </c>
      <c r="E19" s="74">
        <f>IF(89095.70872="","-",89095.70872/1101136.29843*100)</f>
        <v>8.091251632248673</v>
      </c>
      <c r="F19" s="74">
        <f>IF(747953.45327="","-",(67777.52988-64591.48591)/747953.45327*100)</f>
        <v>0.42596821447522404</v>
      </c>
      <c r="G19" s="74">
        <f>IF(857110.78655="","-",(89095.70872-67777.52988)/857110.78655*100)</f>
        <v>2.4872139254960115</v>
      </c>
    </row>
    <row r="20" spans="1:7" s="14" customFormat="1" ht="15.75">
      <c r="A20" s="12" t="s">
        <v>41</v>
      </c>
      <c r="B20" s="51">
        <f>IF(80144.5045="","-",80144.5045)</f>
        <v>80144.5045</v>
      </c>
      <c r="C20" s="59">
        <f>IF(OR(62537.47672="",80144.5045=""),"-",80144.5045/62537.47672*100)</f>
        <v>128.15436231754634</v>
      </c>
      <c r="D20" s="59">
        <f>IF(62537.47672="","-",62537.47672/857110.78655*100)</f>
        <v>7.296311947224789</v>
      </c>
      <c r="E20" s="59">
        <f>IF(80144.5045="","-",80144.5045/1101136.29843*100)</f>
        <v>7.278345524915491</v>
      </c>
      <c r="F20" s="59">
        <f>IF(OR(747953.45327="",60236.44787="",62537.47672=""),"-",(62537.47672-60236.44787)/747953.45327*100)</f>
        <v>0.3076433219126215</v>
      </c>
      <c r="G20" s="59">
        <f>IF(OR(857110.78655="",80144.5045="",62537.47672=""),"-",(80144.5045-62537.47672)/857110.78655*100)</f>
        <v>2.0542301014400874</v>
      </c>
    </row>
    <row r="21" spans="1:7" s="14" customFormat="1" ht="15.75">
      <c r="A21" s="12" t="s">
        <v>42</v>
      </c>
      <c r="B21" s="51">
        <f>IF(8951.20422="","-",8951.20422)</f>
        <v>8951.20422</v>
      </c>
      <c r="C21" s="59" t="s">
        <v>183</v>
      </c>
      <c r="D21" s="59">
        <f>IF(5240.05316="","-",5240.05316/857110.78655*100)</f>
        <v>0.6113624098807581</v>
      </c>
      <c r="E21" s="59">
        <f>IF(8951.20422="","-",8951.20422/1101136.29843*100)</f>
        <v>0.8129061073331818</v>
      </c>
      <c r="F21" s="59">
        <f>IF(OR(747953.45327="",4355.03804="",5240.05316=""),"-",(5240.05316-4355.03804)/747953.45327*100)</f>
        <v>0.11832489256260212</v>
      </c>
      <c r="G21" s="59">
        <f>IF(OR(857110.78655="",8951.20422="",5240.05316=""),"-",(8951.20422-5240.05316)/857110.78655*100)</f>
        <v>0.43298382405592406</v>
      </c>
    </row>
    <row r="22" spans="1:7" s="14" customFormat="1" ht="25.5">
      <c r="A22" s="13" t="s">
        <v>43</v>
      </c>
      <c r="B22" s="46">
        <f>IF(124381.75596="","-",124381.75596)</f>
        <v>124381.75596</v>
      </c>
      <c r="C22" s="74">
        <f>IF(101186.13939="","-",124381.75596/101186.13939*100)</f>
        <v>122.92370942288599</v>
      </c>
      <c r="D22" s="74">
        <f>IF(101186.13939="","-",101186.13939/857110.78655*100)</f>
        <v>11.805491306122684</v>
      </c>
      <c r="E22" s="74">
        <f>IF(124381.75596="","-",124381.75596/1101136.29843*100)</f>
        <v>11.295763852062954</v>
      </c>
      <c r="F22" s="74">
        <f>IF(747953.45327="","-",(101186.13939-87108.93)/747953.45327*100)</f>
        <v>1.8820969845724265</v>
      </c>
      <c r="G22" s="74">
        <f>IF(857110.78655="","-",(124381.75596-101186.13939)/857110.78655*100)</f>
        <v>2.706256522959634</v>
      </c>
    </row>
    <row r="23" spans="1:8" s="14" customFormat="1" ht="15.75">
      <c r="A23" s="12" t="s">
        <v>44</v>
      </c>
      <c r="B23" s="51">
        <f>IF(1594.0132="","-",1594.0132)</f>
        <v>1594.0132</v>
      </c>
      <c r="C23" s="59">
        <f>IF(OR(1792.81104="",1594.0132=""),"-",1594.0132/1792.81104*100)</f>
        <v>88.91138912219104</v>
      </c>
      <c r="D23" s="59">
        <f>IF(1792.81104="","-",1792.81104/857110.78655*100)</f>
        <v>0.2091691142070834</v>
      </c>
      <c r="E23" s="59">
        <f>IF(1594.0132="","-",1594.0132/1101136.29843*100)</f>
        <v>0.14476075325758891</v>
      </c>
      <c r="F23" s="59">
        <f>IF(OR(747953.45327="",1900.41288="",1792.81104=""),"-",(1792.81104-1900.41288)/747953.45327*100)</f>
        <v>-0.014386167953309438</v>
      </c>
      <c r="G23" s="59">
        <f>IF(OR(857110.78655="",1594.0132="",1792.81104=""),"-",(1594.0132-1792.81104)/857110.78655*100)</f>
        <v>-0.023193949150983294</v>
      </c>
      <c r="H23" s="10"/>
    </row>
    <row r="24" spans="1:8" s="14" customFormat="1" ht="15.75">
      <c r="A24" s="12" t="s">
        <v>45</v>
      </c>
      <c r="B24" s="51">
        <f>IF(108007.4843="","-",108007.4843)</f>
        <v>108007.4843</v>
      </c>
      <c r="C24" s="59">
        <f>IF(OR(86555.53214="",108007.4843=""),"-",108007.4843/86555.53214*100)</f>
        <v>124.78403359048427</v>
      </c>
      <c r="D24" s="59">
        <f>IF(86555.53214="","-",86555.53214/857110.78655*100)</f>
        <v>10.098523259565901</v>
      </c>
      <c r="E24" s="59">
        <f>IF(108007.4843="","-",108007.4843/1101136.29843*100)</f>
        <v>9.80872980520187</v>
      </c>
      <c r="F24" s="59">
        <f>IF(OR(747953.45327="",75044.45263="",86555.53214=""),"-",(86555.53214-75044.45263)/747953.45327*100)</f>
        <v>1.5390101429005192</v>
      </c>
      <c r="G24" s="59">
        <f>IF(OR(857110.78655="",108007.4843="",86555.53214=""),"-",(108007.4843-86555.53214)/857110.78655*100)</f>
        <v>2.502821396793679</v>
      </c>
      <c r="H24" s="11"/>
    </row>
    <row r="25" spans="1:8" s="14" customFormat="1" ht="15.75">
      <c r="A25" s="12" t="s">
        <v>47</v>
      </c>
      <c r="B25" s="51">
        <f>IF(280.64164="","-",280.64164)</f>
        <v>280.64164</v>
      </c>
      <c r="C25" s="59">
        <f>IF(OR(184.22443="",280.64164=""),"-",280.64164/184.22443*100)</f>
        <v>152.33682090914868</v>
      </c>
      <c r="D25" s="59">
        <f>IF(184.22443="","-",184.22443/857110.78655*100)</f>
        <v>0.02149365436661124</v>
      </c>
      <c r="E25" s="59">
        <f>IF(280.64164="","-",280.64164/1101136.29843*100)</f>
        <v>0.025486548795107273</v>
      </c>
      <c r="F25" s="59">
        <f>IF(OR(747953.45327="",1084.90288="",184.22443=""),"-",(184.22443-1084.90288)/747953.45327*100)</f>
        <v>-0.12041905095327751</v>
      </c>
      <c r="G25" s="59">
        <f>IF(OR(857110.78655="",280.64164="",184.22443=""),"-",(280.64164-184.22443)/857110.78655*100)</f>
        <v>0.01124909539268474</v>
      </c>
      <c r="H25" s="11"/>
    </row>
    <row r="26" spans="1:8" s="14" customFormat="1" ht="15.75">
      <c r="A26" s="12" t="s">
        <v>48</v>
      </c>
      <c r="B26" s="51">
        <f>IF(1335.43117="","-",1335.43117)</f>
        <v>1335.43117</v>
      </c>
      <c r="C26" s="59">
        <f>IF(OR(1043.93974="",1335.43117=""),"-",1335.43117/1043.93974*100)</f>
        <v>127.92224673811154</v>
      </c>
      <c r="D26" s="59">
        <f>IF(1043.93974="","-",1043.93974/857110.78655*100)</f>
        <v>0.1217975268053754</v>
      </c>
      <c r="E26" s="59">
        <f>IF(1335.43117="","-",1335.43117/1101136.29843*100)</f>
        <v>0.12127755409607854</v>
      </c>
      <c r="F26" s="59">
        <f>IF(OR(747953.45327="",985.28766="",1043.93974=""),"-",(1043.93974-985.28766)/747953.45327*100)</f>
        <v>0.007841675139485924</v>
      </c>
      <c r="G26" s="59">
        <f>IF(OR(857110.78655="",1335.43117="",1043.93974=""),"-",(1335.43117-1043.93974)/857110.78655*100)</f>
        <v>0.03400860595551446</v>
      </c>
      <c r="H26" s="11"/>
    </row>
    <row r="27" spans="1:8" s="14" customFormat="1" ht="38.25">
      <c r="A27" s="12" t="s">
        <v>49</v>
      </c>
      <c r="B27" s="51">
        <f>IF(169.32913="","-",169.32913)</f>
        <v>169.32913</v>
      </c>
      <c r="C27" s="59">
        <f>IF(OR(125.89759="",169.32913=""),"-",169.32913/125.89759*100)</f>
        <v>134.49751500406003</v>
      </c>
      <c r="D27" s="59">
        <f>IF(125.89759="","-",125.89759/857110.78655*100)</f>
        <v>0.014688601750860791</v>
      </c>
      <c r="E27" s="59">
        <f>IF(169.32913="","-",169.32913/1101136.29843*100)</f>
        <v>0.015377672159334811</v>
      </c>
      <c r="F27" s="59">
        <f>IF(OR(747953.45327="",519.76187="",125.89759=""),"-",(125.89759-519.76187)/747953.45327*100)</f>
        <v>-0.052658929279362644</v>
      </c>
      <c r="G27" s="59">
        <f>IF(OR(857110.78655="",169.32913="",125.89759=""),"-",(169.32913-125.89759)/857110.78655*100)</f>
        <v>0.005067202592889828</v>
      </c>
      <c r="H27" s="11"/>
    </row>
    <row r="28" spans="1:8" s="14" customFormat="1" ht="38.25">
      <c r="A28" s="12" t="s">
        <v>50</v>
      </c>
      <c r="B28" s="51">
        <f>IF(4532.48442="","-",4532.48442)</f>
        <v>4532.48442</v>
      </c>
      <c r="C28" s="59">
        <f>IF(OR(3828.37672="",4532.48442=""),"-",4532.48442/3828.37672*100)</f>
        <v>118.39180810816339</v>
      </c>
      <c r="D28" s="59">
        <f>IF(3828.37672="","-",3828.37672/857110.78655*100)</f>
        <v>0.44666066278430505</v>
      </c>
      <c r="E28" s="59">
        <f>IF(4532.48442="","-",4532.48442/1101136.29843*100)</f>
        <v>0.41161883651119446</v>
      </c>
      <c r="F28" s="59">
        <f>IF(OR(747953.45327="",2286.43284="",3828.37672=""),"-",(3828.37672-2286.43284)/747953.45327*100)</f>
        <v>0.20615505861477473</v>
      </c>
      <c r="G28" s="59">
        <f>IF(OR(857110.78655="",4532.48442="",3828.37672=""),"-",(4532.48442-3828.37672)/857110.78655*100)</f>
        <v>0.08214897199394015</v>
      </c>
      <c r="H28" s="11"/>
    </row>
    <row r="29" spans="1:8" s="14" customFormat="1" ht="14.25" customHeight="1">
      <c r="A29" s="12" t="s">
        <v>51</v>
      </c>
      <c r="B29" s="51">
        <f>IF(6482.90494="","-",6482.90494)</f>
        <v>6482.90494</v>
      </c>
      <c r="C29" s="59">
        <f>IF(OR(6554.01653="",6482.90494=""),"-",6482.90494/6554.01653*100)</f>
        <v>98.9149922086022</v>
      </c>
      <c r="D29" s="59">
        <f>IF(6554.01653="","-",6554.01653/857110.78655*100)</f>
        <v>0.7646638722610065</v>
      </c>
      <c r="E29" s="59">
        <f>IF(6482.90494="","-",6482.90494/1101136.29843*100)</f>
        <v>0.5887468199207787</v>
      </c>
      <c r="F29" s="59">
        <f>IF(OR(747953.45327="",4474.76794="",6554.01653=""),"-",(6554.01653-4474.76794)/747953.45327*100)</f>
        <v>0.27799170936502415</v>
      </c>
      <c r="G29" s="59">
        <f>IF(OR(857110.78655="",6482.90494="",6554.01653=""),"-",(6482.90494-6554.01653)/857110.78655*100)</f>
        <v>-0.008296662592036017</v>
      </c>
      <c r="H29" s="11"/>
    </row>
    <row r="30" spans="1:8" s="14" customFormat="1" ht="25.5">
      <c r="A30" s="12" t="s">
        <v>52</v>
      </c>
      <c r="B30" s="51">
        <f>IF(1979.26271="","-",1979.26271)</f>
        <v>1979.26271</v>
      </c>
      <c r="C30" s="59" t="s">
        <v>182</v>
      </c>
      <c r="D30" s="59">
        <f>IF(1100.95276="","-",1100.95276/857110.78655*100)</f>
        <v>0.1284492946858714</v>
      </c>
      <c r="E30" s="59">
        <f>IF(1979.26271="","-",1979.26271/1101136.29843*100)</f>
        <v>0.1797472949372419</v>
      </c>
      <c r="F30" s="59">
        <f>IF(OR(747953.45327="",812.45015="",1100.95276=""),"-",(1100.95276-812.45015)/747953.45327*100)</f>
        <v>0.038572267931739165</v>
      </c>
      <c r="G30" s="59">
        <f>IF(OR(857110.78655="",1979.26271="",1100.95276=""),"-",(1979.26271-1100.95276)/857110.78655*100)</f>
        <v>0.10247332827712156</v>
      </c>
      <c r="H30" s="11"/>
    </row>
    <row r="31" spans="1:8" s="14" customFormat="1" ht="25.5">
      <c r="A31" s="13" t="s">
        <v>53</v>
      </c>
      <c r="B31" s="46">
        <f>IF(7344.99053="","-",7344.99053)</f>
        <v>7344.99053</v>
      </c>
      <c r="C31" s="74">
        <f>IF(5659.31182="","-",7344.99053/5659.31182*100)</f>
        <v>129.78593093320666</v>
      </c>
      <c r="D31" s="74">
        <f>IF(5659.31182="","-",5659.31182/857110.78655*100)</f>
        <v>0.6602777504153906</v>
      </c>
      <c r="E31" s="74">
        <f>IF(7344.99053="","-",7344.99053/1101136.29843*100)</f>
        <v>0.6670373631740673</v>
      </c>
      <c r="F31" s="74">
        <f>IF(747953.45327="","-",(5659.31182-1991.7017)/747953.45327*100)</f>
        <v>0.49035272234728855</v>
      </c>
      <c r="G31" s="74">
        <f>IF(857110.78655="","-",(7344.99053-5659.31182)/857110.78655*100)</f>
        <v>0.19666987470605882</v>
      </c>
      <c r="H31" s="11"/>
    </row>
    <row r="32" spans="1:8" s="14" customFormat="1" ht="25.5">
      <c r="A32" s="12" t="s">
        <v>55</v>
      </c>
      <c r="B32" s="51">
        <f>IF(7319.15477="","-",7319.15477)</f>
        <v>7319.15477</v>
      </c>
      <c r="C32" s="59">
        <f>IF(OR(5656.53763="",7319.15477=""),"-",7319.15477/5656.53763*100)</f>
        <v>129.39284150046396</v>
      </c>
      <c r="D32" s="59">
        <f>IF(5656.53763="","-",5656.53763/857110.78655*100)</f>
        <v>0.659954082805143</v>
      </c>
      <c r="E32" s="59">
        <f>IF(7319.15477="","-",7319.15477/1101136.29843*100)</f>
        <v>0.6646910814252196</v>
      </c>
      <c r="F32" s="59">
        <f>IF(OR(747953.45327="",1988.82461="",5656.53763=""),"-",(5656.53763-1988.82461)/747953.45327*100)</f>
        <v>0.4903664798878882</v>
      </c>
      <c r="G32" s="59">
        <f>IF(OR(857110.78655="",7319.15477="",5656.53763=""),"-",(7319.15477-5656.53763)/857110.78655*100)</f>
        <v>0.19397925753475634</v>
      </c>
      <c r="H32" s="11"/>
    </row>
    <row r="33" spans="1:7" s="14" customFormat="1" ht="27" customHeight="1">
      <c r="A33" s="13" t="s">
        <v>58</v>
      </c>
      <c r="B33" s="46">
        <f>IF(40807.62775="","-",40807.62775)</f>
        <v>40807.62775</v>
      </c>
      <c r="C33" s="74" t="s">
        <v>183</v>
      </c>
      <c r="D33" s="74">
        <f>IF(24354.06101="","-",24354.06101/857110.78655*100)</f>
        <v>2.841413431282176</v>
      </c>
      <c r="E33" s="74">
        <f>IF(40807.62775="","-",40807.62775/1101136.29843*100)</f>
        <v>3.70595609355386</v>
      </c>
      <c r="F33" s="74">
        <f>IF(747953.45327="","-",(24354.06101-22238.15761)/747953.45327*100)</f>
        <v>0.28289238999424654</v>
      </c>
      <c r="G33" s="74">
        <f>IF(857110.78655="","-",(40807.62775-24354.06101)/857110.78655*100)</f>
        <v>1.919654611538385</v>
      </c>
    </row>
    <row r="34" spans="1:7" s="14" customFormat="1" ht="25.5">
      <c r="A34" s="12" t="s">
        <v>60</v>
      </c>
      <c r="B34" s="51">
        <f>IF(40732.21727="","-",40732.21727)</f>
        <v>40732.21727</v>
      </c>
      <c r="C34" s="59" t="s">
        <v>183</v>
      </c>
      <c r="D34" s="59">
        <f>IF(24262.73068="","-",24262.73068/857110.78655*100)</f>
        <v>2.8307578274287213</v>
      </c>
      <c r="E34" s="59">
        <f>IF(40732.21727="","-",40732.21727/1101136.29843*100)</f>
        <v>3.6991076697840213</v>
      </c>
      <c r="F34" s="59">
        <f>IF(OR(747953.45327="",22207.77402="",24262.73068=""),"-",(24262.73068-22207.77402)/747953.45327*100)</f>
        <v>0.2747439230363699</v>
      </c>
      <c r="G34" s="59">
        <f>IF(OR(857110.78655="",40732.21727="",24262.73068=""),"-",(40732.21727-24262.73068)/857110.78655*100)</f>
        <v>1.9215119968670753</v>
      </c>
    </row>
    <row r="35" spans="1:7" s="14" customFormat="1" ht="25.5">
      <c r="A35" s="13" t="s">
        <v>62</v>
      </c>
      <c r="B35" s="46">
        <f>IF(53882.5222="","-",53882.5222)</f>
        <v>53882.5222</v>
      </c>
      <c r="C35" s="74">
        <f>IF(47040.70333="","-",53882.5222/47040.70333*100)</f>
        <v>114.54446550682557</v>
      </c>
      <c r="D35" s="74">
        <f>IF(47040.70333="","-",47040.70333/857110.78655*100)</f>
        <v>5.4882874032359235</v>
      </c>
      <c r="E35" s="74">
        <f>IF(53882.5222="","-",53882.5222/1101136.29843*100)</f>
        <v>4.893356279038816</v>
      </c>
      <c r="F35" s="74">
        <f>IF(747953.45327="","-",(47040.70333-37231.85506)/747953.45327*100)</f>
        <v>1.3114249592827465</v>
      </c>
      <c r="G35" s="74">
        <f>IF(857110.78655="","-",(53882.5222-47040.70333)/857110.78655*100)</f>
        <v>0.7982420682791024</v>
      </c>
    </row>
    <row r="36" spans="1:7" s="14" customFormat="1" ht="15.75">
      <c r="A36" s="12" t="s">
        <v>63</v>
      </c>
      <c r="B36" s="51">
        <f>IF(11417.29382="","-",11417.29382)</f>
        <v>11417.29382</v>
      </c>
      <c r="C36" s="59">
        <f>IF(OR(9868.3444="",11417.29382=""),"-",11417.29382/9868.3444*100)</f>
        <v>115.69614270859863</v>
      </c>
      <c r="D36" s="59">
        <f>IF(9868.3444="","-",9868.3444/857110.78655*100)</f>
        <v>1.1513499252204693</v>
      </c>
      <c r="E36" s="59">
        <f>IF(11417.29382="","-",11417.29382/1101136.29843*100)</f>
        <v>1.0368647220402032</v>
      </c>
      <c r="F36" s="59">
        <f>IF(OR(747953.45327="",5944.17364="",9868.3444=""),"-",(9868.3444-5944.17364)/747953.45327*100)</f>
        <v>0.5246544076832322</v>
      </c>
      <c r="G36" s="59">
        <f>IF(OR(857110.78655="",11417.29382="",9868.3444=""),"-",(11417.29382-9868.3444)/857110.78655*100)</f>
        <v>0.1807175273379484</v>
      </c>
    </row>
    <row r="37" spans="1:7" s="14" customFormat="1" ht="15.75">
      <c r="A37" s="12" t="s">
        <v>64</v>
      </c>
      <c r="B37" s="51">
        <f>IF(287.1079="","-",287.1079)</f>
        <v>287.1079</v>
      </c>
      <c r="C37" s="59">
        <f>IF(OR(480.05303="",287.1079=""),"-",287.1079/480.05303*100)</f>
        <v>59.80753834633644</v>
      </c>
      <c r="D37" s="59">
        <f>IF(480.05303="","-",480.05303/857110.78655*100)</f>
        <v>0.05600828242195922</v>
      </c>
      <c r="E37" s="59">
        <f>IF(287.1079="","-",287.1079/1101136.29843*100)</f>
        <v>0.026073784000160416</v>
      </c>
      <c r="F37" s="59">
        <f>IF(OR(747953.45327="",253.60245="",480.05303=""),"-",(480.05303-253.60245)/747953.45327*100)</f>
        <v>0.030276025735287926</v>
      </c>
      <c r="G37" s="59">
        <f>IF(OR(857110.78655="",287.1079="",480.05303=""),"-",(287.1079-480.05303)/857110.78655*100)</f>
        <v>-0.02251110743532154</v>
      </c>
    </row>
    <row r="38" spans="1:7" s="14" customFormat="1" ht="15.75">
      <c r="A38" s="12" t="s">
        <v>65</v>
      </c>
      <c r="B38" s="51">
        <f>IF(1178.9767="","-",1178.9767)</f>
        <v>1178.9767</v>
      </c>
      <c r="C38" s="59" t="s">
        <v>180</v>
      </c>
      <c r="D38" s="59">
        <f>IF(376.70918="","-",376.70918/857110.78655*100)</f>
        <v>0.04395104879222337</v>
      </c>
      <c r="E38" s="59">
        <f>IF(1178.9767="","-",1178.9767/1101136.29843*100)</f>
        <v>0.10706909777481541</v>
      </c>
      <c r="F38" s="59">
        <f>IF(OR(747953.45327="",484.58826="",376.70918=""),"-",(376.70918-484.58826)/747953.45327*100)</f>
        <v>-0.014423234431014419</v>
      </c>
      <c r="G38" s="59">
        <f>IF(OR(857110.78655="",1178.9767="",376.70918=""),"-",(1178.9767-376.70918)/857110.78655*100)</f>
        <v>0.09360137949368803</v>
      </c>
    </row>
    <row r="39" spans="1:7" s="14" customFormat="1" ht="15.75">
      <c r="A39" s="12" t="s">
        <v>66</v>
      </c>
      <c r="B39" s="51">
        <f>IF(28265.43319="","-",28265.43319)</f>
        <v>28265.43319</v>
      </c>
      <c r="C39" s="59">
        <f>IF(OR(20719.74235="",28265.43319=""),"-",28265.43319/20719.74235*100)</f>
        <v>136.41787968468634</v>
      </c>
      <c r="D39" s="59">
        <f>IF(20719.74235="","-",20719.74235/857110.78655*100)</f>
        <v>2.4173937226248294</v>
      </c>
      <c r="E39" s="59">
        <f>IF(28265.43319="","-",28265.43319/1101136.29843*100)</f>
        <v>2.5669331971256284</v>
      </c>
      <c r="F39" s="59">
        <f>IF(OR(747953.45327="",11287.29789="",20719.74235=""),"-",(20719.74235-11287.29789)/747953.45327*100)</f>
        <v>1.2611004627041984</v>
      </c>
      <c r="G39" s="59">
        <f>IF(OR(857110.78655="",28265.43319="",20719.74235=""),"-",(28265.43319-20719.74235)/857110.78655*100)</f>
        <v>0.8803635374106703</v>
      </c>
    </row>
    <row r="40" spans="1:7" s="14" customFormat="1" ht="38.25">
      <c r="A40" s="12" t="s">
        <v>67</v>
      </c>
      <c r="B40" s="51">
        <f>IF(9528.23357="","-",9528.23357)</f>
        <v>9528.23357</v>
      </c>
      <c r="C40" s="59">
        <f>IF(OR(11773.70889="",9528.23357=""),"-",9528.23357/11773.70889*100)</f>
        <v>80.92805469390198</v>
      </c>
      <c r="D40" s="59">
        <f>IF(11773.70889="","-",11773.70889/857110.78655*100)</f>
        <v>1.3736507665935407</v>
      </c>
      <c r="E40" s="59">
        <f>IF(9528.23357="","-",9528.23357/1101136.29843*100)</f>
        <v>0.8653091886613269</v>
      </c>
      <c r="F40" s="59">
        <f>IF(OR(747953.45327="",15285.39621="",11773.70889=""),"-",(11773.70889-15285.39621)/747953.45327*100)</f>
        <v>-0.4695061309827704</v>
      </c>
      <c r="G40" s="59">
        <f>IF(OR(857110.78655="",9528.23357="",11773.70889=""),"-",(9528.23357-11773.70889)/857110.78655*100)</f>
        <v>-0.2619819229015162</v>
      </c>
    </row>
    <row r="41" spans="1:7" s="14" customFormat="1" ht="15.75">
      <c r="A41" s="12" t="s">
        <v>69</v>
      </c>
      <c r="B41" s="51">
        <f>IF(1041.16181="","-",1041.16181)</f>
        <v>1041.16181</v>
      </c>
      <c r="C41" s="59">
        <f>IF(OR(1104.99964="",1041.16181=""),"-",1041.16181/1104.99964*100)</f>
        <v>94.2228189323211</v>
      </c>
      <c r="D41" s="59">
        <f>IF(1104.99964="","-",1104.99964/857110.78655*100)</f>
        <v>0.12892144835182742</v>
      </c>
      <c r="E41" s="59">
        <f>IF(1041.16181="","-",1041.16181/1101136.29843*100)</f>
        <v>0.09455340010900454</v>
      </c>
      <c r="F41" s="59">
        <f>IF(OR(747953.45327="",1273.11019="",1104.99964=""),"-",(1104.99964-1273.11019)/747953.45327*100)</f>
        <v>-0.02247607110643484</v>
      </c>
      <c r="G41" s="59">
        <f>IF(OR(857110.78655="",1041.16181="",1104.99964=""),"-",(1041.16181-1104.99964)/857110.78655*100)</f>
        <v>-0.007448025506359198</v>
      </c>
    </row>
    <row r="42" spans="1:7" s="14" customFormat="1" ht="15.75">
      <c r="A42" s="12" t="s">
        <v>70</v>
      </c>
      <c r="B42" s="51">
        <f>IF(861.5661="","-",861.5661)</f>
        <v>861.5661</v>
      </c>
      <c r="C42" s="59">
        <f>IF(OR(1396.45084="",861.5661=""),"-",861.5661/1396.45084*100)</f>
        <v>61.69684426556684</v>
      </c>
      <c r="D42" s="59">
        <f>IF(1396.45084="","-",1396.45084/857110.78655*100)</f>
        <v>0.16292536063172475</v>
      </c>
      <c r="E42" s="59">
        <f>IF(861.5661="","-",861.5661/1101136.29843*100)</f>
        <v>0.07824336562407586</v>
      </c>
      <c r="F42" s="59">
        <f>IF(OR(747953.45327="",1250.09195="",1396.45084=""),"-",(1396.45084-1250.09195)/747953.45327*100)</f>
        <v>0.01956791420109489</v>
      </c>
      <c r="G42" s="59">
        <f>IF(OR(857110.78655="",861.5661="",1396.45084=""),"-",(861.5661-1396.45084)/857110.78655*100)</f>
        <v>-0.06240555461365638</v>
      </c>
    </row>
    <row r="43" spans="1:7" s="14" customFormat="1" ht="15.75">
      <c r="A43" s="12" t="s">
        <v>71</v>
      </c>
      <c r="B43" s="51">
        <f>IF(1302.74911="","-",1302.74911)</f>
        <v>1302.74911</v>
      </c>
      <c r="C43" s="59">
        <f>IF(OR(1295.495="",1302.74911=""),"-",1302.74911/1295.495*100)</f>
        <v>100.55994889984139</v>
      </c>
      <c r="D43" s="59">
        <f>IF(1295.495="","-",1295.495/857110.78655*100)</f>
        <v>0.15114673859310093</v>
      </c>
      <c r="E43" s="59">
        <f>IF(1302.74911="","-",1302.74911/1101136.29843*100)</f>
        <v>0.11830952370360141</v>
      </c>
      <c r="F43" s="59">
        <f>IF(OR(747953.45327="",1438.94733="",1295.495=""),"-",(1295.495-1438.94733)/747953.45327*100)</f>
        <v>-0.019179312478983357</v>
      </c>
      <c r="G43" s="59">
        <f>IF(OR(857110.78655="",1302.74911="",1295.495=""),"-",(1302.74911-1295.495)/857110.78655*100)</f>
        <v>0.0008463444998981951</v>
      </c>
    </row>
    <row r="44" spans="1:7" s="14" customFormat="1" ht="25.5">
      <c r="A44" s="13" t="s">
        <v>72</v>
      </c>
      <c r="B44" s="46">
        <f>IF(73897.80271="","-",73897.80271)</f>
        <v>73897.80271</v>
      </c>
      <c r="C44" s="74">
        <f>IF(67736.04104="","-",73897.80271/67736.04104*100)</f>
        <v>109.09672542917193</v>
      </c>
      <c r="D44" s="74">
        <f>IF(67736.04104="","-",67736.04104/857110.78655*100)</f>
        <v>7.902833811326511</v>
      </c>
      <c r="E44" s="74">
        <f>IF(73897.80271="","-",73897.80271/1101136.29843*100)</f>
        <v>6.711049559928547</v>
      </c>
      <c r="F44" s="74">
        <f>IF(747953.45327="","-",(67736.04104-71408.94391)/747953.45327*100)</f>
        <v>-0.49106035328031866</v>
      </c>
      <c r="G44" s="74">
        <f>IF(857110.78655="","-",(73897.80271-67736.04104)/857110.78655*100)</f>
        <v>0.7188990929401351</v>
      </c>
    </row>
    <row r="45" spans="1:7" s="14" customFormat="1" ht="15.75">
      <c r="A45" s="12" t="s">
        <v>73</v>
      </c>
      <c r="B45" s="51">
        <f>IF(679.03918="","-",679.03918)</f>
        <v>679.03918</v>
      </c>
      <c r="C45" s="59">
        <f>IF(OR(1136.3789="",679.03918=""),"-",679.03918/1136.3789*100)</f>
        <v>59.754645215605464</v>
      </c>
      <c r="D45" s="59">
        <f>IF(1136.3789="","-",1136.3789/857110.78655*100)</f>
        <v>0.13258249899923627</v>
      </c>
      <c r="E45" s="59">
        <f>IF(679.03918="","-",679.03918/1101136.29843*100)</f>
        <v>0.061667132485612716</v>
      </c>
      <c r="F45" s="59">
        <f>IF(OR(747953.45327="",744.60853="",1136.3789=""),"-",(1136.3789-744.60853)/747953.45327*100)</f>
        <v>0.05237897736646677</v>
      </c>
      <c r="G45" s="59">
        <f>IF(OR(857110.78655="",679.03918="",1136.3789=""),"-",(679.03918-1136.3789)/857110.78655*100)</f>
        <v>-0.053358297104258975</v>
      </c>
    </row>
    <row r="46" spans="1:7" s="14" customFormat="1" ht="15.75">
      <c r="A46" s="12" t="s">
        <v>74</v>
      </c>
      <c r="B46" s="51">
        <f>IF(628.37941="","-",628.37941)</f>
        <v>628.37941</v>
      </c>
      <c r="C46" s="59">
        <f>IF(OR(929.81653="",628.37941=""),"-",628.37941/929.81653*100)</f>
        <v>67.58101084737653</v>
      </c>
      <c r="D46" s="59">
        <f>IF(929.81653="","-",929.81653/857110.78655*100)</f>
        <v>0.1084826541202044</v>
      </c>
      <c r="E46" s="59">
        <f>IF(628.37941="","-",628.37941/1101136.29843*100)</f>
        <v>0.057066451346299576</v>
      </c>
      <c r="F46" s="59">
        <f>IF(OR(747953.45327="",5769.44484="",929.81653=""),"-",(929.81653-5769.44484)/747953.45327*100)</f>
        <v>-0.6470493971037214</v>
      </c>
      <c r="G46" s="59">
        <f>IF(OR(857110.78655="",628.37941="",929.81653=""),"-",(628.37941-929.81653)/857110.78655*100)</f>
        <v>-0.035168979871707105</v>
      </c>
    </row>
    <row r="47" spans="1:7" s="14" customFormat="1" ht="15.75">
      <c r="A47" s="12" t="s">
        <v>75</v>
      </c>
      <c r="B47" s="51">
        <f>IF(6504.7984="","-",6504.7984)</f>
        <v>6504.7984</v>
      </c>
      <c r="C47" s="59" t="s">
        <v>182</v>
      </c>
      <c r="D47" s="59">
        <f>IF(3516.68524="","-",3516.68524/857110.78655*100)</f>
        <v>0.41029529614895965</v>
      </c>
      <c r="E47" s="59">
        <f>IF(6504.7984="","-",6504.7984/1101136.29843*100)</f>
        <v>0.5907350805957937</v>
      </c>
      <c r="F47" s="59">
        <f>IF(OR(747953.45327="",3460.73565="",3516.68524=""),"-",(3516.68524-3460.73565)/747953.45327*100)</f>
        <v>0.007480357200757886</v>
      </c>
      <c r="G47" s="59">
        <f>IF(OR(857110.78655="",6504.7984="",3516.68524=""),"-",(6504.7984-3516.68524)/857110.78655*100)</f>
        <v>0.34862624609213066</v>
      </c>
    </row>
    <row r="48" spans="1:7" s="14" customFormat="1" ht="25.5">
      <c r="A48" s="12" t="s">
        <v>76</v>
      </c>
      <c r="B48" s="51">
        <f>IF(4302.28138="","-",4302.28138)</f>
        <v>4302.28138</v>
      </c>
      <c r="C48" s="59">
        <f>IF(OR(2730.11213="",4302.28138=""),"-",4302.28138/2730.11213*100)</f>
        <v>157.5862519610138</v>
      </c>
      <c r="D48" s="59">
        <f>IF(2730.11213="","-",2730.11213/857110.78655*100)</f>
        <v>0.318524999666509</v>
      </c>
      <c r="E48" s="59">
        <f>IF(4302.28138="","-",4302.28138/1101136.29843*100)</f>
        <v>0.3907128832401759</v>
      </c>
      <c r="F48" s="59">
        <f>IF(OR(747953.45327="",2802.20193="",2730.11213=""),"-",(2730.11213-2802.20193)/747953.45327*100)</f>
        <v>-0.009638273569675846</v>
      </c>
      <c r="G48" s="59">
        <f>IF(OR(857110.78655="",4302.28138="",2730.11213=""),"-",(4302.28138-2730.11213)/857110.78655*100)</f>
        <v>0.1834266088667742</v>
      </c>
    </row>
    <row r="49" spans="1:7" s="14" customFormat="1" ht="25.5">
      <c r="A49" s="12" t="s">
        <v>77</v>
      </c>
      <c r="B49" s="51">
        <f>IF(31784.82139="","-",31784.82139)</f>
        <v>31784.82139</v>
      </c>
      <c r="C49" s="59">
        <f>IF(OR(35260.72708="",31784.82139=""),"-",31784.82139/35260.72708*100)</f>
        <v>90.14227448539613</v>
      </c>
      <c r="D49" s="59">
        <f>IF(35260.72708="","-",35260.72708/857110.78655*100)</f>
        <v>4.113905417283306</v>
      </c>
      <c r="E49" s="59">
        <f>IF(31784.82139="","-",31784.82139/1101136.29843*100)</f>
        <v>2.8865474179099166</v>
      </c>
      <c r="F49" s="59">
        <f>IF(OR(747953.45327="",32655.74654="",35260.72708=""),"-",(35260.72708-32655.74654)/747953.45327*100)</f>
        <v>0.3482811034043903</v>
      </c>
      <c r="G49" s="59">
        <f>IF(OR(857110.78655="",31784.82139="",35260.72708=""),"-",(31784.82139-35260.72708)/857110.78655*100)</f>
        <v>-0.40553750396620725</v>
      </c>
    </row>
    <row r="50" spans="1:7" s="14" customFormat="1" ht="15.75">
      <c r="A50" s="12" t="s">
        <v>78</v>
      </c>
      <c r="B50" s="51">
        <f>IF(18268.00198="","-",18268.00198)</f>
        <v>18268.00198</v>
      </c>
      <c r="C50" s="59" t="s">
        <v>183</v>
      </c>
      <c r="D50" s="59">
        <f>IF(10599.27719="","-",10599.27719/857110.78655*100)</f>
        <v>1.2366286081480422</v>
      </c>
      <c r="E50" s="59">
        <f>IF(18268.00198="","-",18268.00198/1101136.29843*100)</f>
        <v>1.659013693949288</v>
      </c>
      <c r="F50" s="59">
        <f>IF(OR(747953.45327="",12543.11648="",10599.27719=""),"-",(10599.27719-12543.11648)/747953.45327*100)</f>
        <v>-0.2598877351928346</v>
      </c>
      <c r="G50" s="59">
        <f>IF(OR(857110.78655="",18268.00198="",10599.27719=""),"-",(18268.00198-10599.27719)/857110.78655*100)</f>
        <v>0.8947180353274717</v>
      </c>
    </row>
    <row r="51" spans="1:7" s="14" customFormat="1" ht="15.75">
      <c r="A51" s="12" t="s">
        <v>79</v>
      </c>
      <c r="B51" s="51">
        <f>IF(922.27544="","-",922.27544)</f>
        <v>922.27544</v>
      </c>
      <c r="C51" s="59">
        <f>IF(OR(965.56415="",922.27544=""),"-",922.27544/965.56415*100)</f>
        <v>95.51674427846145</v>
      </c>
      <c r="D51" s="59">
        <f>IF(965.56415="","-",965.56415/857110.78655*100)</f>
        <v>0.11265336583693472</v>
      </c>
      <c r="E51" s="59">
        <f>IF(922.27544="","-",922.27544/1101136.29843*100)</f>
        <v>0.08375670126531841</v>
      </c>
      <c r="F51" s="59">
        <f>IF(OR(747953.45327="",1289.70891="",965.56415=""),"-",(965.56415-1289.70891)/747953.45327*100)</f>
        <v>-0.04333755778288901</v>
      </c>
      <c r="G51" s="59">
        <f>IF(OR(857110.78655="",922.27544="",965.56415=""),"-",(922.27544-965.56415)/857110.78655*100)</f>
        <v>-0.005050538469390126</v>
      </c>
    </row>
    <row r="52" spans="1:7" s="14" customFormat="1" ht="15.75">
      <c r="A52" s="12" t="s">
        <v>80</v>
      </c>
      <c r="B52" s="51">
        <f>IF(809.08075="","-",809.08075)</f>
        <v>809.08075</v>
      </c>
      <c r="C52" s="59">
        <f>IF(OR(1401.10849="",809.08075=""),"-",809.08075/1401.10849*100)</f>
        <v>57.74576028727083</v>
      </c>
      <c r="D52" s="59">
        <f>IF(1401.10849="","-",1401.10849/857110.78655*100)</f>
        <v>0.16346877346389174</v>
      </c>
      <c r="E52" s="59">
        <f>IF(809.08075="","-",809.08075/1101136.29843*100)</f>
        <v>0.07347689392798941</v>
      </c>
      <c r="F52" s="59">
        <f>IF(OR(747953.45327="",853.59="",1401.10849=""),"-",(1401.10849-853.59)/747953.45327*100)</f>
        <v>0.0732022143365055</v>
      </c>
      <c r="G52" s="59">
        <f>IF(OR(857110.78655="",809.08075="",1401.10849=""),"-",(809.08075-1401.10849)/857110.78655*100)</f>
        <v>-0.06907248739489102</v>
      </c>
    </row>
    <row r="53" spans="1:7" s="14" customFormat="1" ht="15.75">
      <c r="A53" s="12" t="s">
        <v>81</v>
      </c>
      <c r="B53" s="51">
        <f>IF(9999.12478="","-",9999.12478)</f>
        <v>9999.12478</v>
      </c>
      <c r="C53" s="59">
        <f>IF(OR(11196.37133="",9999.12478=""),"-",9999.12478/11196.37133*100)</f>
        <v>89.3068341991119</v>
      </c>
      <c r="D53" s="59">
        <f>IF(11196.37133="","-",11196.37133/857110.78655*100)</f>
        <v>1.3062921976594275</v>
      </c>
      <c r="E53" s="59">
        <f>IF(9999.12478="","-",9999.12478/1101136.29843*100)</f>
        <v>0.9080733052081519</v>
      </c>
      <c r="F53" s="59">
        <f>IF(OR(747953.45327="",11289.79103="",11196.37133=""),"-",(11196.37133-11289.79103)/747953.45327*100)</f>
        <v>-0.012490041939318014</v>
      </c>
      <c r="G53" s="59">
        <f>IF(OR(857110.78655="",9999.12478="",11196.37133=""),"-",(9999.12478-11196.37133)/857110.78655*100)</f>
        <v>-0.13968399053978747</v>
      </c>
    </row>
    <row r="54" spans="1:7" s="14" customFormat="1" ht="25.5">
      <c r="A54" s="13" t="s">
        <v>82</v>
      </c>
      <c r="B54" s="46">
        <f>IF(218584.72675="","-",218584.72675)</f>
        <v>218584.72675</v>
      </c>
      <c r="C54" s="74">
        <f>IF(161733.91661="","-",218584.72675/161733.91661*100)</f>
        <v>135.15082756394767</v>
      </c>
      <c r="D54" s="74">
        <f>IF(161733.91661="","-",161733.91661/857110.78655*100)</f>
        <v>18.869662959324472</v>
      </c>
      <c r="E54" s="74">
        <f>IF(218584.72675="","-",218584.72675/1101136.29843*100)</f>
        <v>19.85083291338757</v>
      </c>
      <c r="F54" s="74">
        <f>IF(747953.45327="","-",(161733.91661-121308.73544)/747953.45327*100)</f>
        <v>5.404772314809688</v>
      </c>
      <c r="G54" s="74">
        <f>IF(857110.78655="","-",(218584.72675-161733.91661)/857110.78655*100)</f>
        <v>6.632842688730251</v>
      </c>
    </row>
    <row r="55" spans="1:7" s="14" customFormat="1" ht="27.75" customHeight="1">
      <c r="A55" s="12" t="s">
        <v>83</v>
      </c>
      <c r="B55" s="51">
        <f>IF(1344.75922="","-",1344.75922)</f>
        <v>1344.75922</v>
      </c>
      <c r="C55" s="59">
        <f>IF(OR(963.75311="",1344.75922=""),"-",1344.75922/963.75311*100)</f>
        <v>139.53358033781078</v>
      </c>
      <c r="D55" s="59">
        <f>IF(963.75311="","-",963.75311/857110.78655*100)</f>
        <v>0.11244206993115224</v>
      </c>
      <c r="E55" s="59">
        <f>IF(1344.75922="","-",1344.75922/1101136.29843*100)</f>
        <v>0.12212468355800798</v>
      </c>
      <c r="F55" s="59">
        <f>IF(OR(747953.45327="",744.24665="",963.75311=""),"-",(963.75311-744.24665)/747953.45327*100)</f>
        <v>0.02934760967281227</v>
      </c>
      <c r="G55" s="59">
        <f>IF(OR(857110.78655="",1344.75922="",963.75311=""),"-",(1344.75922-963.75311)/857110.78655*100)</f>
        <v>0.04445237604972945</v>
      </c>
    </row>
    <row r="56" spans="1:7" s="14" customFormat="1" ht="25.5">
      <c r="A56" s="12" t="s">
        <v>84</v>
      </c>
      <c r="B56" s="51">
        <f>IF(6013.98635="","-",6013.98635)</f>
        <v>6013.98635</v>
      </c>
      <c r="C56" s="59" t="s">
        <v>184</v>
      </c>
      <c r="D56" s="59">
        <f>IF(3134.64296="","-",3134.64296/857110.78655*100)</f>
        <v>0.365722029076009</v>
      </c>
      <c r="E56" s="59">
        <f>IF(6013.98635="","-",6013.98635/1101136.29843*100)</f>
        <v>0.5461618474093299</v>
      </c>
      <c r="F56" s="59">
        <f>IF(OR(747953.45327="",3484.8996="",3134.64296=""),"-",(3134.64296-3484.8996)/747953.45327*100)</f>
        <v>-0.046828668076696826</v>
      </c>
      <c r="G56" s="59">
        <f>IF(OR(857110.78655="",6013.98635="",3134.64296=""),"-",(6013.98635-3134.64296)/857110.78655*100)</f>
        <v>0.33593596477647786</v>
      </c>
    </row>
    <row r="57" spans="1:7" s="14" customFormat="1" ht="25.5">
      <c r="A57" s="12" t="s">
        <v>85</v>
      </c>
      <c r="B57" s="51">
        <f>IF(589.05425="","-",589.05425)</f>
        <v>589.05425</v>
      </c>
      <c r="C57" s="59">
        <f>IF(OR(613.28037="",589.05425=""),"-",589.05425/613.28037*100)</f>
        <v>96.04974801329449</v>
      </c>
      <c r="D57" s="59">
        <f>IF(613.28037="","-",613.28037/857110.78655*100)</f>
        <v>0.07155205366957822</v>
      </c>
      <c r="E57" s="59">
        <f>IF(589.05425="","-",589.05425/1101136.29843*100)</f>
        <v>0.05349512597485648</v>
      </c>
      <c r="F57" s="59">
        <f>IF(OR(747953.45327="",639.32819="",613.28037=""),"-",(613.28037-639.32819)/747953.45327*100)</f>
        <v>-0.003482545589718285</v>
      </c>
      <c r="G57" s="59">
        <f>IF(OR(857110.78655="",589.05425="",613.28037=""),"-",(589.05425-613.28037)/857110.78655*100)</f>
        <v>-0.002826486421611109</v>
      </c>
    </row>
    <row r="58" spans="1:7" s="14" customFormat="1" ht="39" customHeight="1">
      <c r="A58" s="12" t="s">
        <v>86</v>
      </c>
      <c r="B58" s="51">
        <f>IF(8378.02508="","-",8378.02508)</f>
        <v>8378.02508</v>
      </c>
      <c r="C58" s="59">
        <f>IF(OR(11992.16569="",8378.02508=""),"-",8378.02508/11992.16569*100)</f>
        <v>69.86248603107818</v>
      </c>
      <c r="D58" s="59">
        <f>IF(11992.16569="","-",11992.16569/857110.78655*100)</f>
        <v>1.399138346895653</v>
      </c>
      <c r="E58" s="59">
        <f>IF(8378.02508="","-",8378.02508/1101136.29843*100)</f>
        <v>0.7608526838998393</v>
      </c>
      <c r="F58" s="59">
        <f>IF(OR(747953.45327="",12459.99896="",11992.16569=""),"-",(11992.16569-12459.99896)/747953.45327*100)</f>
        <v>-0.06254844709315356</v>
      </c>
      <c r="G58" s="59">
        <f>IF(OR(857110.78655="",8378.02508="",11992.16569=""),"-",(8378.02508-11992.16569)/857110.78655*100)</f>
        <v>-0.42166551474021935</v>
      </c>
    </row>
    <row r="59" spans="1:7" s="14" customFormat="1" ht="27" customHeight="1">
      <c r="A59" s="12" t="s">
        <v>87</v>
      </c>
      <c r="B59" s="51">
        <f>IF(524.56625="","-",524.56625)</f>
        <v>524.56625</v>
      </c>
      <c r="C59" s="59">
        <f>IF(OR(332.30069="",524.56625=""),"-",524.56625/332.30069*100)</f>
        <v>157.85891085570722</v>
      </c>
      <c r="D59" s="59">
        <f>IF(332.30069="","-",332.30069/857110.78655*100)</f>
        <v>0.038769864434626974</v>
      </c>
      <c r="E59" s="59">
        <f>IF(524.56625="","-",524.56625/1101136.29843*100)</f>
        <v>0.04763863027201323</v>
      </c>
      <c r="F59" s="59">
        <f>IF(OR(747953.45327="",249.63816="",332.30069=""),"-",(332.30069-249.63816)/747953.45327*100)</f>
        <v>0.011051828110239373</v>
      </c>
      <c r="G59" s="59">
        <f>IF(OR(857110.78655="",524.56625="",332.30069=""),"-",(524.56625-332.30069)/857110.78655*100)</f>
        <v>0.022431821302109363</v>
      </c>
    </row>
    <row r="60" spans="1:7" s="14" customFormat="1" ht="39" customHeight="1">
      <c r="A60" s="12" t="s">
        <v>88</v>
      </c>
      <c r="B60" s="51">
        <f>IF(2041.73926="","-",2041.73926)</f>
        <v>2041.73926</v>
      </c>
      <c r="C60" s="59">
        <f>IF(OR(1937.4692="",2041.73926=""),"-",2041.73926/1937.4692*100)</f>
        <v>105.38176606884899</v>
      </c>
      <c r="D60" s="59">
        <f>IF(1937.4692="","-",1937.4692/857110.78655*100)</f>
        <v>0.22604653102064032</v>
      </c>
      <c r="E60" s="59">
        <f>IF(2041.73926="","-",2041.73926/1101136.29843*100)</f>
        <v>0.1854211202474309</v>
      </c>
      <c r="F60" s="59">
        <f>IF(OR(747953.45327="",1250.4583="",1937.4692=""),"-",(1937.4692-1250.4583)/747953.45327*100)</f>
        <v>0.09185209280021858</v>
      </c>
      <c r="G60" s="59">
        <f>IF(OR(857110.78655="",2041.73926="",1937.4692=""),"-",(2041.73926-1937.4692)/857110.78655*100)</f>
        <v>0.012165295506279037</v>
      </c>
    </row>
    <row r="61" spans="1:7" s="14" customFormat="1" ht="40.5" customHeight="1">
      <c r="A61" s="12" t="s">
        <v>89</v>
      </c>
      <c r="B61" s="51">
        <f>IF(191672.15987="","-",191672.15987)</f>
        <v>191672.15987</v>
      </c>
      <c r="C61" s="59" t="s">
        <v>308</v>
      </c>
      <c r="D61" s="59">
        <f>IF(117032.88297="","-",117032.88297/857110.78655*100)</f>
        <v>13.654347233345993</v>
      </c>
      <c r="E61" s="59">
        <f>IF(191672.15987="","-",191672.15987/1101136.29843*100)</f>
        <v>17.40676064745901</v>
      </c>
      <c r="F61" s="59">
        <f>IF(OR(747953.45327="",92206.48949="",117032.88297=""),"-",(117032.88297-92206.48949)/747953.45327*100)</f>
        <v>3.319243112183084</v>
      </c>
      <c r="G61" s="59">
        <f>IF(OR(857110.78655="",191672.15987="",117032.88297=""),"-",(191672.15987-117032.88297)/857110.78655*100)</f>
        <v>8.708241463210879</v>
      </c>
    </row>
    <row r="62" spans="1:7" s="14" customFormat="1" ht="25.5">
      <c r="A62" s="12" t="s">
        <v>90</v>
      </c>
      <c r="B62" s="51">
        <f>IF(7899.0553="","-",7899.0553)</f>
        <v>7899.0553</v>
      </c>
      <c r="C62" s="59">
        <f>IF(OR(13313.12835="",7899.0553=""),"-",7899.0553/13313.12835*100)</f>
        <v>59.332826157272045</v>
      </c>
      <c r="D62" s="59">
        <f>IF(13313.12835="","-",13313.12835/857110.78655*100)</f>
        <v>1.5532564236634272</v>
      </c>
      <c r="E62" s="59">
        <f>IF(7899.0553="","-",7899.0553/1101136.29843*100)</f>
        <v>0.7173549097657095</v>
      </c>
      <c r="F62" s="59">
        <f>IF(OR(747953.45327="",10064.38582="",13313.12835=""),"-",(13313.12835-10064.38582)/747953.45327*100)</f>
        <v>0.43435089654265613</v>
      </c>
      <c r="G62" s="59">
        <f>IF(OR(857110.78655="",7899.0553="",13313.12835=""),"-",(7899.0553-13313.12835)/857110.78655*100)</f>
        <v>-0.6316654900345451</v>
      </c>
    </row>
    <row r="63" spans="1:7" s="14" customFormat="1" ht="15.75">
      <c r="A63" s="12" t="s">
        <v>91</v>
      </c>
      <c r="B63" s="51">
        <f>IF(121.38117="","-",121.38117)</f>
        <v>121.38117</v>
      </c>
      <c r="C63" s="59">
        <f>IF(OR(12414.29327="",121.38117=""),"-",121.38117/12414.29327*100)</f>
        <v>0.9777533634824466</v>
      </c>
      <c r="D63" s="59">
        <f>IF(12414.29327="","-",12414.29327/857110.78655*100)</f>
        <v>1.448388407287394</v>
      </c>
      <c r="E63" s="59">
        <f>IF(121.38117="","-",121.38117/1101136.29843*100)</f>
        <v>0.011023264801375204</v>
      </c>
      <c r="F63" s="59">
        <f>IF(OR(747953.45327="",209.29027="",12414.29327=""),"-",(12414.29327-209.29027)/747953.45327*100)</f>
        <v>1.6317864362602492</v>
      </c>
      <c r="G63" s="59">
        <f>IF(OR(857110.78655="",121.38117="",12414.29327=""),"-",(121.38117-12414.29327)/857110.78655*100)</f>
        <v>-1.4342267409188516</v>
      </c>
    </row>
    <row r="64" spans="1:7" s="14" customFormat="1" ht="15.75">
      <c r="A64" s="13" t="s">
        <v>92</v>
      </c>
      <c r="B64" s="46">
        <f>IF(253177.29288="","-",253177.29288)</f>
        <v>253177.29288</v>
      </c>
      <c r="C64" s="74">
        <f>IF(198853.69152="","-",253177.29288/198853.69152*100)</f>
        <v>127.3183771167438</v>
      </c>
      <c r="D64" s="74">
        <f>IF(198853.69152="","-",198853.69152/857110.78655*100)</f>
        <v>23.200465405460132</v>
      </c>
      <c r="E64" s="74">
        <f>IF(253177.29288="","-",253177.29288/1101136.29843*100)</f>
        <v>22.992366452816075</v>
      </c>
      <c r="F64" s="74">
        <f>IF(747953.45327="","-",(198853.69152-185514.99702)/747953.45327*100)</f>
        <v>1.7833589031087627</v>
      </c>
      <c r="G64" s="74">
        <f>IF(857110.78655="","-",(253177.29288-198853.69152)/857110.78655*100)</f>
        <v>6.337990632303285</v>
      </c>
    </row>
    <row r="65" spans="1:7" s="14" customFormat="1" ht="39.75" customHeight="1">
      <c r="A65" s="12" t="s">
        <v>93</v>
      </c>
      <c r="B65" s="51">
        <f>IF(3133.25859="","-",3133.25859)</f>
        <v>3133.25859</v>
      </c>
      <c r="C65" s="59">
        <f>IF(OR(4160.59597="",3133.25859=""),"-",3133.25859/4160.59597*100)</f>
        <v>75.30792734003441</v>
      </c>
      <c r="D65" s="59">
        <f>IF(4160.59597="","-",4160.59597/857110.78655*100)</f>
        <v>0.4854210255300865</v>
      </c>
      <c r="E65" s="59">
        <f>IF(3133.25859="","-",3133.25859/1101136.29843*100)</f>
        <v>0.2845477525777145</v>
      </c>
      <c r="F65" s="59">
        <f>IF(OR(747953.45327="",1661.23528="",4160.59597=""),"-",(4160.59597-1661.23528)/747953.45327*100)</f>
        <v>0.33415992386598</v>
      </c>
      <c r="G65" s="59">
        <f>IF(OR(857110.78655="",3133.25859="",4160.59597=""),"-",(3133.25859-4160.59597)/857110.78655*100)</f>
        <v>-0.11986051233063909</v>
      </c>
    </row>
    <row r="66" spans="1:7" s="14" customFormat="1" ht="15.75">
      <c r="A66" s="12" t="s">
        <v>94</v>
      </c>
      <c r="B66" s="51">
        <f>IF(66392.00571="","-",66392.00571)</f>
        <v>66392.00571</v>
      </c>
      <c r="C66" s="59">
        <f>IF(OR(49206.17485="",66392.00571=""),"-",66392.00571/49206.17485*100)</f>
        <v>134.92616711701174</v>
      </c>
      <c r="D66" s="59">
        <f>IF(49206.17485="","-",49206.17485/857110.78655*100)</f>
        <v>5.740935200227997</v>
      </c>
      <c r="E66" s="59">
        <f>IF(66392.00571="","-",66392.00571/1101136.29843*100)</f>
        <v>6.029408512339636</v>
      </c>
      <c r="F66" s="59">
        <f>IF(OR(747953.45327="",47637.28133="",49206.17485=""),"-",(49206.17485-47637.28133)/747953.45327*100)</f>
        <v>0.20975817587858075</v>
      </c>
      <c r="G66" s="59">
        <f>IF(OR(857110.78655="",66392.00571="",49206.17485=""),"-",(66392.00571-49206.17485)/857110.78655*100)</f>
        <v>2.005088622110982</v>
      </c>
    </row>
    <row r="67" spans="1:7" s="14" customFormat="1" ht="15.75">
      <c r="A67" s="12" t="s">
        <v>95</v>
      </c>
      <c r="B67" s="51">
        <f>IF(7218.52992="","-",7218.52992)</f>
        <v>7218.52992</v>
      </c>
      <c r="C67" s="59">
        <f>IF(OR(5006.40838="",7218.52992=""),"-",7218.52992/5006.40838*100)</f>
        <v>144.18579892198088</v>
      </c>
      <c r="D67" s="59">
        <f>IF(5006.40838="","-",5006.40838/857110.78655*100)</f>
        <v>0.5841028322781409</v>
      </c>
      <c r="E67" s="59">
        <f>IF(7218.52992="","-",7218.52992/1101136.29843*100)</f>
        <v>0.6555528076126615</v>
      </c>
      <c r="F67" s="59">
        <f>IF(OR(747953.45327="",5919.55693="",5006.40838=""),"-",(5006.40838-5919.55693)/747953.45327*100)</f>
        <v>-0.12208628037049343</v>
      </c>
      <c r="G67" s="59">
        <f>IF(OR(857110.78655="",7218.52992="",5006.40838=""),"-",(7218.52992-5006.40838)/857110.78655*100)</f>
        <v>0.2580905029680145</v>
      </c>
    </row>
    <row r="68" spans="1:7" s="14" customFormat="1" ht="15.75">
      <c r="A68" s="12" t="s">
        <v>96</v>
      </c>
      <c r="B68" s="51">
        <f>IF(127739.13233="","-",127739.13233)</f>
        <v>127739.13233</v>
      </c>
      <c r="C68" s="59">
        <f>IF(OR(102359.30229="",127739.13233=""),"-",127739.13233/102359.30229*100)</f>
        <v>124.79484470116348</v>
      </c>
      <c r="D68" s="59">
        <f>IF(102359.30229="","-",102359.30229/857110.78655*100)</f>
        <v>11.94236543236279</v>
      </c>
      <c r="E68" s="59">
        <f>IF(127739.13233="","-",127739.13233/1101136.29843*100)</f>
        <v>11.600664923327878</v>
      </c>
      <c r="F68" s="59">
        <f>IF(OR(747953.45327="",96587.39267="",102359.30229=""),"-",(102359.30229-96587.39267)/747953.45327*100)</f>
        <v>0.7716936922699696</v>
      </c>
      <c r="G68" s="59">
        <f>IF(OR(857110.78655="",127739.13233="",102359.30229=""),"-",(127739.13233-102359.30229)/857110.78655*100)</f>
        <v>2.9610909625997857</v>
      </c>
    </row>
    <row r="69" spans="1:7" s="14" customFormat="1" ht="14.25" customHeight="1">
      <c r="A69" s="12" t="s">
        <v>97</v>
      </c>
      <c r="B69" s="51">
        <f>IF(15707.29051="","-",15707.29051)</f>
        <v>15707.29051</v>
      </c>
      <c r="C69" s="59">
        <f>IF(OR(12560.73882="",15707.29051=""),"-",15707.29051/12560.73882*100)</f>
        <v>125.0506895740071</v>
      </c>
      <c r="D69" s="59">
        <f>IF(12560.73882="","-",12560.73882/857110.78655*100)</f>
        <v>1.4654743607368268</v>
      </c>
      <c r="E69" s="59">
        <f>IF(15707.29051="","-",15707.29051/1101136.29843*100)</f>
        <v>1.4264619677323738</v>
      </c>
      <c r="F69" s="59">
        <f>IF(OR(747953.45327="",12264.22943="",12560.73882=""),"-",(12560.73882-12264.22943)/747953.45327*100)</f>
        <v>0.03964275968025588</v>
      </c>
      <c r="G69" s="59">
        <f>IF(OR(857110.78655="",15707.29051="",12560.73882=""),"-",(15707.29051-12560.73882)/857110.78655*100)</f>
        <v>0.3671114328948472</v>
      </c>
    </row>
    <row r="70" spans="1:7" ht="27.75" customHeight="1">
      <c r="A70" s="7" t="s">
        <v>102</v>
      </c>
      <c r="B70" s="51">
        <f>IF(10688.86602="","-",10688.86602)</f>
        <v>10688.86602</v>
      </c>
      <c r="C70" s="59">
        <f>IF(OR(8928.47816="",10688.86602=""),"-",10688.86602/8928.47816*100)</f>
        <v>119.71654999265853</v>
      </c>
      <c r="D70" s="59">
        <f>IF(8928.47816="","-",8928.47816/857110.78655*100)</f>
        <v>1.041694761063324</v>
      </c>
      <c r="E70" s="59">
        <f>IF(10688.86602="","-",10688.86602/1101136.29843*100)</f>
        <v>0.9707123482569946</v>
      </c>
      <c r="F70" s="59">
        <f>IF(OR(747953.45327="",9995.38684="",8928.47816=""),"-",(8928.47816-9995.38684)/747953.45327*100)</f>
        <v>-0.14264372673667708</v>
      </c>
      <c r="G70" s="59">
        <f>IF(OR(857110.78655="",10688.86602="",8928.47816=""),"-",(10688.86602-8928.47816)/857110.78655*100)</f>
        <v>0.20538626833595516</v>
      </c>
    </row>
    <row r="71" spans="1:7" ht="25.5">
      <c r="A71" s="9" t="s">
        <v>99</v>
      </c>
      <c r="B71" s="51">
        <f>IF(1348.66923="","-",1348.66923)</f>
        <v>1348.66923</v>
      </c>
      <c r="C71" s="59">
        <f>IF(OR(985.09292="",1348.66923=""),"-",1348.66923/985.09292*100)</f>
        <v>136.90781880759025</v>
      </c>
      <c r="D71" s="59">
        <f>IF(985.09292="","-",985.09292/857110.78655*100)</f>
        <v>0.11493180758640868</v>
      </c>
      <c r="E71" s="59">
        <f>IF(1348.66923="","-",1348.66923/1101136.29843*100)</f>
        <v>0.12247977220648637</v>
      </c>
      <c r="F71" s="59">
        <f>IF(OR(747953.45327="",569.87974="",985.09292=""),"-",(985.09292-569.87974)/747953.45327*100)</f>
        <v>0.05551323791403291</v>
      </c>
      <c r="G71" s="59">
        <f>IF(OR(857110.78655="",1348.66923="",985.09292=""),"-",(1348.66923-985.09292)/857110.78655*100)</f>
        <v>0.042418823296279974</v>
      </c>
    </row>
    <row r="72" spans="1:7" ht="15.75">
      <c r="A72" s="9" t="s">
        <v>100</v>
      </c>
      <c r="B72" s="51">
        <f>IF(20949.54057="","-",20949.54057)</f>
        <v>20949.54057</v>
      </c>
      <c r="C72" s="59">
        <f>IF(OR(15646.90013="",20949.54057=""),"-",20949.54057/15646.90013*100)</f>
        <v>133.8893991521885</v>
      </c>
      <c r="D72" s="59">
        <f>IF(15646.90013="","-",15646.90013/857110.78655*100)</f>
        <v>1.8255399856745624</v>
      </c>
      <c r="E72" s="59">
        <f>IF(20949.54057="","-",20949.54057/1101136.29843*100)</f>
        <v>1.902538368762328</v>
      </c>
      <c r="F72" s="59">
        <f>IF(OR(747953.45327="",10880.0348="",15646.90013=""),"-",(15646.90013-10880.0348)/747953.45327*100)</f>
        <v>0.637321120607118</v>
      </c>
      <c r="G72" s="59">
        <f>IF(OR(857110.78655="",20949.54057="",15646.90013=""),"-",(20949.54057-15646.90013)/857110.78655*100)</f>
        <v>0.6186645324280572</v>
      </c>
    </row>
    <row r="73" spans="1:7" ht="25.5">
      <c r="A73" s="78" t="s">
        <v>303</v>
      </c>
      <c r="B73" s="79">
        <f>IF(436.55828="","-",436.55828)</f>
        <v>436.55828</v>
      </c>
      <c r="C73" s="80" t="s">
        <v>204</v>
      </c>
      <c r="D73" s="80">
        <f>IF(93.41765="","-",93.41765/857110.78655*100)</f>
        <v>0.01089913363195674</v>
      </c>
      <c r="E73" s="80">
        <f>IF(436.55828="","-",436.55828/1101136.29843*100)</f>
        <v>0.039646161934943455</v>
      </c>
      <c r="F73" s="80">
        <f>IF(747953.45327="","-",(93.41765-27.75837)/747953.45327*100)</f>
        <v>0.00877852488185491</v>
      </c>
      <c r="G73" s="80">
        <f>IF(857110.78655="","-",(436.55828-93.41765)/857110.78655*100)</f>
        <v>0.040034571421180304</v>
      </c>
    </row>
    <row r="74" spans="1:7" s="1" customFormat="1" ht="15.75">
      <c r="A74" s="77" t="s">
        <v>23</v>
      </c>
      <c r="B74" s="75"/>
      <c r="C74" s="76"/>
      <c r="D74" s="76"/>
      <c r="E74" s="76"/>
      <c r="F74" s="76"/>
      <c r="G74" s="76"/>
    </row>
    <row r="75" spans="1:7" s="1" customFormat="1" ht="15.75">
      <c r="A75" s="120"/>
      <c r="B75" s="120"/>
      <c r="C75" s="120"/>
      <c r="D75" s="120"/>
      <c r="E75" s="120"/>
      <c r="F75" s="120"/>
      <c r="G75" s="120"/>
    </row>
    <row r="76" spans="2:7" ht="15.75">
      <c r="B76" s="16"/>
      <c r="C76" s="17"/>
      <c r="D76" s="17"/>
      <c r="E76" s="17"/>
      <c r="F76" s="17"/>
      <c r="G76" s="17"/>
    </row>
  </sheetData>
  <sheetProtection/>
  <mergeCells count="11">
    <mergeCell ref="A75:G75"/>
    <mergeCell ref="A1:G1"/>
    <mergeCell ref="A2:G2"/>
    <mergeCell ref="A4:A6"/>
    <mergeCell ref="B4:C4"/>
    <mergeCell ref="D4:E4"/>
    <mergeCell ref="F4:G4"/>
    <mergeCell ref="B5:B6"/>
    <mergeCell ref="C5:C6"/>
    <mergeCell ref="D5:E5"/>
    <mergeCell ref="F5:G5"/>
  </mergeCells>
  <printOptions/>
  <pageMargins left="0.5905511811023623" right="0.3937007874015748" top="0.3937007874015748" bottom="0.3937007874015748" header="0.11811023622047245" footer="0.118110236220472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N82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:G2"/>
    </sheetView>
  </sheetViews>
  <sheetFormatPr defaultColWidth="9.00390625" defaultRowHeight="15.75"/>
  <cols>
    <col min="1" max="1" width="27.375" style="0" customWidth="1"/>
    <col min="2" max="2" width="11.50390625" style="0" customWidth="1"/>
    <col min="3" max="3" width="11.25390625" style="0" customWidth="1"/>
    <col min="4" max="5" width="8.125" style="0" customWidth="1"/>
    <col min="6" max="6" width="10.125" style="0" customWidth="1"/>
    <col min="7" max="7" width="9.50390625" style="0" customWidth="1"/>
    <col min="8" max="8" width="13.00390625" style="0" customWidth="1"/>
  </cols>
  <sheetData>
    <row r="1" spans="1:7" ht="15.75">
      <c r="A1" s="112" t="s">
        <v>250</v>
      </c>
      <c r="B1" s="112"/>
      <c r="C1" s="112"/>
      <c r="D1" s="112"/>
      <c r="E1" s="112"/>
      <c r="F1" s="112"/>
      <c r="G1" s="112"/>
    </row>
    <row r="2" spans="1:7" ht="15.75">
      <c r="A2" s="112" t="s">
        <v>28</v>
      </c>
      <c r="B2" s="112"/>
      <c r="C2" s="112"/>
      <c r="D2" s="112"/>
      <c r="E2" s="112"/>
      <c r="F2" s="112"/>
      <c r="G2" s="112"/>
    </row>
    <row r="3" ht="15.75">
      <c r="A3" s="5"/>
    </row>
    <row r="4" spans="1:7" ht="57" customHeight="1">
      <c r="A4" s="121"/>
      <c r="B4" s="124" t="s">
        <v>252</v>
      </c>
      <c r="C4" s="118"/>
      <c r="D4" s="124" t="s">
        <v>0</v>
      </c>
      <c r="E4" s="118"/>
      <c r="F4" s="115" t="s">
        <v>213</v>
      </c>
      <c r="G4" s="125"/>
    </row>
    <row r="5" spans="1:7" ht="26.25" customHeight="1">
      <c r="A5" s="122"/>
      <c r="B5" s="126" t="s">
        <v>198</v>
      </c>
      <c r="C5" s="113" t="s">
        <v>253</v>
      </c>
      <c r="D5" s="128" t="s">
        <v>254</v>
      </c>
      <c r="E5" s="128"/>
      <c r="F5" s="128" t="s">
        <v>254</v>
      </c>
      <c r="G5" s="124"/>
    </row>
    <row r="6" spans="1:14" ht="26.25" customHeight="1">
      <c r="A6" s="123"/>
      <c r="B6" s="127"/>
      <c r="C6" s="114"/>
      <c r="D6" s="42">
        <v>2017</v>
      </c>
      <c r="E6" s="42">
        <v>2018</v>
      </c>
      <c r="F6" s="42" t="s">
        <v>167</v>
      </c>
      <c r="G6" s="38" t="s">
        <v>197</v>
      </c>
      <c r="H6" s="1"/>
      <c r="I6" s="1"/>
      <c r="J6" s="1"/>
      <c r="K6" s="1"/>
      <c r="L6" s="1"/>
      <c r="M6" s="1"/>
      <c r="N6" s="1"/>
    </row>
    <row r="7" spans="1:14" ht="15.75">
      <c r="A7" s="91" t="s">
        <v>175</v>
      </c>
      <c r="B7" s="89">
        <f>IF(2276281.23687="","-",2276281.23687)</f>
        <v>2276281.23687</v>
      </c>
      <c r="C7" s="92">
        <f>IF(1792621.32665="","-",2276281.23687/1792621.32665*100)</f>
        <v>126.98059556860512</v>
      </c>
      <c r="D7" s="92">
        <v>100</v>
      </c>
      <c r="E7" s="92">
        <v>100</v>
      </c>
      <c r="F7" s="92">
        <f>IF(1543712.83473="","-",(1792621.32665-1543712.83473)/1543712.83473*100)</f>
        <v>16.124015187289338</v>
      </c>
      <c r="G7" s="92">
        <f>IF(1792621.32665="","-",(2276281.23687-1792621.32665)/1792621.32665*100)</f>
        <v>26.98059556860512</v>
      </c>
      <c r="H7" s="50"/>
      <c r="I7" s="50"/>
      <c r="J7" s="50"/>
      <c r="K7" s="50"/>
      <c r="L7" s="50"/>
      <c r="M7" s="50"/>
      <c r="N7" s="1"/>
    </row>
    <row r="8" spans="1:14" ht="12" customHeight="1">
      <c r="A8" s="7" t="s">
        <v>103</v>
      </c>
      <c r="B8" s="48"/>
      <c r="C8" s="48"/>
      <c r="D8" s="48"/>
      <c r="E8" s="48"/>
      <c r="F8" s="48"/>
      <c r="G8" s="48"/>
      <c r="H8" s="1"/>
      <c r="I8" s="1"/>
      <c r="J8" s="1"/>
      <c r="K8" s="1"/>
      <c r="L8" s="1"/>
      <c r="M8" s="1"/>
      <c r="N8" s="1"/>
    </row>
    <row r="9" spans="1:7" ht="12.75" customHeight="1">
      <c r="A9" s="8" t="s">
        <v>29</v>
      </c>
      <c r="B9" s="46">
        <f>IF(243837.78379="","-",243837.78379)</f>
        <v>243837.78379</v>
      </c>
      <c r="C9" s="74">
        <f>IF(201595.55279="","-",243837.78379/201595.55279*100)</f>
        <v>120.953949834401</v>
      </c>
      <c r="D9" s="74">
        <f>IF(201595.55279="","-",201595.55279/1792621.32665*100)</f>
        <v>11.245852640096391</v>
      </c>
      <c r="E9" s="74">
        <f>IF(243837.78379="","-",243837.78379/2276281.23687*100)</f>
        <v>10.712111484312416</v>
      </c>
      <c r="F9" s="74">
        <f>IF(1543712.83473="","-",(201595.55279-178184.74234)/1543712.83473*100)</f>
        <v>1.5165262556163568</v>
      </c>
      <c r="G9" s="74">
        <f>IF(1792621.32665="","-",(243837.78379-201595.55279)/1792621.32665*100)</f>
        <v>2.3564503206564593</v>
      </c>
    </row>
    <row r="10" spans="1:7" ht="14.25" customHeight="1">
      <c r="A10" s="12" t="s">
        <v>30</v>
      </c>
      <c r="B10" s="51">
        <f>IF(2319.07099="","-",2319.07099)</f>
        <v>2319.07099</v>
      </c>
      <c r="C10" s="59">
        <f>IF(OR(2413.18886="",2319.07099=""),"-",2319.07099/2413.18886*100)</f>
        <v>96.09985477887545</v>
      </c>
      <c r="D10" s="59">
        <f>IF(2413.18886="","-",2413.18886/1792621.32665*100)</f>
        <v>0.1346178818763525</v>
      </c>
      <c r="E10" s="59">
        <f>IF(2319.07099="","-",2319.07099/2276281.23687*100)</f>
        <v>0.10187980959632378</v>
      </c>
      <c r="F10" s="59">
        <f>IF(OR(1543712.83473="",2814.06178="",2413.18886=""),"-",(2413.18886-2814.06178)/1543712.83473*100)</f>
        <v>-0.02596810177264048</v>
      </c>
      <c r="G10" s="59">
        <f>IF(OR(1792621.32665="",2319.07099="",2413.18886=""),"-",(2319.07099-2413.18886)/1792621.32665*100)</f>
        <v>-0.005250292886779656</v>
      </c>
    </row>
    <row r="11" spans="1:7" s="14" customFormat="1" ht="13.5" customHeight="1">
      <c r="A11" s="12" t="s">
        <v>31</v>
      </c>
      <c r="B11" s="51">
        <f>IF(15779.47785="","-",15779.47785)</f>
        <v>15779.47785</v>
      </c>
      <c r="C11" s="59">
        <f>IF(OR(10528.07534="",15779.47785=""),"-",15779.47785/10528.07534*100)</f>
        <v>149.87998604120932</v>
      </c>
      <c r="D11" s="59">
        <f>IF(10528.07534="","-",10528.07534/1792621.32665*100)</f>
        <v>0.5873005739407646</v>
      </c>
      <c r="E11" s="59">
        <f>IF(15779.47785="","-",15779.47785/2276281.23687*100)</f>
        <v>0.6932130175486385</v>
      </c>
      <c r="F11" s="59">
        <f>IF(OR(1543712.83473="",7966.27242="",10528.07534=""),"-",(10528.07534-7966.27242)/1543712.83473*100)</f>
        <v>0.1659507430634316</v>
      </c>
      <c r="G11" s="59">
        <f>IF(OR(1792621.32665="",15779.47785="",10528.07534=""),"-",(15779.47785-10528.07534)/1792621.32665*100)</f>
        <v>0.29294544430159564</v>
      </c>
    </row>
    <row r="12" spans="1:7" s="14" customFormat="1" ht="13.5" customHeight="1">
      <c r="A12" s="12" t="s">
        <v>32</v>
      </c>
      <c r="B12" s="51">
        <f>IF(23218.63233="","-",23218.63233)</f>
        <v>23218.63233</v>
      </c>
      <c r="C12" s="59">
        <f>IF(OR(21062.28053="",23218.63233=""),"-",23218.63233/21062.28053*100)</f>
        <v>110.23797872660847</v>
      </c>
      <c r="D12" s="59">
        <f>IF(21062.28053="","-",21062.28053/1792621.32665*100)</f>
        <v>1.1749430968424657</v>
      </c>
      <c r="E12" s="59">
        <f>IF(23218.63233="","-",23218.63233/2276281.23687*100)</f>
        <v>1.0200247646871075</v>
      </c>
      <c r="F12" s="59">
        <f>IF(OR(1543712.83473="",14795.85135="",21062.28053=""),"-",(21062.28053-14795.85135)/1543712.83473*100)</f>
        <v>0.40593231066165336</v>
      </c>
      <c r="G12" s="59">
        <f>IF(OR(1792621.32665="",23218.63233="",21062.28053=""),"-",(23218.63233-21062.28053)/1792621.32665*100)</f>
        <v>0.12029042430448654</v>
      </c>
    </row>
    <row r="13" spans="1:7" s="14" customFormat="1" ht="14.25" customHeight="1">
      <c r="A13" s="34" t="s">
        <v>237</v>
      </c>
      <c r="B13" s="51">
        <f>IF(20406.8985="","-",20406.8985)</f>
        <v>20406.8985</v>
      </c>
      <c r="C13" s="59">
        <f>IF(OR(17314.47128="",20406.8985=""),"-",20406.8985/17314.47128*100)</f>
        <v>117.8603618325445</v>
      </c>
      <c r="D13" s="59">
        <f>IF(17314.47128="","-",17314.47128/1792621.32665*100)</f>
        <v>0.9658744444570899</v>
      </c>
      <c r="E13" s="59">
        <f>IF(20406.8985="","-",20406.8985/2276281.23687*100)</f>
        <v>0.8965016347479321</v>
      </c>
      <c r="F13" s="59">
        <f>IF(OR(1543712.83473="",15996.51348="",17314.47128=""),"-",(17314.47128-15996.51348)/1543712.83473*100)</f>
        <v>0.08537584001045873</v>
      </c>
      <c r="G13" s="59">
        <f>IF(OR(1792621.32665="",20406.8985="",17314.47128=""),"-",(20406.8985-17314.47128)/1792621.32665*100)</f>
        <v>0.1725086706281152</v>
      </c>
    </row>
    <row r="14" spans="1:7" s="14" customFormat="1" ht="15.75" customHeight="1">
      <c r="A14" s="12" t="s">
        <v>34</v>
      </c>
      <c r="B14" s="51">
        <f>IF(36800.9857199999="","-",36800.9857199999)</f>
        <v>36800.9857199999</v>
      </c>
      <c r="C14" s="59">
        <f>IF(OR(28990.59027="",36800.9857199999=""),"-",36800.9857199999/28990.59027*100)</f>
        <v>126.94113978797543</v>
      </c>
      <c r="D14" s="59">
        <f>IF(28990.59027="","-",28990.59027/1792621.32665*100)</f>
        <v>1.6172177491705286</v>
      </c>
      <c r="E14" s="59">
        <f>IF(36800.9857199999="","-",36800.9857199999/2276281.23687*100)</f>
        <v>1.6167152425595304</v>
      </c>
      <c r="F14" s="59">
        <f>IF(OR(1543712.83473="",27317.44408="",28990.59027=""),"-",(28990.59027-27317.44408)/1543712.83473*100)</f>
        <v>0.10838454875531547</v>
      </c>
      <c r="G14" s="59">
        <f>IF(OR(1792621.32665="",36800.9857199999="",28990.59027=""),"-",(36800.9857199999-28990.59027)/1792621.32665*100)</f>
        <v>0.43569689447998194</v>
      </c>
    </row>
    <row r="15" spans="1:7" s="14" customFormat="1" ht="14.25" customHeight="1">
      <c r="A15" s="12" t="s">
        <v>35</v>
      </c>
      <c r="B15" s="51">
        <f>IF(75248.6094="","-",75248.6094)</f>
        <v>75248.6094</v>
      </c>
      <c r="C15" s="59">
        <f>IF(OR(49946.48969="",75248.6094=""),"-",75248.6094/49946.48969*100)</f>
        <v>150.65845441199411</v>
      </c>
      <c r="D15" s="59">
        <f>IF(49946.48969="","-",49946.48969/1792621.32665*100)</f>
        <v>2.786226457728169</v>
      </c>
      <c r="E15" s="59">
        <f>IF(75248.6094="","-",75248.6094/2276281.23687*100)</f>
        <v>3.305769435742948</v>
      </c>
      <c r="F15" s="59">
        <f>IF(OR(1543712.83473="",49188.37291="",49946.48969=""),"-",(49946.48969-49188.37291)/1543712.83473*100)</f>
        <v>0.04910996157731634</v>
      </c>
      <c r="G15" s="59">
        <f>IF(OR(1792621.32665="",75248.6094="",49946.48969=""),"-",(75248.6094-49946.48969)/1792621.32665*100)</f>
        <v>1.4114592599031435</v>
      </c>
    </row>
    <row r="16" spans="1:7" s="14" customFormat="1" ht="14.25" customHeight="1">
      <c r="A16" s="12" t="s">
        <v>36</v>
      </c>
      <c r="B16" s="51">
        <f>IF(7261.36887="","-",7261.36887)</f>
        <v>7261.36887</v>
      </c>
      <c r="C16" s="59">
        <f>IF(OR(16155.94113="",7261.36887=""),"-",7261.36887/16155.94113*100)</f>
        <v>44.94550216277002</v>
      </c>
      <c r="D16" s="59">
        <f>IF(16155.94113="","-",16155.94113/1792621.32665*100)</f>
        <v>0.9012467323587946</v>
      </c>
      <c r="E16" s="59">
        <f>IF(7261.36887="","-",7261.36887/2276281.23687*100)</f>
        <v>0.3190013936935466</v>
      </c>
      <c r="F16" s="59">
        <f>IF(OR(1543712.83473="",7952.83748="",16155.94113=""),"-",(16155.94113-7952.83748)/1543712.83473*100)</f>
        <v>0.5313879282110617</v>
      </c>
      <c r="G16" s="59">
        <f>IF(OR(1792621.32665="",7261.36887="",16155.94113=""),"-",(7261.36887-16155.94113)/1792621.32665*100)</f>
        <v>-0.4961768627745785</v>
      </c>
    </row>
    <row r="17" spans="1:7" s="14" customFormat="1" ht="25.5">
      <c r="A17" s="12" t="s">
        <v>37</v>
      </c>
      <c r="B17" s="51">
        <f>IF(19932.12101="","-",19932.12101)</f>
        <v>19932.12101</v>
      </c>
      <c r="C17" s="59">
        <f>IF(OR(17067.49189="",19932.12101=""),"-",19932.12101/17067.49189*100)</f>
        <v>116.78412468839907</v>
      </c>
      <c r="D17" s="59">
        <f>IF(17067.49189="","-",17067.49189/1792621.32665*100)</f>
        <v>0.9520968894136302</v>
      </c>
      <c r="E17" s="59">
        <f>IF(19932.12101="","-",19932.12101/2276281.23687*100)</f>
        <v>0.8756440411294544</v>
      </c>
      <c r="F17" s="59">
        <f>IF(OR(1543712.83473="",16607.05297="",17067.49189=""),"-",(17067.49189-16607.05297)/1543712.83473*100)</f>
        <v>0.02982672098340963</v>
      </c>
      <c r="G17" s="59">
        <f>IF(OR(1792621.32665="",19932.12101="",17067.49189=""),"-",(19932.12101-17067.49189)/1792621.32665*100)</f>
        <v>0.15980112907355262</v>
      </c>
    </row>
    <row r="18" spans="1:7" s="14" customFormat="1" ht="25.5">
      <c r="A18" s="12" t="s">
        <v>38</v>
      </c>
      <c r="B18" s="51">
        <f>IF(15594.05306="","-",15594.05306)</f>
        <v>15594.05306</v>
      </c>
      <c r="C18" s="59">
        <f>IF(OR(11888.83075="",15594.05306=""),"-",15594.05306/11888.83075*100)</f>
        <v>131.16557370454618</v>
      </c>
      <c r="D18" s="59">
        <f>IF(11888.83075="","-",11888.83075/1792621.32665*100)</f>
        <v>0.6632092664108549</v>
      </c>
      <c r="E18" s="59">
        <f>IF(15594.05306="","-",15594.05306/2276281.23687*100)</f>
        <v>0.6850670649749149</v>
      </c>
      <c r="F18" s="59">
        <f>IF(OR(1543712.83473="",10988.51921="",11888.83075=""),"-",(11888.83075-10988.51921)/1543712.83473*100)</f>
        <v>0.0583211799335377</v>
      </c>
      <c r="G18" s="59">
        <f>IF(OR(1792621.32665="",15594.05306="",11888.83075=""),"-",(15594.05306-11888.83075)/1792621.32665*100)</f>
        <v>0.20669297273865506</v>
      </c>
    </row>
    <row r="19" spans="1:7" s="14" customFormat="1" ht="13.5" customHeight="1">
      <c r="A19" s="12" t="s">
        <v>39</v>
      </c>
      <c r="B19" s="51">
        <f>IF(27276.56606="","-",27276.56606)</f>
        <v>27276.56606</v>
      </c>
      <c r="C19" s="59">
        <f>IF(OR(26228.19305="",27276.56606=""),"-",27276.56606/26228.19305*100)</f>
        <v>103.99712251622304</v>
      </c>
      <c r="D19" s="59">
        <f>IF(26228.19305="","-",26228.19305/1792621.32665*100)</f>
        <v>1.463119547897743</v>
      </c>
      <c r="E19" s="59">
        <f>IF(27276.56606="","-",27276.56606/2276281.23687*100)</f>
        <v>1.1982950796320158</v>
      </c>
      <c r="F19" s="59">
        <f>IF(OR(1543712.83473="",24557.81666="",26228.19305=""),"-",(26228.19305-24557.81666)/1543712.83473*100)</f>
        <v>0.1082051241928137</v>
      </c>
      <c r="G19" s="59">
        <f>IF(OR(1792621.32665="",27276.56606="",26228.19305=""),"-",(27276.56606-26228.19305)/1792621.32665*100)</f>
        <v>0.05848268088828158</v>
      </c>
    </row>
    <row r="20" spans="1:7" s="14" customFormat="1" ht="13.5" customHeight="1">
      <c r="A20" s="13" t="s">
        <v>40</v>
      </c>
      <c r="B20" s="46">
        <f>IF(36830.32966="","-",36830.32966)</f>
        <v>36830.32966</v>
      </c>
      <c r="C20" s="74">
        <f>IF(37295.49493="","-",36830.32966/37295.49493*100)</f>
        <v>98.75275748217561</v>
      </c>
      <c r="D20" s="74">
        <f>IF(37295.49493="","-",37295.49493/1792621.32665*100)</f>
        <v>2.0805004590510348</v>
      </c>
      <c r="E20" s="74">
        <f>IF(36830.32966="","-",36830.32966/2276281.23687*100)</f>
        <v>1.6180043600694762</v>
      </c>
      <c r="F20" s="74">
        <f>IF(1543712.83473="","-",(37295.49493-42546.20209)/1543712.83473*100)</f>
        <v>-0.34013496823185785</v>
      </c>
      <c r="G20" s="74">
        <f>IF(1792621.32665="","-",(36830.32966-37295.49493)/1792621.32665*100)</f>
        <v>-0.02594888630881601</v>
      </c>
    </row>
    <row r="21" spans="1:7" s="14" customFormat="1" ht="15" customHeight="1">
      <c r="A21" s="12" t="s">
        <v>41</v>
      </c>
      <c r="B21" s="51">
        <f>IF(22138.59626="","-",22138.59626)</f>
        <v>22138.59626</v>
      </c>
      <c r="C21" s="59">
        <f>IF(OR(17670.22549="",22138.59626=""),"-",22138.59626/17670.22549*100)</f>
        <v>125.28757073603138</v>
      </c>
      <c r="D21" s="59">
        <f>IF(17670.22549="","-",17670.22549/1792621.32665*100)</f>
        <v>0.9857199190540492</v>
      </c>
      <c r="E21" s="59">
        <f>IF(22138.59626="","-",22138.59626/2276281.23687*100)</f>
        <v>0.9725773731914458</v>
      </c>
      <c r="F21" s="59">
        <f>IF(OR(1543712.83473="",18169.82599="",17670.22549=""),"-",(17670.22549-18169.82599)/1543712.83473*100)</f>
        <v>-0.03236356456720023</v>
      </c>
      <c r="G21" s="59">
        <f>IF(OR(1792621.32665="",22138.59626="",17670.22549=""),"-",(22138.59626-17670.22549)/1792621.32665*100)</f>
        <v>0.2492646217899439</v>
      </c>
    </row>
    <row r="22" spans="1:7" s="14" customFormat="1" ht="14.25" customHeight="1">
      <c r="A22" s="12" t="s">
        <v>42</v>
      </c>
      <c r="B22" s="51">
        <f>IF(14691.7334="","-",14691.7334)</f>
        <v>14691.7334</v>
      </c>
      <c r="C22" s="59">
        <f>IF(OR(19625.26944="",14691.7334=""),"-",14691.7334/19625.26944*100)</f>
        <v>74.86130799333371</v>
      </c>
      <c r="D22" s="59">
        <f>IF(19625.26944="","-",19625.26944/1792621.32665*100)</f>
        <v>1.0947805399969857</v>
      </c>
      <c r="E22" s="59">
        <f>IF(14691.7334="","-",14691.7334/2276281.23687*100)</f>
        <v>0.6454269868780301</v>
      </c>
      <c r="F22" s="59">
        <f>IF(OR(1543712.83473="",24376.3761="",19625.26944=""),"-",(19625.26944-24376.3761)/1543712.83473*100)</f>
        <v>-0.3077714036646579</v>
      </c>
      <c r="G22" s="59">
        <f>IF(OR(1792621.32665="",14691.7334="",19625.26944=""),"-",(14691.7334-19625.26944)/1792621.32665*100)</f>
        <v>-0.2752135080987602</v>
      </c>
    </row>
    <row r="23" spans="1:7" s="14" customFormat="1" ht="25.5">
      <c r="A23" s="13" t="s">
        <v>43</v>
      </c>
      <c r="B23" s="46">
        <f>IF(69297.96269="","-",69297.96269)</f>
        <v>69297.96269</v>
      </c>
      <c r="C23" s="74">
        <f>IF(53731.68207="","-",69297.96269/53731.68207*100)</f>
        <v>128.97039515666143</v>
      </c>
      <c r="D23" s="74">
        <f>IF(53731.68207="","-",53731.68207/1792621.32665*100)</f>
        <v>2.9973804992274777</v>
      </c>
      <c r="E23" s="74">
        <f>IF(69297.96269="","-",69297.96269/2276281.23687*100)</f>
        <v>3.0443497739887424</v>
      </c>
      <c r="F23" s="74">
        <f>IF(1543712.83473="","-",(53731.68207-48563.88198)/1543712.83473*100)</f>
        <v>0.33476434047423514</v>
      </c>
      <c r="G23" s="74">
        <f>IF(1792621.32665="","-",(69297.96269-53731.68207)/1792621.32665*100)</f>
        <v>0.8683529749749114</v>
      </c>
    </row>
    <row r="24" spans="1:7" s="14" customFormat="1" ht="14.25" customHeight="1">
      <c r="A24" s="12" t="s">
        <v>44</v>
      </c>
      <c r="B24" s="51">
        <f>IF(39.57298="","-",39.57298)</f>
        <v>39.57298</v>
      </c>
      <c r="C24" s="59">
        <f>IF(OR(3.79259="",39.57298=""),"-",39.57298/3.79259*100)</f>
        <v>1043.4288968752226</v>
      </c>
      <c r="D24" s="59">
        <f>IF(3.79259="","-",3.79259/1792621.32665*100)</f>
        <v>0.0002115667120332371</v>
      </c>
      <c r="E24" s="59">
        <f>IF(39.57298="","-",39.57298/2276281.23687*100)</f>
        <v>0.0017384925622993235</v>
      </c>
      <c r="F24" s="59">
        <f>IF(OR(1543712.83473="",40.49872="",3.79259=""),"-",(3.79259-40.49872)/1543712.83473*100)</f>
        <v>-0.0023777822645634746</v>
      </c>
      <c r="G24" s="59">
        <f>IF(OR(1792621.32665="",39.57298="",3.79259=""),"-",(39.57298-3.79259)/1792621.32665*100)</f>
        <v>0.0019959814974903475</v>
      </c>
    </row>
    <row r="25" spans="1:7" s="14" customFormat="1" ht="15.75">
      <c r="A25" s="12" t="s">
        <v>45</v>
      </c>
      <c r="B25" s="51">
        <f>IF(27758.92577="","-",27758.92577)</f>
        <v>27758.92577</v>
      </c>
      <c r="C25" s="59">
        <f>IF(OR(21167.24409="",27758.92577=""),"-",27758.92577/21167.24409*100)</f>
        <v>131.1409536922858</v>
      </c>
      <c r="D25" s="59">
        <f>IF(21167.24409="","-",21167.24409/1792621.32665*100)</f>
        <v>1.180798408192362</v>
      </c>
      <c r="E25" s="59">
        <f>IF(27758.92577="","-",27758.92577/2276281.23687*100)</f>
        <v>1.219485770052294</v>
      </c>
      <c r="F25" s="59">
        <f>IF(OR(1543712.83473="",19502.68522="",21167.24409=""),"-",(21167.24409-19502.68522)/1543712.83473*100)</f>
        <v>0.10782827171940544</v>
      </c>
      <c r="G25" s="59">
        <f>IF(OR(1792621.32665="",27758.92577="",21167.24409=""),"-",(27758.92577-21167.24409)/1792621.32665*100)</f>
        <v>0.3677118854944312</v>
      </c>
    </row>
    <row r="26" spans="1:7" s="14" customFormat="1" ht="13.5" customHeight="1">
      <c r="A26" s="34" t="s">
        <v>238</v>
      </c>
      <c r="B26" s="51">
        <f>IF(305.56203="","-",305.56203)</f>
        <v>305.56203</v>
      </c>
      <c r="C26" s="59">
        <f>IF(OR(266.87154="",305.56203=""),"-",305.56203/266.87154*100)</f>
        <v>114.49779545619589</v>
      </c>
      <c r="D26" s="59">
        <f>IF(266.87154="","-",266.87154/1792621.32665*100)</f>
        <v>0.014887223309940308</v>
      </c>
      <c r="E26" s="59">
        <f>IF(305.56203="","-",305.56203/2276281.23687*100)</f>
        <v>0.013423738027211566</v>
      </c>
      <c r="F26" s="59">
        <f>IF(OR(1543712.83473="",250.92004="",266.87154=""),"-",(266.87154-250.92004)/1543712.83473*100)</f>
        <v>0.0010333204234056878</v>
      </c>
      <c r="G26" s="59">
        <f>IF(OR(1792621.32665="",305.56203="",266.87154=""),"-",(305.56203-266.87154)/1792621.32665*100)</f>
        <v>0.0021583191845822624</v>
      </c>
    </row>
    <row r="27" spans="1:7" s="14" customFormat="1" ht="15" customHeight="1">
      <c r="A27" s="12" t="s">
        <v>47</v>
      </c>
      <c r="B27" s="51">
        <f>IF(11313.24335="","-",11313.24335)</f>
        <v>11313.24335</v>
      </c>
      <c r="C27" s="59">
        <f>IF(OR(10493.49245="",11313.24335=""),"-",11313.24335/10493.49245*100)</f>
        <v>107.81199304145876</v>
      </c>
      <c r="D27" s="59">
        <f>IF(10493.49245="","-",10493.49245/1792621.32665*100)</f>
        <v>0.5853713940584396</v>
      </c>
      <c r="E27" s="59">
        <f>IF(11313.24335="","-",11313.24335/2276281.23687*100)</f>
        <v>0.4970055178926956</v>
      </c>
      <c r="F27" s="59">
        <f>IF(OR(1543712.83473="",8899.75312="",10493.49245=""),"-",(10493.49245-8899.75312)/1543712.83473*100)</f>
        <v>0.103240660707388</v>
      </c>
      <c r="G27" s="59">
        <f>IF(OR(1792621.32665="",11313.24335="",10493.49245=""),"-",(11313.24335-10493.49245)/1792621.32665*100)</f>
        <v>0.04572917257053548</v>
      </c>
    </row>
    <row r="28" spans="1:7" s="14" customFormat="1" ht="15.75">
      <c r="A28" s="12" t="s">
        <v>48</v>
      </c>
      <c r="B28" s="51">
        <f>IF(185.03386="","-",185.03386)</f>
        <v>185.03386</v>
      </c>
      <c r="C28" s="59">
        <f>IF(OR(192.71381="",185.03386=""),"-",185.03386/192.71381*100)</f>
        <v>96.01484190468759</v>
      </c>
      <c r="D28" s="59">
        <f>IF(192.71381="","-",192.71381/1792621.32665*100)</f>
        <v>0.01075039145942429</v>
      </c>
      <c r="E28" s="59">
        <f>IF(185.03386="","-",185.03386/2276281.23687*100)</f>
        <v>0.008128778509567242</v>
      </c>
      <c r="F28" s="59">
        <f>IF(OR(1543712.83473="",236.08445="",192.71381=""),"-",(192.71381-236.08445)/1543712.83473*100)</f>
        <v>-0.0028095018078660764</v>
      </c>
      <c r="G28" s="59">
        <f>IF(OR(1792621.32665="",185.03386="",192.71381=""),"-",(185.03386-192.71381)/1792621.32665*100)</f>
        <v>-0.00042842009552302183</v>
      </c>
    </row>
    <row r="29" spans="1:7" s="14" customFormat="1" ht="38.25">
      <c r="A29" s="12" t="s">
        <v>49</v>
      </c>
      <c r="B29" s="51">
        <f>IF(3630.26961="","-",3630.26961)</f>
        <v>3630.26961</v>
      </c>
      <c r="C29" s="59">
        <f>IF(OR(3228.17037="",3630.26961=""),"-",3630.26961/3228.17037*100)</f>
        <v>112.45594853780905</v>
      </c>
      <c r="D29" s="59">
        <f>IF(3228.17037="","-",3228.17037/1792621.32665*100)</f>
        <v>0.1800809976992025</v>
      </c>
      <c r="E29" s="59">
        <f>IF(3630.26961="","-",3630.26961/2276281.23687*100)</f>
        <v>0.15948247304413934</v>
      </c>
      <c r="F29" s="59">
        <f>IF(OR(1543712.83473="",2953.1892="",3228.17037=""),"-",(3228.17037-2953.1892)/1543712.83473*100)</f>
        <v>0.01781297426655749</v>
      </c>
      <c r="G29" s="59">
        <f>IF(OR(1792621.32665="",3630.26961="",3228.17037=""),"-",(3630.26961-3228.17037)/1792621.32665*100)</f>
        <v>0.022430796399785763</v>
      </c>
    </row>
    <row r="30" spans="1:7" s="14" customFormat="1" ht="14.25" customHeight="1">
      <c r="A30" s="12" t="s">
        <v>50</v>
      </c>
      <c r="B30" s="51">
        <f>IF(5149.18454="","-",5149.18454)</f>
        <v>5149.18454</v>
      </c>
      <c r="C30" s="59">
        <f>IF(OR(3581.24227="",5149.18454=""),"-",5149.18454/3581.24227*100)</f>
        <v>143.78207760850538</v>
      </c>
      <c r="D30" s="59">
        <f>IF(3581.24227="","-",3581.24227/1792621.32665*100)</f>
        <v>0.19977684169877216</v>
      </c>
      <c r="E30" s="59">
        <f>IF(5149.18454="","-",5149.18454/2276281.23687*100)</f>
        <v>0.22621038457797885</v>
      </c>
      <c r="F30" s="59">
        <f>IF(OR(1543712.83473="",3827.31339="",3581.24227=""),"-",(3581.24227-3827.31339)/1543712.83473*100)</f>
        <v>-0.015940213390985905</v>
      </c>
      <c r="G30" s="59">
        <f>IF(OR(1792621.32665="",5149.18454="",3581.24227=""),"-",(5149.18454-3581.24227)/1792621.32665*100)</f>
        <v>0.08746645187637739</v>
      </c>
    </row>
    <row r="31" spans="1:7" s="14" customFormat="1" ht="13.5" customHeight="1">
      <c r="A31" s="12" t="s">
        <v>51</v>
      </c>
      <c r="B31" s="51">
        <f>IF(436.40621="","-",436.40621)</f>
        <v>436.40621</v>
      </c>
      <c r="C31" s="59">
        <f>IF(OR(494.11286="",436.40621=""),"-",436.40621/494.11286*100)</f>
        <v>88.32116006857218</v>
      </c>
      <c r="D31" s="59">
        <f>IF(494.11286="","-",494.11286/1792621.32665*100)</f>
        <v>0.027563705321044248</v>
      </c>
      <c r="E31" s="59">
        <f>IF(436.40621="","-",436.40621/2276281.23687*100)</f>
        <v>0.019171893302607906</v>
      </c>
      <c r="F31" s="59">
        <f>IF(OR(1543712.83473="",310.02325="",494.11286=""),"-",(494.11286-310.02325)/1543712.83473*100)</f>
        <v>0.011925120129755079</v>
      </c>
      <c r="G31" s="59">
        <f>IF(OR(1792621.32665="",436.40621="",494.11286=""),"-",(436.40621-494.11286)/1792621.32665*100)</f>
        <v>-0.0032191210236152093</v>
      </c>
    </row>
    <row r="32" spans="1:7" s="14" customFormat="1" ht="25.5">
      <c r="A32" s="12" t="s">
        <v>52</v>
      </c>
      <c r="B32" s="51">
        <f>IF(20479.76434="","-",20479.76434)</f>
        <v>20479.76434</v>
      </c>
      <c r="C32" s="59">
        <f>IF(OR(14304.04209="",20479.76434=""),"-",20479.76434/14304.04209*100)</f>
        <v>143.17466497331876</v>
      </c>
      <c r="D32" s="59">
        <f>IF(14304.04209="","-",14304.04209/1792621.32665*100)</f>
        <v>0.7979399707762593</v>
      </c>
      <c r="E32" s="59">
        <f>IF(20479.76434="","-",20479.76434/2276281.23687*100)</f>
        <v>0.8997027260199489</v>
      </c>
      <c r="F32" s="59">
        <f>IF(OR(1543712.83473="",12543.41459="",14304.04209=""),"-",(14304.04209-12543.41459)/1543712.83473*100)</f>
        <v>0.11405149069113878</v>
      </c>
      <c r="G32" s="59">
        <f>IF(OR(1792621.32665="",20479.76434="",14304.04209=""),"-",(20479.76434-14304.04209)/1792621.32665*100)</f>
        <v>0.34450790907084744</v>
      </c>
    </row>
    <row r="33" spans="1:7" s="14" customFormat="1" ht="14.25" customHeight="1">
      <c r="A33" s="13" t="s">
        <v>53</v>
      </c>
      <c r="B33" s="46">
        <f>IF(365407.94114="","-",365407.94114)</f>
        <v>365407.94114</v>
      </c>
      <c r="C33" s="74">
        <f>IF(298255.01791="","-",365407.94114/298255.01791*100)</f>
        <v>122.51527022095694</v>
      </c>
      <c r="D33" s="74">
        <f>IF(298255.01791="","-",298255.01791/1792621.32665*100)</f>
        <v>16.63792645306583</v>
      </c>
      <c r="E33" s="74">
        <f>IF(365407.94114="","-",365407.94114/2276281.23687*100)</f>
        <v>16.052846863617525</v>
      </c>
      <c r="F33" s="74">
        <f>IF(1543712.83473="","-",(298255.01791-245007.42767)/1543712.83473*100)</f>
        <v>3.4493196559652337</v>
      </c>
      <c r="G33" s="74">
        <f>IF(1792621.32665="","-",(365407.94114-298255.01791)/1792621.32665*100)</f>
        <v>3.7460741000718487</v>
      </c>
    </row>
    <row r="34" spans="1:7" s="14" customFormat="1" ht="15.75">
      <c r="A34" s="34" t="s">
        <v>239</v>
      </c>
      <c r="B34" s="51">
        <f>IF(4295.87789="","-",4295.87789)</f>
        <v>4295.87789</v>
      </c>
      <c r="C34" s="59">
        <f>IF(OR(7383.30819="",4295.87789=""),"-",4295.87789/7383.30819*100)</f>
        <v>58.18364585970236</v>
      </c>
      <c r="D34" s="59">
        <f>IF(7383.30819="","-",7383.30819/1792621.32665*100)</f>
        <v>0.4118721606306959</v>
      </c>
      <c r="E34" s="59">
        <f>IF(4295.87789="","-",4295.87789/2276281.23687*100)</f>
        <v>0.18872351185862454</v>
      </c>
      <c r="F34" s="59">
        <f>IF(OR(1543712.83473="",2173.26197="",7383.30819=""),"-",(7383.30819-2173.26197)/1543712.83473*100)</f>
        <v>0.3375009977753572</v>
      </c>
      <c r="G34" s="59">
        <f>IF(OR(1792621.32665="",4295.87789="",7383.30819=""),"-",(4295.87789-7383.30819)/1792621.32665*100)</f>
        <v>-0.17222992129462739</v>
      </c>
    </row>
    <row r="35" spans="1:7" s="14" customFormat="1" ht="25.5">
      <c r="A35" s="12" t="s">
        <v>55</v>
      </c>
      <c r="B35" s="51">
        <f>IF(215686.59107="","-",215686.59107)</f>
        <v>215686.59107</v>
      </c>
      <c r="C35" s="59">
        <f>IF(OR(165242.08109="",215686.59107=""),"-",215686.59107/165242.08109*100)</f>
        <v>130.52764141388727</v>
      </c>
      <c r="D35" s="59">
        <f>IF(165242.08109="","-",165242.08109/1792621.32665*100)</f>
        <v>9.217902221368734</v>
      </c>
      <c r="E35" s="59">
        <f>IF(215686.59107="","-",215686.59107/2276281.23687*100)</f>
        <v>9.475392916148612</v>
      </c>
      <c r="F35" s="59">
        <f>IF(OR(1543712.83473="",123395.14862="",165242.08109=""),"-",(165242.08109-123395.14862)/1543712.83473*100)</f>
        <v>2.710797729249893</v>
      </c>
      <c r="G35" s="59">
        <f>IF(OR(1792621.32665="",215686.59107="",165242.08109=""),"-",(215686.59107-165242.08109)/1792621.32665*100)</f>
        <v>2.8140081360221947</v>
      </c>
    </row>
    <row r="36" spans="1:7" s="14" customFormat="1" ht="25.5">
      <c r="A36" s="34" t="s">
        <v>240</v>
      </c>
      <c r="B36" s="51">
        <f>IF(127750.19282="","-",127750.19282)</f>
        <v>127750.19282</v>
      </c>
      <c r="C36" s="59">
        <f>IF(OR(97485.80188="",127750.19282=""),"-",127750.19282/97485.80188*100)</f>
        <v>131.04492177974174</v>
      </c>
      <c r="D36" s="59">
        <f>IF(97485.80188="","-",97485.80188/1792621.32665*100)</f>
        <v>5.438170372667535</v>
      </c>
      <c r="E36" s="59">
        <f>IF(127750.19282="","-",127750.19282/2276281.23687*100)</f>
        <v>5.612232388106088</v>
      </c>
      <c r="F36" s="59">
        <f>IF(OR(1543712.83473="",119187.0907="",97485.80188=""),"-",(97485.80188-119187.0907)/1543712.83473*100)</f>
        <v>-1.4057853463267747</v>
      </c>
      <c r="G36" s="59">
        <f>IF(OR(1792621.32665="",127750.19282="",97485.80188=""),"-",(127750.19282-97485.80188)/1792621.32665*100)</f>
        <v>1.6882757384437255</v>
      </c>
    </row>
    <row r="37" spans="1:7" s="14" customFormat="1" ht="13.5" customHeight="1">
      <c r="A37" s="34" t="s">
        <v>57</v>
      </c>
      <c r="B37" s="51">
        <f>IF(17675.27936="","-",17675.27936)</f>
        <v>17675.27936</v>
      </c>
      <c r="C37" s="59">
        <f>IF(OR(28143.82675="",17675.27936=""),"-",17675.27936/28143.82675*100)</f>
        <v>62.80339740934484</v>
      </c>
      <c r="D37" s="59">
        <f>IF(28143.82675="","-",28143.82675/1792621.32665*100)</f>
        <v>1.5699816983988688</v>
      </c>
      <c r="E37" s="59">
        <f>IF(17675.27936="","-",17675.27936/2276281.23687*100)</f>
        <v>0.7764980475041998</v>
      </c>
      <c r="F37" s="59">
        <f>IF(OR(1543712.83473="",251.92638="",28143.82675=""),"-",(28143.82675-251.92638)/1543712.83473*100)</f>
        <v>1.806806275266758</v>
      </c>
      <c r="G37" s="59">
        <f>IF(OR(1792621.32665="",17675.27936="",28143.82675=""),"-",(17675.27936-28143.82675)/1792621.32665*100)</f>
        <v>-0.5839798530994454</v>
      </c>
    </row>
    <row r="38" spans="1:7" s="14" customFormat="1" ht="15" customHeight="1">
      <c r="A38" s="13" t="s">
        <v>58</v>
      </c>
      <c r="B38" s="46">
        <f>IF(4868.11239="","-",4868.11239)</f>
        <v>4868.11239</v>
      </c>
      <c r="C38" s="74">
        <f>IF(5437.7655="","-",4868.11239/5437.7655*100)</f>
        <v>89.52413247684183</v>
      </c>
      <c r="D38" s="74">
        <f>IF(5437.7655="","-",5437.7655/1792621.32665*100)</f>
        <v>0.30334156015882857</v>
      </c>
      <c r="E38" s="74">
        <f>IF(4868.11239="","-",4868.11239/2276281.23687*100)</f>
        <v>0.2138625188816254</v>
      </c>
      <c r="F38" s="74">
        <f>IF(1543712.83473="","-",(5437.7655-3682.96228)/1543712.83473*100)</f>
        <v>0.11367420031245129</v>
      </c>
      <c r="G38" s="74">
        <f>IF(1792621.32665="","-",(4868.11239-5437.7655)/1792621.32665*100)</f>
        <v>-0.03177765998492006</v>
      </c>
    </row>
    <row r="39" spans="1:7" s="14" customFormat="1" ht="15.75">
      <c r="A39" s="34" t="s">
        <v>241</v>
      </c>
      <c r="B39" s="51">
        <f>IF(583.69955="","-",583.69955)</f>
        <v>583.69955</v>
      </c>
      <c r="C39" s="59" t="s">
        <v>182</v>
      </c>
      <c r="D39" s="59">
        <f>IF(320.85497="","-",320.85497/1792621.32665*100)</f>
        <v>0.017898647373542336</v>
      </c>
      <c r="E39" s="59">
        <f>IF(583.69955="","-",583.69955/2276281.23687*100)</f>
        <v>0.025642681604783422</v>
      </c>
      <c r="F39" s="59">
        <f>IF(OR(1543712.83473="",258.77057="",320.85497=""),"-",(320.85497-258.77057)/1543712.83473*100)</f>
        <v>0.0040217583609621745</v>
      </c>
      <c r="G39" s="59">
        <f>IF(OR(1792621.32665="",583.69955="",320.85497=""),"-",(583.69955-320.85497)/1792621.32665*100)</f>
        <v>0.0146625824479728</v>
      </c>
    </row>
    <row r="40" spans="1:7" s="14" customFormat="1" ht="25.5">
      <c r="A40" s="12" t="s">
        <v>60</v>
      </c>
      <c r="B40" s="51">
        <f>IF(3133.09421="","-",3133.09421)</f>
        <v>3133.09421</v>
      </c>
      <c r="C40" s="59">
        <f>IF(OR(4104.54586="",3133.09421=""),"-",3133.09421/4104.54586*100)</f>
        <v>76.33229879419595</v>
      </c>
      <c r="D40" s="59">
        <f>IF(4104.54586="","-",4104.54586/1792621.32665*100)</f>
        <v>0.228968929409674</v>
      </c>
      <c r="E40" s="59">
        <f>IF(3133.09421="","-",3133.09421/2276281.23687*100)</f>
        <v>0.1376409100620695</v>
      </c>
      <c r="F40" s="59">
        <f>IF(OR(1543712.83473="",2630.37755="",4104.54586=""),"-",(4104.54586-2630.37755)/1543712.83473*100)</f>
        <v>0.09549498305867467</v>
      </c>
      <c r="G40" s="59">
        <f>IF(OR(1792621.32665="",3133.09421="",4104.54586=""),"-",(3133.09421-4104.54586)/1792621.32665*100)</f>
        <v>-0.05419168206681002</v>
      </c>
    </row>
    <row r="41" spans="1:7" s="14" customFormat="1" ht="27" customHeight="1">
      <c r="A41" s="34" t="s">
        <v>242</v>
      </c>
      <c r="B41" s="51">
        <f>IF(1151.31863="","-",1151.31863)</f>
        <v>1151.31863</v>
      </c>
      <c r="C41" s="59">
        <f>IF(OR(1012.36467="",1151.31863=""),"-",1151.31863/1012.36467*100)</f>
        <v>113.72568246578577</v>
      </c>
      <c r="D41" s="59">
        <f>IF(1012.36467="","-",1012.36467/1792621.32665*100)</f>
        <v>0.05647398337561221</v>
      </c>
      <c r="E41" s="59">
        <f>IF(1151.31863="","-",1151.31863/2276281.23687*100)</f>
        <v>0.050578927214772466</v>
      </c>
      <c r="F41" s="59">
        <f>IF(OR(1543712.83473="",793.81416="",1012.36467=""),"-",(1012.36467-793.81416)/1543712.83473*100)</f>
        <v>0.014157458892814426</v>
      </c>
      <c r="G41" s="59">
        <f>IF(OR(1792621.32665="",1151.31863="",1012.36467=""),"-",(1151.31863-1012.36467)/1792621.32665*100)</f>
        <v>0.007751439633917173</v>
      </c>
    </row>
    <row r="42" spans="1:7" s="14" customFormat="1" ht="14.25" customHeight="1">
      <c r="A42" s="13" t="s">
        <v>62</v>
      </c>
      <c r="B42" s="46">
        <f>IF(351129.83481="","-",351129.83481)</f>
        <v>351129.83481</v>
      </c>
      <c r="C42" s="74">
        <f>IF(295989.64928="","-",351129.83481/295989.64928*100)</f>
        <v>118.62909249162239</v>
      </c>
      <c r="D42" s="74">
        <f>IF(295989.64928="","-",295989.64928/1792621.32665*100)</f>
        <v>16.511554608866398</v>
      </c>
      <c r="E42" s="74">
        <f>IF(351129.83481="","-",351129.83481/2276281.23687*100)</f>
        <v>15.42559105274799</v>
      </c>
      <c r="F42" s="74">
        <f>IF(1543712.83473="","-",(295989.64928-254503.41663)/1543712.83473*100)</f>
        <v>2.687431996201294</v>
      </c>
      <c r="G42" s="74">
        <f>IF(1792621.32665="","-",(351129.83481-295989.64928)/1792621.32665*100)</f>
        <v>3.0759527798904625</v>
      </c>
    </row>
    <row r="43" spans="1:7" s="14" customFormat="1" ht="14.25" customHeight="1">
      <c r="A43" s="12" t="s">
        <v>63</v>
      </c>
      <c r="B43" s="51">
        <f>IF(9110.4292="","-",9110.4292)</f>
        <v>9110.4292</v>
      </c>
      <c r="C43" s="59">
        <f>IF(OR(7158.00535="",9110.4292=""),"-",9110.4292/7158.00535*100)</f>
        <v>127.27608816330375</v>
      </c>
      <c r="D43" s="59">
        <f>IF(7158.00535="","-",7158.00535/1792621.32665*100)</f>
        <v>0.399303815233342</v>
      </c>
      <c r="E43" s="59">
        <f>IF(9110.4292="","-",9110.4292/2276281.23687*100)</f>
        <v>0.40023302272294325</v>
      </c>
      <c r="F43" s="59">
        <f>IF(OR(1543712.83473="",5904.46952="",7158.00535=""),"-",(7158.00535-5904.46952)/1543712.83473*100)</f>
        <v>0.08120265646552378</v>
      </c>
      <c r="G43" s="59">
        <f>IF(OR(1792621.32665="",9110.4292="",7158.00535=""),"-",(9110.4292-7158.00535)/1792621.32665*100)</f>
        <v>0.10891446068248194</v>
      </c>
    </row>
    <row r="44" spans="1:7" s="14" customFormat="1" ht="15" customHeight="1">
      <c r="A44" s="12" t="s">
        <v>64</v>
      </c>
      <c r="B44" s="51">
        <f>IF(5498.66161="","-",5498.66161)</f>
        <v>5498.66161</v>
      </c>
      <c r="C44" s="59">
        <f>IF(OR(4484.77822="",5498.66161=""),"-",5498.66161/4484.77822*100)</f>
        <v>122.60721356250255</v>
      </c>
      <c r="D44" s="59">
        <f>IF(4484.77822="","-",4484.77822/1792621.32665*100)</f>
        <v>0.2501798987508994</v>
      </c>
      <c r="E44" s="59">
        <f>IF(5498.66161="","-",5498.66161/2276281.23687*100)</f>
        <v>0.2415633675196011</v>
      </c>
      <c r="F44" s="59">
        <f>IF(OR(1543712.83473="",5824.01177="",4484.77822=""),"-",(4484.77822-5824.01177)/1543712.83473*100)</f>
        <v>-0.08675405942545239</v>
      </c>
      <c r="G44" s="59">
        <f>IF(OR(1792621.32665="",5498.66161="",4484.77822=""),"-",(5498.66161-4484.77822)/1792621.32665*100)</f>
        <v>0.05655870400106845</v>
      </c>
    </row>
    <row r="45" spans="1:7" s="14" customFormat="1" ht="15" customHeight="1">
      <c r="A45" s="12" t="s">
        <v>65</v>
      </c>
      <c r="B45" s="51">
        <f>IF(12626.52341="","-",12626.52341)</f>
        <v>12626.52341</v>
      </c>
      <c r="C45" s="59">
        <f>IF(OR(11023.56883="",12626.52341=""),"-",12626.52341/11023.56883*100)</f>
        <v>114.54115817409016</v>
      </c>
      <c r="D45" s="59">
        <f>IF(11023.56883="","-",11023.56883/1792621.32665*100)</f>
        <v>0.6149412966429745</v>
      </c>
      <c r="E45" s="59">
        <f>IF(12626.52341="","-",12626.52341/2276281.23687*100)</f>
        <v>0.5546996217111598</v>
      </c>
      <c r="F45" s="59">
        <f>IF(OR(1543712.83473="",9515.97498="",11023.56883=""),"-",(11023.56883-9515.97498)/1543712.83473*100)</f>
        <v>0.0976602523528077</v>
      </c>
      <c r="G45" s="59">
        <f>IF(OR(1792621.32665="",12626.52341="",11023.56883=""),"-",(12626.52341-11023.56883)/1792621.32665*100)</f>
        <v>0.08941958662265588</v>
      </c>
    </row>
    <row r="46" spans="1:7" s="14" customFormat="1" ht="15.75">
      <c r="A46" s="12" t="s">
        <v>66</v>
      </c>
      <c r="B46" s="51">
        <f>IF(91834.64387="","-",91834.64387)</f>
        <v>91834.64387</v>
      </c>
      <c r="C46" s="59">
        <f>IF(OR(83114.33="",91834.64387=""),"-",91834.64387/83114.33*100)</f>
        <v>110.49194990803632</v>
      </c>
      <c r="D46" s="59">
        <f>IF(83114.33="","-",83114.33/1792621.32665*100)</f>
        <v>4.636468882991687</v>
      </c>
      <c r="E46" s="59">
        <f>IF(91834.64387="","-",91834.64387/2276281.23687*100)</f>
        <v>4.034415536292747</v>
      </c>
      <c r="F46" s="59">
        <f>IF(OR(1543712.83473="",57440.73862="",83114.33=""),"-",(83114.33-57440.73862)/1543712.83473*100)</f>
        <v>1.6631066868398743</v>
      </c>
      <c r="G46" s="59">
        <f>IF(OR(1792621.32665="",91834.64387="",83114.33=""),"-",(91834.64387-83114.33)/1792621.32665*100)</f>
        <v>0.48645599270517853</v>
      </c>
    </row>
    <row r="47" spans="1:7" s="14" customFormat="1" ht="38.25">
      <c r="A47" s="12" t="s">
        <v>67</v>
      </c>
      <c r="B47" s="51">
        <f>IF(46011.83708="","-",46011.83708)</f>
        <v>46011.83708</v>
      </c>
      <c r="C47" s="59">
        <f>IF(OR(42041.22327="",46011.83708=""),"-",46011.83708/42041.22327*100)</f>
        <v>109.44457249614182</v>
      </c>
      <c r="D47" s="59">
        <f>IF(42041.22327="","-",42041.22327/1792621.32665*100)</f>
        <v>2.3452372592579525</v>
      </c>
      <c r="E47" s="59">
        <f>IF(46011.83708="","-",46011.83708/2276281.23687*100)</f>
        <v>2.0213599415891403</v>
      </c>
      <c r="F47" s="59">
        <f>IF(OR(1543712.83473="",44053.59383="",42041.22327=""),"-",(42041.22327-44053.59383)/1543712.83473*100)</f>
        <v>-0.13035912604509536</v>
      </c>
      <c r="G47" s="59">
        <f>IF(OR(1792621.32665="",46011.83708="",42041.22327=""),"-",(46011.83708-42041.22327)/1792621.32665*100)</f>
        <v>0.22149763315714682</v>
      </c>
    </row>
    <row r="48" spans="1:7" s="14" customFormat="1" ht="14.25" customHeight="1">
      <c r="A48" s="34" t="s">
        <v>243</v>
      </c>
      <c r="B48" s="51">
        <f>IF(39687.44452="","-",39687.44452)</f>
        <v>39687.44452</v>
      </c>
      <c r="C48" s="59">
        <f>IF(OR(28676.11044="",39687.44452=""),"-",39687.44452/28676.11044*100)</f>
        <v>138.39898058364432</v>
      </c>
      <c r="D48" s="59">
        <f>IF(28676.11044="","-",28676.11044/1792621.32665*100)</f>
        <v>1.599674734071646</v>
      </c>
      <c r="E48" s="59">
        <f>IF(39687.44452="","-",39687.44452/2276281.23687*100)</f>
        <v>1.743521137773477</v>
      </c>
      <c r="F48" s="59">
        <f>IF(OR(1543712.83473="",24472.26146="",28676.11044=""),"-",(28676.11044-24472.26146)/1543712.83473*100)</f>
        <v>0.27232065999731514</v>
      </c>
      <c r="G48" s="59">
        <f>IF(OR(1792621.32665="",39687.44452="",28676.11044=""),"-",(39687.44452-28676.11044)/1792621.32665*100)</f>
        <v>0.614258790537635</v>
      </c>
    </row>
    <row r="49" spans="1:7" s="14" customFormat="1" ht="13.5" customHeight="1">
      <c r="A49" s="12" t="s">
        <v>69</v>
      </c>
      <c r="B49" s="51">
        <f>IF(21477.57715="","-",21477.57715)</f>
        <v>21477.57715</v>
      </c>
      <c r="C49" s="59">
        <f>IF(OR(18253.46673="",21477.57715=""),"-",21477.57715/18253.46673*100)</f>
        <v>117.66300324037131</v>
      </c>
      <c r="D49" s="59">
        <f>IF(18253.46673="","-",18253.46673/1792621.32665*100)</f>
        <v>1.0182555824052122</v>
      </c>
      <c r="E49" s="59">
        <f>IF(21477.57715="","-",21477.57715/2276281.23687*100)</f>
        <v>0.9435379425932771</v>
      </c>
      <c r="F49" s="59">
        <f>IF(OR(1543712.83473="",17186.91175="",18253.46673=""),"-",(18253.46673-17186.91175)/1543712.83473*100)</f>
        <v>0.069090245025173</v>
      </c>
      <c r="G49" s="59">
        <f>IF(OR(1792621.32665="",21477.57715="",18253.46673=""),"-",(21477.57715-18253.46673)/1792621.32665*100)</f>
        <v>0.1798545165154945</v>
      </c>
    </row>
    <row r="50" spans="1:7" s="14" customFormat="1" ht="16.5" customHeight="1">
      <c r="A50" s="12" t="s">
        <v>70</v>
      </c>
      <c r="B50" s="51">
        <f>IF(40774.73537="","-",40774.73537)</f>
        <v>40774.73537</v>
      </c>
      <c r="C50" s="59">
        <f>IF(OR(34570.00131="",40774.73537=""),"-",40774.73537/34570.00131*100)</f>
        <v>117.94831884546436</v>
      </c>
      <c r="D50" s="59">
        <f>IF(34570.00131="","-",34570.00131/1792621.32665*100)</f>
        <v>1.9284608966804742</v>
      </c>
      <c r="E50" s="59">
        <f>IF(40774.73537="","-",40774.73537/2276281.23687*100)</f>
        <v>1.79128724120519</v>
      </c>
      <c r="F50" s="59">
        <f>IF(OR(1543712.83473="",29777.94362="",34570.00131=""),"-",(34570.00131-29777.94362)/1543712.83473*100)</f>
        <v>0.3104241658286236</v>
      </c>
      <c r="G50" s="59">
        <f>IF(OR(1792621.32665="",40774.73537="",34570.00131=""),"-",(40774.73537-34570.00131)/1792621.32665*100)</f>
        <v>0.3461263105463123</v>
      </c>
    </row>
    <row r="51" spans="1:7" s="14" customFormat="1" ht="15" customHeight="1">
      <c r="A51" s="12" t="s">
        <v>71</v>
      </c>
      <c r="B51" s="51">
        <f>IF(84107.9826="","-",84107.9826)</f>
        <v>84107.9826</v>
      </c>
      <c r="C51" s="59">
        <f>IF(OR(66668.16513="",84107.9826=""),"-",84107.9826/66668.16513*100)</f>
        <v>126.15913822735804</v>
      </c>
      <c r="D51" s="59">
        <f>IF(66668.16513="","-",66668.16513/1792621.32665*100)</f>
        <v>3.719032242832209</v>
      </c>
      <c r="E51" s="59">
        <f>IF(84107.9826="","-",84107.9826/2276281.23687*100)</f>
        <v>3.694973241340453</v>
      </c>
      <c r="F51" s="59">
        <f>IF(OR(1543712.83473="",60327.51108="",66668.16513=""),"-",(66668.16513-60327.51108)/1543712.83473*100)</f>
        <v>0.4107405151625236</v>
      </c>
      <c r="G51" s="59">
        <f>IF(OR(1792621.32665="",84107.9826="",66668.16513=""),"-",(84107.9826-66668.16513)/1792621.32665*100)</f>
        <v>0.9728667851224914</v>
      </c>
    </row>
    <row r="52" spans="1:7" s="14" customFormat="1" ht="25.5">
      <c r="A52" s="13" t="s">
        <v>72</v>
      </c>
      <c r="B52" s="46">
        <f>IF(445464.65366="","-",445464.65366)</f>
        <v>445464.65366</v>
      </c>
      <c r="C52" s="74">
        <f>IF(341806.94671="","-",445464.65366/341806.94671*100)</f>
        <v>130.32638977871522</v>
      </c>
      <c r="D52" s="74">
        <f>IF(341806.94671="","-",341806.94671/1792621.32665*100)</f>
        <v>19.067437256743965</v>
      </c>
      <c r="E52" s="74">
        <f>IF(445464.65366="","-",445464.65366/2276281.23687*100)</f>
        <v>19.56984253283817</v>
      </c>
      <c r="F52" s="74">
        <f>IF(1543712.83473="","-",(341806.94671-324409.50666)/1543712.83473*100)</f>
        <v>1.1269868111864756</v>
      </c>
      <c r="G52" s="74">
        <f>IF(1792621.32665="","-",(445464.65366-341806.94671)/1792621.32665*100)</f>
        <v>5.782465343292139</v>
      </c>
    </row>
    <row r="53" spans="1:7" s="14" customFormat="1" ht="15" customHeight="1">
      <c r="A53" s="12" t="s">
        <v>73</v>
      </c>
      <c r="B53" s="51">
        <f>IF(25802.06296="","-",25802.06296)</f>
        <v>25802.06296</v>
      </c>
      <c r="C53" s="59" t="s">
        <v>182</v>
      </c>
      <c r="D53" s="59">
        <f>IF(14675.74811="","-",14675.74811/1792621.32665*100)</f>
        <v>0.8186753048077154</v>
      </c>
      <c r="E53" s="59">
        <f>IF(25802.06296="","-",25802.06296/2276281.23687*100)</f>
        <v>1.133518237644445</v>
      </c>
      <c r="F53" s="59">
        <f>IF(OR(1543712.83473="",15120.38325="",14675.74811=""),"-",(14675.74811-15120.38325)/1543712.83473*100)</f>
        <v>-0.02880296969726033</v>
      </c>
      <c r="G53" s="59">
        <f>IF(OR(1792621.32665="",25802.06296="",14675.74811=""),"-",(25802.06296-14675.74811)/1792621.32665*100)</f>
        <v>0.6206729042319574</v>
      </c>
    </row>
    <row r="54" spans="1:7" s="14" customFormat="1" ht="13.5" customHeight="1">
      <c r="A54" s="12" t="s">
        <v>74</v>
      </c>
      <c r="B54" s="51">
        <f>IF(25512.88888="","-",25512.88888)</f>
        <v>25512.88888</v>
      </c>
      <c r="C54" s="59">
        <f>IF(OR(20135.07502="",25512.88888=""),"-",25512.88888/20135.07502*100)</f>
        <v>126.70868548867217</v>
      </c>
      <c r="D54" s="59">
        <f>IF(20135.07502="","-",20135.07502/1792621.32665*100)</f>
        <v>1.1232196516164326</v>
      </c>
      <c r="E54" s="59">
        <f>IF(25512.88888="","-",25512.88888/2276281.23687*100)</f>
        <v>1.1208144436089755</v>
      </c>
      <c r="F54" s="59">
        <f>IF(OR(1543712.83473="",21931.76624="",20135.07502=""),"-",(20135.07502-21931.76624)/1543712.83473*100)</f>
        <v>-0.11638765835060556</v>
      </c>
      <c r="G54" s="59">
        <f>IF(OR(1792621.32665="",25512.88888="",20135.07502=""),"-",(25512.88888-20135.07502)/1792621.32665*100)</f>
        <v>0.2999972040971924</v>
      </c>
    </row>
    <row r="55" spans="1:7" s="14" customFormat="1" ht="15.75">
      <c r="A55" s="12" t="s">
        <v>75</v>
      </c>
      <c r="B55" s="51">
        <f>IF(29143.16106="","-",29143.16106)</f>
        <v>29143.16106</v>
      </c>
      <c r="C55" s="59">
        <f>IF(OR(21340.66003="",29143.16106=""),"-",29143.16106/21340.66003*100)</f>
        <v>136.56166687924133</v>
      </c>
      <c r="D55" s="59">
        <f>IF(21340.66003="","-",21340.66003/1792621.32665*100)</f>
        <v>1.190472282837381</v>
      </c>
      <c r="E55" s="59">
        <f>IF(29143.16106="","-",29143.16106/2276281.23687*100)</f>
        <v>1.2802970295565628</v>
      </c>
      <c r="F55" s="59">
        <f>IF(OR(1543712.83473="",18754.13937="",21340.66003=""),"-",(21340.66003-18754.13937)/1543712.83473*100)</f>
        <v>0.1675519307612927</v>
      </c>
      <c r="G55" s="59">
        <f>IF(OR(1792621.32665="",29143.16106="",21340.66003=""),"-",(29143.16106-21340.66003)/1792621.32665*100)</f>
        <v>0.4352565103407027</v>
      </c>
    </row>
    <row r="56" spans="1:7" s="14" customFormat="1" ht="25.5">
      <c r="A56" s="12" t="s">
        <v>76</v>
      </c>
      <c r="B56" s="51">
        <f>IF(39676.96571="","-",39676.96571)</f>
        <v>39676.96571</v>
      </c>
      <c r="C56" s="59">
        <f>IF(OR(32030.41403="",39676.96571=""),"-",39676.96571/32030.41403*100)</f>
        <v>123.87278438810738</v>
      </c>
      <c r="D56" s="59">
        <f>IF(32030.41403="","-",32030.41403/1792621.32665*100)</f>
        <v>1.786791976298616</v>
      </c>
      <c r="E56" s="59">
        <f>IF(39676.96571="","-",39676.96571/2276281.23687*100)</f>
        <v>1.7430607899996484</v>
      </c>
      <c r="F56" s="59">
        <f>IF(OR(1543712.83473="",29817.6966="",32030.41403=""),"-",(32030.41403-29817.6966)/1543712.83473*100)</f>
        <v>0.14333737339088792</v>
      </c>
      <c r="G56" s="59">
        <f>IF(OR(1792621.32665="",39676.96571="",32030.41403=""),"-",(39676.96571-32030.41403)/1792621.32665*100)</f>
        <v>0.4265569959657713</v>
      </c>
    </row>
    <row r="57" spans="1:7" s="14" customFormat="1" ht="25.5">
      <c r="A57" s="12" t="s">
        <v>77</v>
      </c>
      <c r="B57" s="51">
        <f>IF(127617.39584="","-",127617.39584)</f>
        <v>127617.39584</v>
      </c>
      <c r="C57" s="59">
        <f>IF(OR(109257.68063="",127617.39584=""),"-",127617.39584/109257.68063*100)</f>
        <v>116.80404993418722</v>
      </c>
      <c r="D57" s="59">
        <f>IF(109257.68063="","-",109257.68063/1792621.32665*100)</f>
        <v>6.094855561836791</v>
      </c>
      <c r="E57" s="59">
        <f>IF(127617.39584="","-",127617.39584/2276281.23687*100)</f>
        <v>5.60639844378282</v>
      </c>
      <c r="F57" s="59">
        <f>IF(OR(1543712.83473="",103966.05962="",109257.68063=""),"-",(109257.68063-103966.05962)/1543712.83473*100)</f>
        <v>0.3427853219167879</v>
      </c>
      <c r="G57" s="59">
        <f>IF(OR(1792621.32665="",127617.39584="",109257.68063=""),"-",(127617.39584-109257.68063)/1792621.32665*100)</f>
        <v>1.0241825720276412</v>
      </c>
    </row>
    <row r="58" spans="1:7" s="14" customFormat="1" ht="14.25" customHeight="1">
      <c r="A58" s="12" t="s">
        <v>78</v>
      </c>
      <c r="B58" s="51">
        <f>IF(43255.82002="","-",43255.82002)</f>
        <v>43255.82002</v>
      </c>
      <c r="C58" s="59">
        <f>IF(OR(39592.37627="",43255.82002=""),"-",43255.82002/39592.37627*100)</f>
        <v>109.25290193500174</v>
      </c>
      <c r="D58" s="59">
        <f>IF(39592.37627="","-",39592.37627/1792621.32665*100)</f>
        <v>2.2086302155062003</v>
      </c>
      <c r="E58" s="59">
        <f>IF(43255.82002="","-",43255.82002/2276281.23687*100)</f>
        <v>1.9002845219371445</v>
      </c>
      <c r="F58" s="59">
        <f>IF(OR(1543712.83473="",35900.00064="",39592.37627=""),"-",(39592.37627-35900.00064)/1543712.83473*100)</f>
        <v>0.23918798541607056</v>
      </c>
      <c r="G58" s="59">
        <f>IF(OR(1792621.32665="",43255.82002="",39592.37627=""),"-",(43255.82002-39592.37627)/1792621.32665*100)</f>
        <v>0.20436238794760622</v>
      </c>
    </row>
    <row r="59" spans="1:7" s="14" customFormat="1" ht="14.25" customHeight="1">
      <c r="A59" s="12" t="s">
        <v>79</v>
      </c>
      <c r="B59" s="51">
        <f>IF(48584.12646="","-",48584.12646)</f>
        <v>48584.12646</v>
      </c>
      <c r="C59" s="59">
        <f>IF(OR(32806.25247="",48584.12646=""),"-",48584.12646/32806.25247*100)</f>
        <v>148.0941064646998</v>
      </c>
      <c r="D59" s="59">
        <f>IF(32806.25247="","-",32806.25247/1792621.32665*100)</f>
        <v>1.8300715261101683</v>
      </c>
      <c r="E59" s="59">
        <f>IF(48584.12646="","-",48584.12646/2276281.23687*100)</f>
        <v>2.1343639649205026</v>
      </c>
      <c r="F59" s="59">
        <f>IF(OR(1543712.83473="",37080.27449="",32806.25247=""),"-",(32806.25247-37080.27449)/1543712.83473*100)</f>
        <v>-0.2768663914585865</v>
      </c>
      <c r="G59" s="59">
        <f>IF(OR(1792621.32665="",48584.12646="",32806.25247=""),"-",(48584.12646-32806.25247)/1792621.32665*100)</f>
        <v>0.8801565481475803</v>
      </c>
    </row>
    <row r="60" spans="1:7" s="14" customFormat="1" ht="15" customHeight="1">
      <c r="A60" s="12" t="s">
        <v>80</v>
      </c>
      <c r="B60" s="51">
        <f>IF(43982.81867="","-",43982.81867)</f>
        <v>43982.81867</v>
      </c>
      <c r="C60" s="59" t="s">
        <v>183</v>
      </c>
      <c r="D60" s="59">
        <f>IF(25956.45911="","-",25956.45911/1792621.32665*100)</f>
        <v>1.447961079348905</v>
      </c>
      <c r="E60" s="59">
        <f>IF(43982.81867="","-",43982.81867/2276281.23687*100)</f>
        <v>1.9322225196776899</v>
      </c>
      <c r="F60" s="59">
        <f>IF(OR(1543712.83473="",20626.4054="",25956.45911=""),"-",(25956.45911-20626.4054)/1543712.83473*100)</f>
        <v>0.3452749494650825</v>
      </c>
      <c r="G60" s="59">
        <f>IF(OR(1792621.32665="",43982.81867="",25956.45911=""),"-",(43982.81867-25956.45911)/1792621.32665*100)</f>
        <v>1.0055865838485338</v>
      </c>
    </row>
    <row r="61" spans="1:7" s="14" customFormat="1" ht="15" customHeight="1">
      <c r="A61" s="12" t="s">
        <v>81</v>
      </c>
      <c r="B61" s="51">
        <f>IF(61889.41406="","-",61889.41406)</f>
        <v>61889.41406</v>
      </c>
      <c r="C61" s="59">
        <f>IF(OR(46012.28104="",61889.41406=""),"-",61889.41406/46012.28104*100)</f>
        <v>134.50629410482276</v>
      </c>
      <c r="D61" s="59">
        <f>IF(46012.28104="","-",46012.28104/1792621.32665*100)</f>
        <v>2.566759658381754</v>
      </c>
      <c r="E61" s="59">
        <f>IF(61889.41406="","-",61889.41406/2276281.23687*100)</f>
        <v>2.7188825817103788</v>
      </c>
      <c r="F61" s="59">
        <f>IF(OR(1543712.83473="",41212.78105="",46012.28104=""),"-",(46012.28104-41212.78105)/1543712.83473*100)</f>
        <v>0.31090626974280816</v>
      </c>
      <c r="G61" s="59">
        <f>IF(OR(1792621.32665="",61889.41406="",46012.28104=""),"-",(61889.41406-46012.28104)/1792621.32665*100)</f>
        <v>0.8856936366851519</v>
      </c>
    </row>
    <row r="62" spans="1:7" s="14" customFormat="1" ht="25.5">
      <c r="A62" s="13" t="s">
        <v>82</v>
      </c>
      <c r="B62" s="46">
        <f>IF(534347.2806="","-",534347.2806)</f>
        <v>534347.2806</v>
      </c>
      <c r="C62" s="74">
        <f>IF(370044.75694="","-",534347.2806/370044.75694*100)</f>
        <v>144.4007165561977</v>
      </c>
      <c r="D62" s="74">
        <f>IF(370044.75694="","-",370044.75694/1792621.32665*100)</f>
        <v>20.64266175118697</v>
      </c>
      <c r="E62" s="74">
        <f>IF(534347.2806="","-",534347.2806/2276281.23687*100)</f>
        <v>23.474572119864863</v>
      </c>
      <c r="F62" s="74">
        <f>IF(1543712.83473="","-",(370044.75694-301317.26174)/1543712.83473*100)</f>
        <v>4.452090677345483</v>
      </c>
      <c r="G62" s="74">
        <f>IF(1792621.32665="","-",(534347.2806-370044.75694)/1792621.32665*100)</f>
        <v>9.165489733799161</v>
      </c>
    </row>
    <row r="63" spans="1:7" s="14" customFormat="1" ht="25.5">
      <c r="A63" s="12" t="s">
        <v>83</v>
      </c>
      <c r="B63" s="51">
        <f>IF(12612.89176="","-",12612.89176)</f>
        <v>12612.89176</v>
      </c>
      <c r="C63" s="59" t="s">
        <v>107</v>
      </c>
      <c r="D63" s="59">
        <f>IF(5327.80898="","-",5327.80898/1792621.32665*100)</f>
        <v>0.2972077203809942</v>
      </c>
      <c r="E63" s="59">
        <f>IF(12612.89176="","-",12612.89176/2276281.23687*100)</f>
        <v>0.5541007655689923</v>
      </c>
      <c r="F63" s="59">
        <f>IF(OR(1543712.83473="",4166.27301="",5327.80898=""),"-",(5327.80898-4166.27301)/1543712.83473*100)</f>
        <v>0.07524300788774332</v>
      </c>
      <c r="G63" s="59">
        <f>IF(OR(1792621.32665="",12612.89176="",5327.80898=""),"-",(12612.89176-5327.80898)/1792621.32665*100)</f>
        <v>0.4063927317887128</v>
      </c>
    </row>
    <row r="64" spans="1:7" s="14" customFormat="1" ht="25.5">
      <c r="A64" s="12" t="s">
        <v>84</v>
      </c>
      <c r="B64" s="51">
        <f>IF(88334.0088="","-",88334.0088)</f>
        <v>88334.0088</v>
      </c>
      <c r="C64" s="59" t="s">
        <v>308</v>
      </c>
      <c r="D64" s="59">
        <f>IF(54748.67626="","-",54748.67626/1792621.32665*100)</f>
        <v>3.0541127368105556</v>
      </c>
      <c r="E64" s="59">
        <f>IF(88334.0088="","-",88334.0088/2276281.23687*100)</f>
        <v>3.880628077463031</v>
      </c>
      <c r="F64" s="59">
        <f>IF(OR(1543712.83473="",43998.09062="",54748.67626=""),"-",(54748.67626-43998.09062)/1543712.83473*100)</f>
        <v>0.6964109773616223</v>
      </c>
      <c r="G64" s="59">
        <f>IF(OR(1792621.32665="",88334.0088="",54748.67626=""),"-",(88334.0088-54748.67626)/1792621.32665*100)</f>
        <v>1.8735319077545127</v>
      </c>
    </row>
    <row r="65" spans="1:7" s="14" customFormat="1" ht="25.5">
      <c r="A65" s="12" t="s">
        <v>85</v>
      </c>
      <c r="B65" s="51">
        <f>IF(4244.94938="","-",4244.94938)</f>
        <v>4244.94938</v>
      </c>
      <c r="C65" s="59">
        <f>IF(OR(3844.41197="",4244.94938=""),"-",4244.94938/3844.41197*100)</f>
        <v>110.41869115811747</v>
      </c>
      <c r="D65" s="59">
        <f>IF(3844.41197="","-",3844.41197/1792621.32665*100)</f>
        <v>0.21445756071553204</v>
      </c>
      <c r="E65" s="59">
        <f>IF(4244.94938="","-",4244.94938/2276281.23687*100)</f>
        <v>0.18648615607081206</v>
      </c>
      <c r="F65" s="59">
        <f>IF(OR(1543712.83473="",1901.07126="",3844.41197=""),"-",(3844.41197-1901.07126)/1543712.83473*100)</f>
        <v>0.12588744916018635</v>
      </c>
      <c r="G65" s="59">
        <f>IF(OR(1792621.32665="",4244.94938="",3844.41197=""),"-",(4244.94938-3844.41197)/1792621.32665*100)</f>
        <v>0.02234367091618356</v>
      </c>
    </row>
    <row r="66" spans="1:7" s="14" customFormat="1" ht="38.25">
      <c r="A66" s="12" t="s">
        <v>86</v>
      </c>
      <c r="B66" s="51">
        <f>IF(66392.69358="","-",66392.69358)</f>
        <v>66392.69358</v>
      </c>
      <c r="C66" s="59">
        <f>IF(OR(52146.20454="",66392.69358=""),"-",66392.69358/52146.20454*100)</f>
        <v>127.3202799046897</v>
      </c>
      <c r="D66" s="59">
        <f>IF(52146.20454="","-",52146.20454/1792621.32665*100)</f>
        <v>2.908935856377953</v>
      </c>
      <c r="E66" s="59">
        <f>IF(66392.69358="","-",66392.69358/2276281.23687*100)</f>
        <v>2.9167175173527</v>
      </c>
      <c r="F66" s="59">
        <f>IF(OR(1543712.83473="",40968.08004="",52146.20454=""),"-",(52146.20454-40968.08004)/1543712.83473*100)</f>
        <v>0.7241064690606842</v>
      </c>
      <c r="G66" s="59">
        <f>IF(OR(1792621.32665="",66392.69358="",52146.20454=""),"-",(66392.69358-52146.20454)/1792621.32665*100)</f>
        <v>0.7947294182103392</v>
      </c>
    </row>
    <row r="67" spans="1:7" s="14" customFormat="1" ht="25.5">
      <c r="A67" s="12" t="s">
        <v>87</v>
      </c>
      <c r="B67" s="51">
        <f>IF(22377.08547="","-",22377.08547)</f>
        <v>22377.08547</v>
      </c>
      <c r="C67" s="59">
        <f>IF(OR(14315.15094="",22377.08547=""),"-",22377.08547/14315.15094*100)</f>
        <v>156.3174958042042</v>
      </c>
      <c r="D67" s="59">
        <f>IF(14315.15094="","-",14315.15094/1792621.32665*100)</f>
        <v>0.7985596694172856</v>
      </c>
      <c r="E67" s="59">
        <f>IF(22377.08547="","-",22377.08547/2276281.23687*100)</f>
        <v>0.9830545148616875</v>
      </c>
      <c r="F67" s="59">
        <f>IF(OR(1543712.83473="",12246.19348="",14315.15094=""),"-",(14315.15094-12246.19348)/1543712.83473*100)</f>
        <v>0.1340247624722163</v>
      </c>
      <c r="G67" s="59">
        <f>IF(OR(1792621.32665="",22377.08547="",14315.15094=""),"-",(22377.08547-14315.15094)/1792621.32665*100)</f>
        <v>0.449728808318147</v>
      </c>
    </row>
    <row r="68" spans="1:7" s="14" customFormat="1" ht="38.25" customHeight="1">
      <c r="A68" s="12" t="s">
        <v>88</v>
      </c>
      <c r="B68" s="51">
        <f>IF(54219.98044="","-",54219.98044)</f>
        <v>54219.98044</v>
      </c>
      <c r="C68" s="59">
        <f>IF(OR(35423.7891999999="",54219.98044=""),"-",54219.98044/35423.7891999999*100)</f>
        <v>153.06092788063498</v>
      </c>
      <c r="D68" s="59">
        <f>IF(35423.7891999999="","-",35423.7891999999/1792621.32665*100)</f>
        <v>1.9760887965222902</v>
      </c>
      <c r="E68" s="59">
        <f>IF(54219.98044="","-",54219.98044/2276281.23687*100)</f>
        <v>2.381954371971856</v>
      </c>
      <c r="F68" s="59">
        <f>IF(OR(1543712.83473="",24087.4975="",35423.7891999999=""),"-",(35423.7891999999-24087.4975)/1543712.83473*100)</f>
        <v>0.7343523643102084</v>
      </c>
      <c r="G68" s="59">
        <f>IF(OR(1792621.32665="",54219.98044="",35423.7891999999=""),"-",(54219.98044-35423.7891999999)/1792621.32665*100)</f>
        <v>1.0485310511799997</v>
      </c>
    </row>
    <row r="69" spans="1:7" s="14" customFormat="1" ht="39" customHeight="1">
      <c r="A69" s="12" t="s">
        <v>89</v>
      </c>
      <c r="B69" s="51">
        <f>IF(165332.84261="","-",165332.84261)</f>
        <v>165332.84261</v>
      </c>
      <c r="C69" s="59">
        <f>IF(OR(110302.16946="",165332.84261=""),"-",165332.84261/110302.16946*100)</f>
        <v>149.8908348035315</v>
      </c>
      <c r="D69" s="59">
        <f>IF(110302.16946="","-",110302.16946/1792621.32665*100)</f>
        <v>6.153121566735434</v>
      </c>
      <c r="E69" s="59">
        <f>IF(165332.84261="","-",165332.84261/2276281.23687*100)</f>
        <v>7.263287151518274</v>
      </c>
      <c r="F69" s="59">
        <f>IF(OR(1543712.83473="",94593.2016="",110302.16946=""),"-",(110302.16946-94593.2016)/1543712.83473*100)</f>
        <v>1.017609461201866</v>
      </c>
      <c r="G69" s="59">
        <f>IF(OR(1792621.32665="",165332.84261="",110302.16946=""),"-",(165332.84261-110302.16946)/1792621.32665*100)</f>
        <v>3.0698437161204453</v>
      </c>
    </row>
    <row r="70" spans="1:7" s="14" customFormat="1" ht="25.5">
      <c r="A70" s="12" t="s">
        <v>90</v>
      </c>
      <c r="B70" s="51">
        <f>IF(119735.85905="","-",119735.85905)</f>
        <v>119735.85905</v>
      </c>
      <c r="C70" s="59">
        <f>IF(OR(93222.38104="",119735.85905=""),"-",119735.85905/93222.38104*100)</f>
        <v>128.44110793375205</v>
      </c>
      <c r="D70" s="59">
        <f>IF(93222.38104="","-",93222.38104/1792621.32665*100)</f>
        <v>5.200338724866748</v>
      </c>
      <c r="E70" s="59">
        <f>IF(119735.85905="","-",119735.85905/2276281.23687*100)</f>
        <v>5.260152265483801</v>
      </c>
      <c r="F70" s="59">
        <f>IF(OR(1543712.83473="",79102.91967="",93222.38104=""),"-",(93222.38104-79102.91967)/1543712.83473*100)</f>
        <v>0.9146429991604964</v>
      </c>
      <c r="G70" s="59">
        <f>IF(OR(1792621.32665="",119735.85905="",93222.38104=""),"-",(119735.85905-93222.38104)/1792621.32665*100)</f>
        <v>1.4790339496600569</v>
      </c>
    </row>
    <row r="71" spans="1:7" s="14" customFormat="1" ht="13.5" customHeight="1">
      <c r="A71" s="12" t="s">
        <v>91</v>
      </c>
      <c r="B71" s="51">
        <f>IF(1096.96951="","-",1096.96951)</f>
        <v>1096.96951</v>
      </c>
      <c r="C71" s="59">
        <f>IF(OR(714.16455="",1096.96951=""),"-",1096.96951/714.16455*100)</f>
        <v>153.60178687110695</v>
      </c>
      <c r="D71" s="59">
        <f>IF(714.16455="","-",714.16455/1792621.32665*100)</f>
        <v>0.039839119360172426</v>
      </c>
      <c r="E71" s="59">
        <f>IF(1096.96951="","-",1096.96951/2276281.23687*100)</f>
        <v>0.04819129957370239</v>
      </c>
      <c r="F71" s="59">
        <f>IF(OR(1543712.83473="",253.93456="",714.16455=""),"-",(714.16455-253.93456)/1543712.83473*100)</f>
        <v>0.029813186730451427</v>
      </c>
      <c r="G71" s="59">
        <f>IF(OR(1792621.32665="",1096.96951="",714.16455=""),"-",(1096.96951-714.16455)/1792621.32665*100)</f>
        <v>0.02135447985076553</v>
      </c>
    </row>
    <row r="72" spans="1:7" s="14" customFormat="1" ht="15.75">
      <c r="A72" s="13" t="s">
        <v>92</v>
      </c>
      <c r="B72" s="46">
        <f>IF(224825.35046="","-",224825.35046)</f>
        <v>224825.35046</v>
      </c>
      <c r="C72" s="74">
        <f>IF(188036.75871="","-",224825.35046/188036.75871*100)</f>
        <v>119.564574502551</v>
      </c>
      <c r="D72" s="74">
        <f>IF(188036.75871="","-",188036.75871/1792621.32665*100)</f>
        <v>10.489485755555402</v>
      </c>
      <c r="E72" s="74">
        <f>IF(224825.35046="","-",224825.35046/2276281.23687*100)</f>
        <v>9.876870521023404</v>
      </c>
      <c r="F72" s="74">
        <f>IF(1543712.83473="","-",(188036.75871-142208.96119)/1543712.83473*100)</f>
        <v>2.9686737383391266</v>
      </c>
      <c r="G72" s="74">
        <f>IF(1792621.32665="","-",(224825.35046-188036.75871)/1792621.32665*100)</f>
        <v>2.0522232555801105</v>
      </c>
    </row>
    <row r="73" spans="1:7" s="14" customFormat="1" ht="38.25">
      <c r="A73" s="12" t="s">
        <v>93</v>
      </c>
      <c r="B73" s="51">
        <f>IF(14195.48598="","-",14195.48598)</f>
        <v>14195.48598</v>
      </c>
      <c r="C73" s="59">
        <f>IF(OR(12167.94645="",14195.48598=""),"-",14195.48598/12167.94645*100)</f>
        <v>116.66295572824453</v>
      </c>
      <c r="D73" s="59">
        <f>IF(12167.94645="","-",12167.94645/1792621.32665*100)</f>
        <v>0.6787795207557368</v>
      </c>
      <c r="E73" s="59">
        <f>IF(14195.48598="","-",14195.48598/2276281.23687*100)</f>
        <v>0.6236261912662207</v>
      </c>
      <c r="F73" s="59">
        <f>IF(OR(1543712.83473="",10423.40833="",12167.94645=""),"-",(12167.94645-10423.40833)/1543712.83473*100)</f>
        <v>0.11300923855472927</v>
      </c>
      <c r="G73" s="59">
        <f>IF(OR(1792621.32665="",14195.48598="",12167.94645=""),"-",(14195.48598-12167.94645)/1792621.32665*100)</f>
        <v>0.1131047310359187</v>
      </c>
    </row>
    <row r="74" spans="1:7" s="14" customFormat="1" ht="15.75">
      <c r="A74" s="12" t="s">
        <v>94</v>
      </c>
      <c r="B74" s="51">
        <f>IF(20400.39262="","-",20400.39262)</f>
        <v>20400.39262</v>
      </c>
      <c r="C74" s="59">
        <f>IF(OR(17059.90741="",20400.39262=""),"-",20400.39262/17059.90741*100)</f>
        <v>119.58091055079178</v>
      </c>
      <c r="D74" s="59">
        <f>IF(17059.90741="","-",17059.90741/1792621.32665*100)</f>
        <v>0.9516737950385246</v>
      </c>
      <c r="E74" s="59">
        <f>IF(20400.39262="","-",20400.39262/2276281.23687*100)</f>
        <v>0.8962158229644572</v>
      </c>
      <c r="F74" s="59">
        <f>IF(OR(1543712.83473="",15024.54815="",17059.90741=""),"-",(17059.90741-15024.54815)/1543712.83473*100)</f>
        <v>0.1318483084553734</v>
      </c>
      <c r="G74" s="59">
        <f>IF(OR(1792621.32665="",20400.39262="",17059.90741=""),"-",(20400.39262-17059.90741)/1792621.32665*100)</f>
        <v>0.186346394541819</v>
      </c>
    </row>
    <row r="75" spans="1:7" s="14" customFormat="1" ht="14.25" customHeight="1">
      <c r="A75" s="12" t="s">
        <v>95</v>
      </c>
      <c r="B75" s="51">
        <f>IF(3183.60098="","-",3183.60098)</f>
        <v>3183.60098</v>
      </c>
      <c r="C75" s="59">
        <f>IF(OR(7978.82405="",3183.60098=""),"-",3183.60098/7978.82405*100)</f>
        <v>39.90062896549273</v>
      </c>
      <c r="D75" s="59">
        <f>IF(7978.82405="","-",7978.82405/1792621.32665*100)</f>
        <v>0.4450925542044399</v>
      </c>
      <c r="E75" s="59">
        <f>IF(3183.60098="","-",3183.60098/2276281.23687*100)</f>
        <v>0.13985973826229003</v>
      </c>
      <c r="F75" s="59">
        <f>IF(OR(1543712.83473="",1824.55344="",7978.82405=""),"-",(7978.82405-1824.55344)/1543712.83473*100)</f>
        <v>0.39866680327733367</v>
      </c>
      <c r="G75" s="59">
        <f>IF(OR(1792621.32665="",3183.60098="",7978.82405=""),"-",(3183.60098-7978.82405)/1792621.32665*100)</f>
        <v>-0.2674978255982917</v>
      </c>
    </row>
    <row r="76" spans="1:7" s="14" customFormat="1" ht="15" customHeight="1">
      <c r="A76" s="12" t="s">
        <v>96</v>
      </c>
      <c r="B76" s="51">
        <f>IF(58197.13245="","-",58197.13245)</f>
        <v>58197.13245</v>
      </c>
      <c r="C76" s="59">
        <f>IF(OR(48861.64127="",58197.13245=""),"-",58197.13245/48861.64127*100)</f>
        <v>119.10597134552619</v>
      </c>
      <c r="D76" s="59">
        <f>IF(48861.64127="","-",48861.64127/1792621.32665*100)</f>
        <v>2.725709024187013</v>
      </c>
      <c r="E76" s="59">
        <f>IF(58197.13245="","-",58197.13245/2276281.23687*100)</f>
        <v>2.5566758407244943</v>
      </c>
      <c r="F76" s="59">
        <f>IF(OR(1543712.83473="",37139.14404="",48861.64127=""),"-",(48861.64127-37139.14404)/1543712.83473*100)</f>
        <v>0.7593703288766334</v>
      </c>
      <c r="G76" s="59">
        <f>IF(OR(1792621.32665="",58197.13245="",48861.64127=""),"-",(58197.13245-48861.64127)/1792621.32665*100)</f>
        <v>0.5207731851235922</v>
      </c>
    </row>
    <row r="77" spans="1:7" s="14" customFormat="1" ht="14.25" customHeight="1">
      <c r="A77" s="12" t="s">
        <v>97</v>
      </c>
      <c r="B77" s="51">
        <f>IF(18633.13938="","-",18633.13938)</f>
        <v>18633.13938</v>
      </c>
      <c r="C77" s="59">
        <f>IF(OR(17585.50557="",18633.13938=""),"-",18633.13938/17585.50557*100)</f>
        <v>105.9573710055127</v>
      </c>
      <c r="D77" s="59">
        <f>IF(17585.50557="","-",17585.50557/1792621.32665*100)</f>
        <v>0.98099388356956</v>
      </c>
      <c r="E77" s="59">
        <f>IF(18633.13938="","-",18633.13938/2276281.23687*100)</f>
        <v>0.8185780859671582</v>
      </c>
      <c r="F77" s="59">
        <f>IF(OR(1543712.83473="",9616.38762="",17585.50557=""),"-",(17585.50557-9616.38762)/1543712.83473*100)</f>
        <v>0.5162305948822291</v>
      </c>
      <c r="G77" s="59">
        <f>IF(OR(1792621.32665="",18633.13938="",17585.50557=""),"-",(18633.13938-17585.50557)/1792621.32665*100)</f>
        <v>0.05844144518562589</v>
      </c>
    </row>
    <row r="78" spans="1:7" ht="25.5">
      <c r="A78" s="7" t="s">
        <v>102</v>
      </c>
      <c r="B78" s="51">
        <f>IF(22323.69584="","-",22323.69584)</f>
        <v>22323.69584</v>
      </c>
      <c r="C78" s="59">
        <f>IF(OR(17371.34894="",22323.69584=""),"-",22323.69584/17371.34894*100)</f>
        <v>128.5087065898292</v>
      </c>
      <c r="D78" s="59">
        <f>IF(17371.34894="","-",17371.34894/1792621.32665*100)</f>
        <v>0.9690473209120571</v>
      </c>
      <c r="E78" s="59">
        <f>IF(22323.69584="","-",22323.69584/2276281.23687*100)</f>
        <v>0.9807090388662251</v>
      </c>
      <c r="F78" s="59">
        <f>IF(OR(1543712.83473="",13920.49688="",17371.34894=""),"-",(17371.34894-13920.49688)/1543712.83473*100)</f>
        <v>0.2235423572547781</v>
      </c>
      <c r="G78" s="59">
        <f>IF(OR(1792621.32665="",22323.69584="",17371.34894=""),"-",(22323.69584-17371.34894)/1792621.32665*100)</f>
        <v>0.2762628574354187</v>
      </c>
    </row>
    <row r="79" spans="1:7" ht="13.5" customHeight="1">
      <c r="A79" s="9" t="s">
        <v>99</v>
      </c>
      <c r="B79" s="51">
        <f>IF(4981.62241="","-",4981.62241)</f>
        <v>4981.62241</v>
      </c>
      <c r="C79" s="59">
        <f>IF(OR(3853.09663="",4981.62241=""),"-",4981.62241/3853.09663*100)</f>
        <v>129.28880036937977</v>
      </c>
      <c r="D79" s="59">
        <f>IF(3853.09663="","-",3853.09663/1792621.32665*100)</f>
        <v>0.2149420277845605</v>
      </c>
      <c r="E79" s="59">
        <f>IF(4981.62241="","-",4981.62241/2276281.23687*100)</f>
        <v>0.21884916192737142</v>
      </c>
      <c r="F79" s="59">
        <f>IF(OR(1543712.83473="",2688.21425="",3853.09663=""),"-",(3853.09663-2688.21425)/1543712.83473*100)</f>
        <v>0.0754597846045467</v>
      </c>
      <c r="G79" s="59">
        <f>IF(OR(1792621.32665="",4981.62241="",3853.09663=""),"-",(4981.62241-3853.09663)/1792621.32665*100)</f>
        <v>0.06295394142771675</v>
      </c>
    </row>
    <row r="80" spans="1:7" s="1" customFormat="1" ht="15.75">
      <c r="A80" s="9" t="s">
        <v>100</v>
      </c>
      <c r="B80" s="75">
        <f>IF(82910.2808="","-",82910.2808)</f>
        <v>82910.2808</v>
      </c>
      <c r="C80" s="76">
        <f>IF(OR(63158.48839="",82910.2808=""),"-",82910.2808/63158.48839*100)</f>
        <v>131.2733773614622</v>
      </c>
      <c r="D80" s="76">
        <f>IF(63158.48839="","-",63158.48839/1792621.32665*100)</f>
        <v>3.523247629103509</v>
      </c>
      <c r="E80" s="76">
        <f>IF(82910.2808="","-",82910.2808/2276281.23687*100)</f>
        <v>3.642356641045188</v>
      </c>
      <c r="F80" s="76">
        <f>IF(OR(1543712.83473="",51572.20848="",63158.48839=""),"-",(63158.48839-51572.20848)/1543712.83473*100)</f>
        <v>0.7505463224335032</v>
      </c>
      <c r="G80" s="76">
        <f>IF(OR(1792621.32665="",82910.2808="",63158.48839=""),"-",(82910.2808-63158.48839)/1792621.32665*100)</f>
        <v>1.1018385264283108</v>
      </c>
    </row>
    <row r="81" spans="1:7" s="1" customFormat="1" ht="25.5">
      <c r="A81" s="78" t="s">
        <v>303</v>
      </c>
      <c r="B81" s="79">
        <f>IF(271.98767="","-",271.98767)</f>
        <v>271.98767</v>
      </c>
      <c r="C81" s="80">
        <f>IF(427.70181="","-",271.98767/427.70181*100)</f>
        <v>63.59282650685999</v>
      </c>
      <c r="D81" s="80">
        <f>IF(427.70181="","-",427.70181/1792621.32665*100)</f>
        <v>0.02385901604770468</v>
      </c>
      <c r="E81" s="80">
        <f>IF(271.98767="","-",271.98767/2276281.23687*100)</f>
        <v>0.011948772655789957</v>
      </c>
      <c r="F81" s="80">
        <f>IF(1543712.83473="","-",(427.70181-3288.47215)/1543712.83473*100)</f>
        <v>-0.18531751991945816</v>
      </c>
      <c r="G81" s="80">
        <f>IF(1792621.32665="","-",(271.98767-427.70181)/1792621.32665*100)</f>
        <v>-0.008686393366243958</v>
      </c>
    </row>
    <row r="82" spans="1:7" s="1" customFormat="1" ht="15.75">
      <c r="A82" s="77" t="s">
        <v>23</v>
      </c>
      <c r="B82" s="75"/>
      <c r="C82" s="75"/>
      <c r="D82" s="75"/>
      <c r="E82" s="75"/>
      <c r="F82" s="75"/>
      <c r="G82" s="75"/>
    </row>
  </sheetData>
  <sheetProtection/>
  <mergeCells count="10">
    <mergeCell ref="A1:G1"/>
    <mergeCell ref="A2:G2"/>
    <mergeCell ref="A4:A6"/>
    <mergeCell ref="B4:C4"/>
    <mergeCell ref="D4:E4"/>
    <mergeCell ref="F4:G4"/>
    <mergeCell ref="B5:B6"/>
    <mergeCell ref="C5:C6"/>
    <mergeCell ref="D5:E5"/>
    <mergeCell ref="F5:G5"/>
  </mergeCells>
  <printOptions/>
  <pageMargins left="0.5905511811023623" right="0.3937007874015748" top="0.3937007874015748" bottom="0.3937007874015748" header="0.11811023622047245" footer="0.1181102362204724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G85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:D2"/>
    </sheetView>
  </sheetViews>
  <sheetFormatPr defaultColWidth="9.00390625" defaultRowHeight="15.75"/>
  <cols>
    <col min="1" max="1" width="43.375" style="0" customWidth="1"/>
    <col min="2" max="2" width="13.625" style="0" customWidth="1"/>
    <col min="3" max="3" width="13.25390625" style="0" customWidth="1"/>
    <col min="4" max="4" width="15.50390625" style="0" customWidth="1"/>
    <col min="5" max="5" width="10.375" style="0" customWidth="1"/>
    <col min="6" max="6" width="12.125" style="0" bestFit="1" customWidth="1"/>
  </cols>
  <sheetData>
    <row r="1" spans="1:4" ht="15.75">
      <c r="A1" s="112" t="s">
        <v>251</v>
      </c>
      <c r="B1" s="112"/>
      <c r="C1" s="112"/>
      <c r="D1" s="112"/>
    </row>
    <row r="2" spans="1:4" ht="15.75">
      <c r="A2" s="112" t="s">
        <v>28</v>
      </c>
      <c r="B2" s="112"/>
      <c r="C2" s="112"/>
      <c r="D2" s="112"/>
    </row>
    <row r="3" ht="15.75">
      <c r="A3" s="5"/>
    </row>
    <row r="4" spans="1:7" ht="21.75" customHeight="1">
      <c r="A4" s="113"/>
      <c r="B4" s="117" t="s">
        <v>255</v>
      </c>
      <c r="C4" s="118"/>
      <c r="D4" s="115" t="s">
        <v>257</v>
      </c>
      <c r="E4" s="1"/>
      <c r="F4" s="1"/>
      <c r="G4" s="1"/>
    </row>
    <row r="5" spans="1:7" ht="20.25" customHeight="1">
      <c r="A5" s="114"/>
      <c r="B5" s="39">
        <v>2017</v>
      </c>
      <c r="C5" s="38">
        <v>2018</v>
      </c>
      <c r="D5" s="116"/>
      <c r="E5" s="1"/>
      <c r="F5" s="1"/>
      <c r="G5" s="1"/>
    </row>
    <row r="6" spans="1:7" ht="17.25" customHeight="1">
      <c r="A6" s="91" t="s">
        <v>177</v>
      </c>
      <c r="B6" s="56">
        <f>IF(-935510.5401="","-",-935510.5401)</f>
        <v>-935510.5401</v>
      </c>
      <c r="C6" s="56">
        <f>IF(-1175144.93844="","-",-1175144.93844)</f>
        <v>-1175144.93844</v>
      </c>
      <c r="D6" s="57">
        <f>IF(-935510.5401="","-",-1175144.93844/-935510.5401*100)</f>
        <v>125.61536060452987</v>
      </c>
      <c r="E6" s="50"/>
      <c r="F6" s="50"/>
      <c r="G6" s="50"/>
    </row>
    <row r="7" spans="1:4" ht="15.75">
      <c r="A7" s="7" t="s">
        <v>26</v>
      </c>
      <c r="B7" s="48"/>
      <c r="C7" s="48"/>
      <c r="D7" s="48"/>
    </row>
    <row r="8" spans="1:4" ht="15.75">
      <c r="A8" s="8" t="s">
        <v>29</v>
      </c>
      <c r="B8" s="21">
        <f>IF(-18919.57849="","-",-18919.57849)</f>
        <v>-18919.57849</v>
      </c>
      <c r="C8" s="21">
        <f>IF(-4310.47114="","-",-4310.47114)</f>
        <v>-4310.47114</v>
      </c>
      <c r="D8" s="60">
        <f>IF(-18919.57849="","-",-4310.47114/-18919.57849*100)</f>
        <v>22.783124593808008</v>
      </c>
    </row>
    <row r="9" spans="1:4" ht="15.75">
      <c r="A9" s="7" t="s">
        <v>30</v>
      </c>
      <c r="B9" s="22">
        <f>IF(OR(5.81048="",5.81048=0),"-",5.81048)</f>
        <v>5.81048</v>
      </c>
      <c r="C9" s="22">
        <f>IF(OR(3563.03226="",3563.03226=0),"-",3563.03226)</f>
        <v>3563.03226</v>
      </c>
      <c r="D9" s="81" t="s">
        <v>304</v>
      </c>
    </row>
    <row r="10" spans="1:4" ht="15.75">
      <c r="A10" s="7" t="s">
        <v>31</v>
      </c>
      <c r="B10" s="22">
        <f>IF(OR(-7207.03396="",-7207.03396=0),"-",-7207.03396)</f>
        <v>-7207.03396</v>
      </c>
      <c r="C10" s="22">
        <f>IF(OR(-13520.58087="",-13520.58087=0),"-",-13520.58087)</f>
        <v>-13520.58087</v>
      </c>
      <c r="D10" s="81" t="s">
        <v>305</v>
      </c>
    </row>
    <row r="11" spans="1:4" ht="15.75">
      <c r="A11" s="7" t="s">
        <v>32</v>
      </c>
      <c r="B11" s="22">
        <f>IF(OR(-11266.80918="",-11266.80918=0),"-",-11266.80918)</f>
        <v>-11266.80918</v>
      </c>
      <c r="C11" s="22">
        <f>IF(OR(-14413.09058="",-14413.09058=0),"-",-14413.09058)</f>
        <v>-14413.09058</v>
      </c>
      <c r="D11" s="81">
        <f>IF(OR(-11266.80918="",-14413.09058="",-11266.80918=0,-14413.09058=0),"-",-14413.09058/-11266.80918*100)</f>
        <v>127.92522132694893</v>
      </c>
    </row>
    <row r="12" spans="1:4" ht="15.75">
      <c r="A12" s="7" t="s">
        <v>33</v>
      </c>
      <c r="B12" s="22">
        <f>IF(OR(-17307.5276="",-17307.5276=0),"-",-17307.5276)</f>
        <v>-17307.5276</v>
      </c>
      <c r="C12" s="22">
        <f>IF(OR(-20398.3298="",-20398.3298=0),"-",-20398.3298)</f>
        <v>-20398.3298</v>
      </c>
      <c r="D12" s="81">
        <f>IF(OR(-17307.5276="",-20398.3298="",-17307.5276=0,-20398.3298=0),"-",-20398.3298/-17307.5276*100)</f>
        <v>117.85813821264684</v>
      </c>
    </row>
    <row r="13" spans="1:4" ht="15.75">
      <c r="A13" s="7" t="s">
        <v>34</v>
      </c>
      <c r="B13" s="22">
        <f>IF(OR(27801.67192="",27801.67192=0),"-",27801.67192)</f>
        <v>27801.67192</v>
      </c>
      <c r="C13" s="22">
        <f>IF(OR(46973.68757="",46973.68757=0),"-",46973.68757)</f>
        <v>46973.68757</v>
      </c>
      <c r="D13" s="81" t="s">
        <v>183</v>
      </c>
    </row>
    <row r="14" spans="1:4" ht="15.75">
      <c r="A14" s="7" t="s">
        <v>35</v>
      </c>
      <c r="B14" s="22">
        <f>IF(OR(31894.65231="",31894.65231=0),"-",31894.65231)</f>
        <v>31894.65231</v>
      </c>
      <c r="C14" s="22">
        <f>IF(OR(37950.47828="",37950.47828=0),"-",37950.47828)</f>
        <v>37950.47828</v>
      </c>
      <c r="D14" s="81">
        <f>IF(OR(31894.65231="",37950.47828="",31894.65231=0,37950.47828=0),"-",37950.47828/31894.65231*100)</f>
        <v>118.98696342929347</v>
      </c>
    </row>
    <row r="15" spans="1:4" ht="15.75">
      <c r="A15" s="7" t="s">
        <v>36</v>
      </c>
      <c r="B15" s="22">
        <f>IF(OR(1416.632="",1416.632=0),"-",1416.632)</f>
        <v>1416.632</v>
      </c>
      <c r="C15" s="22">
        <f>IF(OR(2127.39535="",2127.39535=0),"-",2127.39535)</f>
        <v>2127.39535</v>
      </c>
      <c r="D15" s="81">
        <f>IF(OR(1416.632="",2127.39535="",1416.632=0,2127.39535=0),"-",2127.39535/1416.632*100)</f>
        <v>150.17275834514535</v>
      </c>
    </row>
    <row r="16" spans="1:4" ht="15.75">
      <c r="A16" s="7" t="s">
        <v>37</v>
      </c>
      <c r="B16" s="22">
        <f>IF(OR(-13408.3418="",-13408.3418=0),"-",-13408.3418)</f>
        <v>-13408.3418</v>
      </c>
      <c r="C16" s="22">
        <f>IF(OR(-15367.48874="",-15367.48874=0),"-",-15367.48874)</f>
        <v>-15367.48874</v>
      </c>
      <c r="D16" s="81">
        <f>IF(OR(-13408.3418="",-15367.48874="",-13408.3418=0,-15367.48874=0),"-",-15367.48874/-13408.3418*100)</f>
        <v>114.61140362636041</v>
      </c>
    </row>
    <row r="17" spans="1:4" ht="15.75">
      <c r="A17" s="7" t="s">
        <v>38</v>
      </c>
      <c r="B17" s="22">
        <f>IF(OR(-5746.87243="",-5746.87243=0),"-",-5746.87243)</f>
        <v>-5746.87243</v>
      </c>
      <c r="C17" s="22">
        <f>IF(OR(-4873.03116="",-4873.03116=0),"-",-4873.03116)</f>
        <v>-4873.03116</v>
      </c>
      <c r="D17" s="81">
        <f>IF(OR(-5746.87243="",-4873.03116="",-5746.87243=0,-4873.03116=0),"-",-4873.03116/-5746.87243*100)</f>
        <v>84.79448986133141</v>
      </c>
    </row>
    <row r="18" spans="1:4" ht="15.75">
      <c r="A18" s="7" t="s">
        <v>39</v>
      </c>
      <c r="B18" s="22">
        <f>IF(OR(-25101.76023="",-25101.76023=0),"-",-25101.76023)</f>
        <v>-25101.76023</v>
      </c>
      <c r="C18" s="22">
        <f>IF(OR(-26352.54345="",-26352.54345=0),"-",-26352.54345)</f>
        <v>-26352.54345</v>
      </c>
      <c r="D18" s="81">
        <f>IF(OR(-25101.76023="",-26352.54345="",-25101.76023=0,-26352.54345=0),"-",-26352.54345/-25101.76023*100)</f>
        <v>104.98285063891713</v>
      </c>
    </row>
    <row r="19" spans="1:4" ht="15.75">
      <c r="A19" s="8" t="s">
        <v>40</v>
      </c>
      <c r="B19" s="21">
        <f>IF(30482.03495="","-",30482.03495)</f>
        <v>30482.03495</v>
      </c>
      <c r="C19" s="21">
        <f>IF(52265.37906="","-",52265.37906)</f>
        <v>52265.37906</v>
      </c>
      <c r="D19" s="60" t="s">
        <v>183</v>
      </c>
    </row>
    <row r="20" spans="1:4" ht="15.75">
      <c r="A20" s="7" t="s">
        <v>41</v>
      </c>
      <c r="B20" s="22">
        <f>IF(OR(44867.25123="",44867.25123=0),"-",44867.25123)</f>
        <v>44867.25123</v>
      </c>
      <c r="C20" s="22">
        <f>IF(OR(58005.90824="",58005.90824=0),"-",58005.90824)</f>
        <v>58005.90824</v>
      </c>
      <c r="D20" s="81">
        <f>IF(OR(44867.25123="",58005.90824="",44867.25123=0,58005.90824=0),"-",58005.90824/44867.25123*100)</f>
        <v>129.28340080975357</v>
      </c>
    </row>
    <row r="21" spans="1:4" ht="15.75">
      <c r="A21" s="7" t="s">
        <v>42</v>
      </c>
      <c r="B21" s="22">
        <f>IF(OR(-14385.21628="",-14385.21628=0),"-",-14385.21628)</f>
        <v>-14385.21628</v>
      </c>
      <c r="C21" s="22">
        <f>IF(OR(-5740.52918="",-5740.52918=0),"-",-5740.52918)</f>
        <v>-5740.52918</v>
      </c>
      <c r="D21" s="81">
        <f>IF(OR(-14385.21628="",-5740.52918="",-14385.21628=0,-5740.52918=0),"-",-5740.52918/-14385.21628*100)</f>
        <v>39.905755104851295</v>
      </c>
    </row>
    <row r="22" spans="1:4" ht="15.75">
      <c r="A22" s="8" t="s">
        <v>43</v>
      </c>
      <c r="B22" s="21">
        <f>IF(47454.45732="","-",47454.45732)</f>
        <v>47454.45732</v>
      </c>
      <c r="C22" s="21">
        <f>IF(55083.79327="","-",55083.79327)</f>
        <v>55083.79327</v>
      </c>
      <c r="D22" s="60">
        <f>IF(47454.45732="","-",55083.79327/47454.45732*100)</f>
        <v>116.0771745814161</v>
      </c>
    </row>
    <row r="23" spans="1:4" ht="15.75">
      <c r="A23" s="7" t="s">
        <v>44</v>
      </c>
      <c r="B23" s="22">
        <f>IF(OR(1789.01845="",1789.01845=0),"-",1789.01845)</f>
        <v>1789.01845</v>
      </c>
      <c r="C23" s="22">
        <f>IF(OR(1554.44022="",1554.44022=0),"-",1554.44022)</f>
        <v>1554.44022</v>
      </c>
      <c r="D23" s="81">
        <f>IF(OR(1789.01845="",1554.44022="",1789.01845=0,1554.44022=0),"-",1554.44022/1789.01845*100)</f>
        <v>86.88788089357044</v>
      </c>
    </row>
    <row r="24" spans="1:4" ht="15.75">
      <c r="A24" s="7" t="s">
        <v>45</v>
      </c>
      <c r="B24" s="22">
        <f>IF(OR(65388.28805="",65388.28805=0),"-",65388.28805)</f>
        <v>65388.28805</v>
      </c>
      <c r="C24" s="22">
        <f>IF(OR(80248.55853="",80248.55853=0),"-",80248.55853)</f>
        <v>80248.55853</v>
      </c>
      <c r="D24" s="81">
        <f>IF(OR(65388.28805="",80248.55853="",65388.28805=0,80248.55853=0),"-",80248.55853/65388.28805*100)</f>
        <v>122.7261959643857</v>
      </c>
    </row>
    <row r="25" spans="1:4" ht="15.75">
      <c r="A25" s="7" t="s">
        <v>46</v>
      </c>
      <c r="B25" s="22">
        <f>IF(OR(-266.4831="",-266.4831=0),"-",-266.4831)</f>
        <v>-266.4831</v>
      </c>
      <c r="C25" s="22">
        <f>IF(OR(-305.35758="",-305.35758=0),"-",-305.35758)</f>
        <v>-305.35758</v>
      </c>
      <c r="D25" s="81">
        <f>IF(OR(-266.4831="",-305.35758="",-266.4831=0,-305.35758=0),"-",-305.35758/-266.4831*100)</f>
        <v>114.58797199522222</v>
      </c>
    </row>
    <row r="26" spans="1:4" ht="15.75">
      <c r="A26" s="7" t="s">
        <v>47</v>
      </c>
      <c r="B26" s="22">
        <f>IF(OR(-10309.26802="",-10309.26802=0),"-",-10309.26802)</f>
        <v>-10309.26802</v>
      </c>
      <c r="C26" s="22">
        <f>IF(OR(-11032.60171="",-11032.60171=0),"-",-11032.60171)</f>
        <v>-11032.60171</v>
      </c>
      <c r="D26" s="81">
        <f>IF(OR(-10309.26802="",-11032.60171="",-10309.26802=0,-11032.60171=0),"-",-11032.60171/-10309.26802*100)</f>
        <v>107.0163438237975</v>
      </c>
    </row>
    <row r="27" spans="1:4" ht="15.75">
      <c r="A27" s="7" t="s">
        <v>48</v>
      </c>
      <c r="B27" s="22">
        <f>IF(OR(851.22593="",851.22593=0),"-",851.22593)</f>
        <v>851.22593</v>
      </c>
      <c r="C27" s="22">
        <f>IF(OR(1150.39731="",1150.39731=0),"-",1150.39731)</f>
        <v>1150.39731</v>
      </c>
      <c r="D27" s="81">
        <f>IF(OR(851.22593="",1150.39731="",851.22593=0,1150.39731=0),"-",1150.39731/851.22593*100)</f>
        <v>135.14594298131874</v>
      </c>
    </row>
    <row r="28" spans="1:4" ht="25.5">
      <c r="A28" s="7" t="s">
        <v>49</v>
      </c>
      <c r="B28" s="22">
        <f>IF(OR(-3102.27278="",-3102.27278=0),"-",-3102.27278)</f>
        <v>-3102.27278</v>
      </c>
      <c r="C28" s="22">
        <f>IF(OR(-3460.94048="",-3460.94048=0),"-",-3460.94048)</f>
        <v>-3460.94048</v>
      </c>
      <c r="D28" s="81">
        <f>IF(OR(-3102.27278="",-3460.94048="",-3102.27278=0,-3460.94048=0),"-",-3460.94048/-3102.27278*100)</f>
        <v>111.5614494738274</v>
      </c>
    </row>
    <row r="29" spans="1:4" ht="25.5">
      <c r="A29" s="7" t="s">
        <v>50</v>
      </c>
      <c r="B29" s="22">
        <f>IF(OR(247.13445="",247.13445=0),"-",247.13445)</f>
        <v>247.13445</v>
      </c>
      <c r="C29" s="22">
        <f>IF(OR(-616.70012="",-616.70012=0),"-",-616.70012)</f>
        <v>-616.70012</v>
      </c>
      <c r="D29" s="81" t="s">
        <v>169</v>
      </c>
    </row>
    <row r="30" spans="1:4" ht="15.75">
      <c r="A30" s="7" t="s">
        <v>51</v>
      </c>
      <c r="B30" s="22">
        <f>IF(OR(6059.90367="",6059.90367=0),"-",6059.90367)</f>
        <v>6059.90367</v>
      </c>
      <c r="C30" s="22">
        <f>IF(OR(6046.49873="",6046.49873=0),"-",6046.49873)</f>
        <v>6046.49873</v>
      </c>
      <c r="D30" s="81">
        <f>IF(OR(6059.90367="",6046.49873="",6059.90367=0,6046.49873=0),"-",6046.49873/6059.90367*100)</f>
        <v>99.7787928533194</v>
      </c>
    </row>
    <row r="31" spans="1:4" ht="15.75">
      <c r="A31" s="7" t="s">
        <v>52</v>
      </c>
      <c r="B31" s="22">
        <f>IF(OR(-13203.08933="",-13203.08933=0),"-",-13203.08933)</f>
        <v>-13203.08933</v>
      </c>
      <c r="C31" s="22">
        <f>IF(OR(-18500.50163="",-18500.50163=0),"-",-18500.50163)</f>
        <v>-18500.50163</v>
      </c>
      <c r="D31" s="81">
        <f>IF(OR(-13203.08933="",-18500.50163="",-13203.08933=0,-18500.50163=0),"-",-18500.50163/-13203.08933*100)</f>
        <v>140.12252108272298</v>
      </c>
    </row>
    <row r="32" spans="1:4" ht="15.75">
      <c r="A32" s="8" t="s">
        <v>53</v>
      </c>
      <c r="B32" s="21">
        <f>IF(-292595.70609="","-",-292595.70609)</f>
        <v>-292595.70609</v>
      </c>
      <c r="C32" s="21">
        <f>IF(-358062.95061="","-",-358062.95061)</f>
        <v>-358062.95061</v>
      </c>
      <c r="D32" s="60">
        <f>IF(-292595.70609="","-",-358062.95061/-292595.70609*100)</f>
        <v>122.37464294840433</v>
      </c>
    </row>
    <row r="33" spans="1:4" ht="15.75">
      <c r="A33" s="7" t="s">
        <v>54</v>
      </c>
      <c r="B33" s="22">
        <f>IF(OR(-7383.30819="",-7383.30819=0),"-",-7383.30819)</f>
        <v>-7383.30819</v>
      </c>
      <c r="C33" s="22">
        <f>IF(OR(-4282.85993="",-4282.85993=0),"-",-4282.85993)</f>
        <v>-4282.85993</v>
      </c>
      <c r="D33" s="81">
        <f>IF(OR(-7383.30819="",-4282.85993="",-7383.30819=0,-4282.85993=0),"-",-4282.85993/-7383.30819*100)</f>
        <v>58.00732977394514</v>
      </c>
    </row>
    <row r="34" spans="1:4" ht="15.75">
      <c r="A34" s="7" t="s">
        <v>55</v>
      </c>
      <c r="B34" s="22">
        <f>IF(OR(-159585.54346="",-159585.54346=0),"-",-159585.54346)</f>
        <v>-159585.54346</v>
      </c>
      <c r="C34" s="22">
        <f>IF(OR(-208367.4363="",-208367.4363=0),"-",-208367.4363)</f>
        <v>-208367.4363</v>
      </c>
      <c r="D34" s="81">
        <f>IF(OR(-159585.54346="",-208367.4363="",-159585.54346=0,-208367.4363=0),"-",-208367.4363/-159585.54346*100)</f>
        <v>130.5678645962234</v>
      </c>
    </row>
    <row r="35" spans="1:4" ht="15.75">
      <c r="A35" s="7" t="s">
        <v>56</v>
      </c>
      <c r="B35" s="22">
        <f>IF(OR(-97485.80188="",-97485.80188=0),"-",-97485.80188)</f>
        <v>-97485.80188</v>
      </c>
      <c r="C35" s="22">
        <f>IF(OR(-127740.81145="",-127740.81145=0),"-",-127740.81145)</f>
        <v>-127740.81145</v>
      </c>
      <c r="D35" s="81">
        <f>IF(OR(-97485.80188="",-127740.81145="",-97485.80188=0,-127740.81145=0),"-",-127740.81145/-97485.80188*100)</f>
        <v>131.03529846042846</v>
      </c>
    </row>
    <row r="36" spans="1:4" ht="15.75">
      <c r="A36" s="7" t="s">
        <v>57</v>
      </c>
      <c r="B36" s="22">
        <f>IF(OR(-28141.05256="",-28141.05256=0),"-",-28141.05256)</f>
        <v>-28141.05256</v>
      </c>
      <c r="C36" s="22">
        <f>IF(OR(-17671.84293="",-17671.84293=0),"-",-17671.84293)</f>
        <v>-17671.84293</v>
      </c>
      <c r="D36" s="81">
        <f>IF(OR(-28141.05256="",-17671.84293="",-28141.05256=0,-17671.84293=0),"-",-17671.84293/-28141.05256*100)</f>
        <v>62.79737722077585</v>
      </c>
    </row>
    <row r="37" spans="1:4" ht="15.75">
      <c r="A37" s="8" t="s">
        <v>58</v>
      </c>
      <c r="B37" s="21">
        <f>IF(18916.29551="","-",18916.29551)</f>
        <v>18916.29551</v>
      </c>
      <c r="C37" s="21">
        <f>IF(35939.51536="","-",35939.51536)</f>
        <v>35939.51536</v>
      </c>
      <c r="D37" s="60" t="s">
        <v>184</v>
      </c>
    </row>
    <row r="38" spans="1:4" ht="15.75">
      <c r="A38" s="7" t="s">
        <v>59</v>
      </c>
      <c r="B38" s="22">
        <f>IF(OR(-320.85497="",-320.85497=0),"-",-320.85497)</f>
        <v>-320.85497</v>
      </c>
      <c r="C38" s="22">
        <f>IF(OR(-583.69647="",-583.69647=0),"-",-583.69647)</f>
        <v>-583.69647</v>
      </c>
      <c r="D38" s="81" t="s">
        <v>182</v>
      </c>
    </row>
    <row r="39" spans="1:4" ht="15.75" customHeight="1">
      <c r="A39" s="7" t="s">
        <v>60</v>
      </c>
      <c r="B39" s="22">
        <f>IF(OR(20158.18482="",20158.18482=0),"-",20158.18482)</f>
        <v>20158.18482</v>
      </c>
      <c r="C39" s="22">
        <f>IF(OR(37599.12306="",37599.12306=0),"-",37599.12306)</f>
        <v>37599.12306</v>
      </c>
      <c r="D39" s="81" t="s">
        <v>184</v>
      </c>
    </row>
    <row r="40" spans="1:4" ht="25.5">
      <c r="A40" s="7" t="s">
        <v>61</v>
      </c>
      <c r="B40" s="22">
        <f>IF(OR(-921.03434="",-921.03434=0),"-",-921.03434)</f>
        <v>-921.03434</v>
      </c>
      <c r="C40" s="22">
        <f>IF(OR(-1075.91123="",-1075.91123=0),"-",-1075.91123)</f>
        <v>-1075.91123</v>
      </c>
      <c r="D40" s="81">
        <f>IF(OR(-921.03434="",-1075.91123="",-921.03434=0,-1075.91123=0),"-",-1075.91123/-921.03434*100)</f>
        <v>116.81553914699856</v>
      </c>
    </row>
    <row r="41" spans="1:4" ht="14.25" customHeight="1">
      <c r="A41" s="8" t="s">
        <v>62</v>
      </c>
      <c r="B41" s="21">
        <f>IF(-248948.94595="","-",-248948.94595)</f>
        <v>-248948.94595</v>
      </c>
      <c r="C41" s="21">
        <f>IF(-297247.31261="","-",-297247.31261)</f>
        <v>-297247.31261</v>
      </c>
      <c r="D41" s="60">
        <f>IF(-248948.94595="","-",-297247.31261/-248948.94595*100)</f>
        <v>119.40091229376021</v>
      </c>
    </row>
    <row r="42" spans="1:4" ht="15.75">
      <c r="A42" s="7" t="s">
        <v>63</v>
      </c>
      <c r="B42" s="22">
        <f>IF(OR(2710.33905="",2710.33905=0),"-",2710.33905)</f>
        <v>2710.33905</v>
      </c>
      <c r="C42" s="22">
        <f>IF(OR(2306.86462="",2306.86462=0),"-",2306.86462)</f>
        <v>2306.86462</v>
      </c>
      <c r="D42" s="81">
        <f>IF(OR(2710.33905="",2306.86462="",2710.33905=0,2306.86462=0),"-",2306.86462/2710.33905*100)</f>
        <v>85.1135071090091</v>
      </c>
    </row>
    <row r="43" spans="1:4" ht="15.75">
      <c r="A43" s="7" t="s">
        <v>64</v>
      </c>
      <c r="B43" s="22">
        <f>IF(OR(-4004.72519="",-4004.72519=0),"-",-4004.72519)</f>
        <v>-4004.72519</v>
      </c>
      <c r="C43" s="22">
        <f>IF(OR(-5211.55371="",-5211.55371=0),"-",-5211.55371)</f>
        <v>-5211.55371</v>
      </c>
      <c r="D43" s="81">
        <f>IF(OR(-4004.72519="",-5211.55371="",-4004.72519=0,-5211.55371=0),"-",-5211.55371/-4004.72519*100)</f>
        <v>130.13511446462073</v>
      </c>
    </row>
    <row r="44" spans="1:4" ht="15.75">
      <c r="A44" s="7" t="s">
        <v>65</v>
      </c>
      <c r="B44" s="22">
        <f>IF(OR(-10646.85965="",-10646.85965=0),"-",-10646.85965)</f>
        <v>-10646.85965</v>
      </c>
      <c r="C44" s="22">
        <f>IF(OR(-11447.54671="",-11447.54671=0),"-",-11447.54671)</f>
        <v>-11447.54671</v>
      </c>
      <c r="D44" s="81">
        <f>IF(OR(-10646.85965="",-11447.54671="",-10646.85965=0,-11447.54671=0),"-",-11447.54671/-10646.85965*100)</f>
        <v>107.5204058879465</v>
      </c>
    </row>
    <row r="45" spans="1:4" ht="15.75">
      <c r="A45" s="7" t="s">
        <v>66</v>
      </c>
      <c r="B45" s="22">
        <f>IF(OR(-62394.58765="",-62394.58765=0),"-",-62394.58765)</f>
        <v>-62394.58765</v>
      </c>
      <c r="C45" s="22">
        <f>IF(OR(-63569.21068="",-63569.21068=0),"-",-63569.21068)</f>
        <v>-63569.21068</v>
      </c>
      <c r="D45" s="81">
        <f>IF(OR(-62394.58765="",-63569.21068="",-62394.58765=0,-63569.21068=0),"-",-63569.21068/-62394.58765*100)</f>
        <v>101.88257198939914</v>
      </c>
    </row>
    <row r="46" spans="1:4" ht="25.5">
      <c r="A46" s="7" t="s">
        <v>67</v>
      </c>
      <c r="B46" s="22">
        <f>IF(OR(-30267.51438="",-30267.51438=0),"-",-30267.51438)</f>
        <v>-30267.51438</v>
      </c>
      <c r="C46" s="22">
        <f>IF(OR(-36483.60351="",-36483.60351=0),"-",-36483.60351)</f>
        <v>-36483.60351</v>
      </c>
      <c r="D46" s="81">
        <f>IF(OR(-30267.51438="",-36483.60351="",-30267.51438=0,-36483.60351=0),"-",-36483.60351/-30267.51438*100)</f>
        <v>120.53716420832836</v>
      </c>
    </row>
    <row r="47" spans="1:4" ht="15.75">
      <c r="A47" s="7" t="s">
        <v>68</v>
      </c>
      <c r="B47" s="22">
        <f>IF(OR(-28650.91044="",-28650.91044=0),"-",-28650.91044)</f>
        <v>-28650.91044</v>
      </c>
      <c r="C47" s="22">
        <f>IF(OR(-39687.44452="",-39687.44452=0),"-",-39687.44452)</f>
        <v>-39687.44452</v>
      </c>
      <c r="D47" s="81">
        <f>IF(OR(-28650.91044="",-39687.44452="",-28650.91044=0,-39687.44452=0),"-",-39687.44452/-28650.91044*100)</f>
        <v>138.5207098500846</v>
      </c>
    </row>
    <row r="48" spans="1:4" ht="15.75">
      <c r="A48" s="7" t="s">
        <v>69</v>
      </c>
      <c r="B48" s="22">
        <f>IF(OR(-17148.46709="",-17148.46709=0),"-",-17148.46709)</f>
        <v>-17148.46709</v>
      </c>
      <c r="C48" s="22">
        <f>IF(OR(-20436.41534="",-20436.41534=0),"-",-20436.41534)</f>
        <v>-20436.41534</v>
      </c>
      <c r="D48" s="81">
        <f>IF(OR(-17148.46709="",-20436.41534="",-17148.46709=0,-20436.41534=0),"-",-20436.41534/-17148.46709*100)</f>
        <v>119.1734236812184</v>
      </c>
    </row>
    <row r="49" spans="1:4" ht="15.75">
      <c r="A49" s="7" t="s">
        <v>70</v>
      </c>
      <c r="B49" s="22">
        <f>IF(OR(-33173.55047="",-33173.55047=0),"-",-33173.55047)</f>
        <v>-33173.55047</v>
      </c>
      <c r="C49" s="22">
        <f>IF(OR(-39913.16927="",-39913.16927=0),"-",-39913.16927)</f>
        <v>-39913.16927</v>
      </c>
      <c r="D49" s="81">
        <f>IF(OR(-33173.55047="",-39913.16927="",-33173.55047=0,-39913.16927=0),"-",-39913.16927/-33173.55047*100)</f>
        <v>120.31624201966223</v>
      </c>
    </row>
    <row r="50" spans="1:4" ht="15.75">
      <c r="A50" s="7" t="s">
        <v>71</v>
      </c>
      <c r="B50" s="22">
        <f>IF(OR(-65372.67013="",-65372.67013=0),"-",-65372.67013)</f>
        <v>-65372.67013</v>
      </c>
      <c r="C50" s="22">
        <f>IF(OR(-82805.23349="",-82805.23349=0),"-",-82805.23349)</f>
        <v>-82805.23349</v>
      </c>
      <c r="D50" s="81">
        <f>IF(OR(-65372.67013="",-82805.23349="",-65372.67013=0,-82805.23349=0),"-",-82805.23349/-65372.67013*100)</f>
        <v>126.66643924033336</v>
      </c>
    </row>
    <row r="51" spans="1:4" ht="25.5">
      <c r="A51" s="8" t="s">
        <v>72</v>
      </c>
      <c r="B51" s="21">
        <f>IF(-274070.90567="","-",-274070.90567)</f>
        <v>-274070.90567</v>
      </c>
      <c r="C51" s="21">
        <f>IF(-371566.85095="","-",-371566.85095)</f>
        <v>-371566.85095</v>
      </c>
      <c r="D51" s="60">
        <f>IF(-274070.90567="","-",-371566.85095/-274070.90567*100)</f>
        <v>135.57325614028937</v>
      </c>
    </row>
    <row r="52" spans="1:4" ht="15.75">
      <c r="A52" s="7" t="s">
        <v>73</v>
      </c>
      <c r="B52" s="22">
        <f>IF(OR(-13539.36921="",-13539.36921=0),"-",-13539.36921)</f>
        <v>-13539.36921</v>
      </c>
      <c r="C52" s="22">
        <f>IF(OR(-25123.02378="",-25123.02378=0),"-",-25123.02378)</f>
        <v>-25123.02378</v>
      </c>
      <c r="D52" s="81" t="s">
        <v>184</v>
      </c>
    </row>
    <row r="53" spans="1:4" ht="15.75">
      <c r="A53" s="7" t="s">
        <v>74</v>
      </c>
      <c r="B53" s="22">
        <f>IF(OR(-19205.25849="",-19205.25849=0),"-",-19205.25849)</f>
        <v>-19205.25849</v>
      </c>
      <c r="C53" s="22">
        <f>IF(OR(-24884.50947="",-24884.50947=0),"-",-24884.50947)</f>
        <v>-24884.50947</v>
      </c>
      <c r="D53" s="81">
        <f>IF(OR(-19205.25849="",-24884.50947="",-19205.25849=0,-24884.50947=0),"-",-24884.50947/-19205.25849*100)</f>
        <v>129.57133320000423</v>
      </c>
    </row>
    <row r="54" spans="1:4" ht="15.75">
      <c r="A54" s="7" t="s">
        <v>75</v>
      </c>
      <c r="B54" s="22">
        <f>IF(OR(-17823.97479="",-17823.97479=0),"-",-17823.97479)</f>
        <v>-17823.97479</v>
      </c>
      <c r="C54" s="22">
        <f>IF(OR(-22638.36266="",-22638.36266=0),"-",-22638.36266)</f>
        <v>-22638.36266</v>
      </c>
      <c r="D54" s="81">
        <f>IF(OR(-17823.97479="",-22638.36266="",-17823.97479=0,-22638.36266=0),"-",-22638.36266/-17823.97479*100)</f>
        <v>127.01074214210107</v>
      </c>
    </row>
    <row r="55" spans="1:4" ht="25.5">
      <c r="A55" s="7" t="s">
        <v>76</v>
      </c>
      <c r="B55" s="22">
        <f>IF(OR(-29300.3019="",-29300.3019=0),"-",-29300.3019)</f>
        <v>-29300.3019</v>
      </c>
      <c r="C55" s="22">
        <f>IF(OR(-35374.68433="",-35374.68433=0),"-",-35374.68433)</f>
        <v>-35374.68433</v>
      </c>
      <c r="D55" s="81">
        <f>IF(OR(-29300.3019="",-35374.68433="",-29300.3019=0,-35374.68433=0),"-",-35374.68433/-29300.3019*100)</f>
        <v>120.73146703652225</v>
      </c>
    </row>
    <row r="56" spans="1:4" ht="25.5">
      <c r="A56" s="7" t="s">
        <v>77</v>
      </c>
      <c r="B56" s="22">
        <f>IF(OR(-73996.95355="",-73996.95355=0),"-",-73996.95355)</f>
        <v>-73996.95355</v>
      </c>
      <c r="C56" s="22">
        <f>IF(OR(-95832.57445="",-95832.57445=0),"-",-95832.57445)</f>
        <v>-95832.57445</v>
      </c>
      <c r="D56" s="81">
        <f>IF(OR(-73996.95355="",-95832.57445="",-73996.95355=0,-95832.57445=0),"-",-95832.57445/-73996.95355*100)</f>
        <v>129.5088106367049</v>
      </c>
    </row>
    <row r="57" spans="1:4" ht="15.75">
      <c r="A57" s="7" t="s">
        <v>78</v>
      </c>
      <c r="B57" s="22">
        <f>IF(OR(-28993.09908="",-28993.09908=0),"-",-28993.09908)</f>
        <v>-28993.09908</v>
      </c>
      <c r="C57" s="22">
        <f>IF(OR(-24987.81804="",-24987.81804=0),"-",-24987.81804)</f>
        <v>-24987.81804</v>
      </c>
      <c r="D57" s="81">
        <f>IF(OR(-28993.09908="",-24987.81804="",-28993.09908=0,-24987.81804=0),"-",-24987.81804/-28993.09908*100)</f>
        <v>86.18539870833291</v>
      </c>
    </row>
    <row r="58" spans="1:4" ht="15.75">
      <c r="A58" s="7" t="s">
        <v>79</v>
      </c>
      <c r="B58" s="22">
        <f>IF(OR(-31840.68832="",-31840.68832=0),"-",-31840.68832)</f>
        <v>-31840.68832</v>
      </c>
      <c r="C58" s="22">
        <f>IF(OR(-47661.85102="",-47661.85102=0),"-",-47661.85102)</f>
        <v>-47661.85102</v>
      </c>
      <c r="D58" s="81">
        <f>IF(OR(-31840.68832="",-47661.85102="",-31840.68832=0,-47661.85102=0),"-",-47661.85102/-31840.68832*100)</f>
        <v>149.6885071735786</v>
      </c>
    </row>
    <row r="59" spans="1:4" ht="15.75">
      <c r="A59" s="7" t="s">
        <v>80</v>
      </c>
      <c r="B59" s="22">
        <f>IF(OR(-24555.35062="",-24555.35062=0),"-",-24555.35062)</f>
        <v>-24555.35062</v>
      </c>
      <c r="C59" s="22">
        <f>IF(OR(-43173.73792="",-43173.73792=0),"-",-43173.73792)</f>
        <v>-43173.73792</v>
      </c>
      <c r="D59" s="81" t="s">
        <v>182</v>
      </c>
    </row>
    <row r="60" spans="1:4" ht="15.75">
      <c r="A60" s="7" t="s">
        <v>81</v>
      </c>
      <c r="B60" s="22">
        <f>IF(OR(-34815.90971="",-34815.90971=0),"-",-34815.90971)</f>
        <v>-34815.90971</v>
      </c>
      <c r="C60" s="22">
        <f>IF(OR(-51890.28928="",-51890.28928=0),"-",-51890.28928)</f>
        <v>-51890.28928</v>
      </c>
      <c r="D60" s="81">
        <f>IF(OR(-34815.90971="",-51890.28928="",-34815.90971=0,-51890.28928=0),"-",-51890.28928/-34815.90971*100)</f>
        <v>149.0418883557014</v>
      </c>
    </row>
    <row r="61" spans="1:4" ht="15.75">
      <c r="A61" s="8" t="s">
        <v>82</v>
      </c>
      <c r="B61" s="21">
        <f>IF(-208310.84033="","-",-208310.84033)</f>
        <v>-208310.84033</v>
      </c>
      <c r="C61" s="21">
        <f>IF(-315762.55385="","-",-315762.55385)</f>
        <v>-315762.55385</v>
      </c>
      <c r="D61" s="60">
        <f>IF(-208310.84033="","-",-315762.55385/-208310.84033*100)</f>
        <v>151.58239165555577</v>
      </c>
    </row>
    <row r="62" spans="1:4" ht="15.75">
      <c r="A62" s="7" t="s">
        <v>83</v>
      </c>
      <c r="B62" s="22">
        <f>IF(OR(-4364.05587="",-4364.05587=0),"-",-4364.05587)</f>
        <v>-4364.05587</v>
      </c>
      <c r="C62" s="22">
        <f>IF(OR(-11268.13254="",-11268.13254=0),"-",-11268.13254)</f>
        <v>-11268.13254</v>
      </c>
      <c r="D62" s="81" t="s">
        <v>176</v>
      </c>
    </row>
    <row r="63" spans="1:4" ht="15.75">
      <c r="A63" s="7" t="s">
        <v>84</v>
      </c>
      <c r="B63" s="22">
        <f>IF(OR(-51614.0333="",-51614.0333=0),"-",-51614.0333)</f>
        <v>-51614.0333</v>
      </c>
      <c r="C63" s="22">
        <f>IF(OR(-82320.02245="",-82320.02245=0),"-",-82320.02245)</f>
        <v>-82320.02245</v>
      </c>
      <c r="D63" s="81">
        <f>IF(OR(-51614.0333="",-82320.02245="",-51614.0333=0,-82320.02245=0),"-",-82320.02245/-51614.0333*100)</f>
        <v>159.49155139945245</v>
      </c>
    </row>
    <row r="64" spans="1:4" ht="15.75">
      <c r="A64" s="7" t="s">
        <v>85</v>
      </c>
      <c r="B64" s="22">
        <f>IF(OR(-3231.1316="",-3231.1316=0),"-",-3231.1316)</f>
        <v>-3231.1316</v>
      </c>
      <c r="C64" s="22">
        <f>IF(OR(-3655.89513="",-3655.89513=0),"-",-3655.89513)</f>
        <v>-3655.89513</v>
      </c>
      <c r="D64" s="81">
        <f>IF(OR(-3231.1316="",-3655.89513="",-3231.1316=0,-3655.89513=0),"-",-3655.89513/-3231.1316*100)</f>
        <v>113.14596811841398</v>
      </c>
    </row>
    <row r="65" spans="1:4" ht="25.5">
      <c r="A65" s="7" t="s">
        <v>86</v>
      </c>
      <c r="B65" s="22">
        <f>IF(OR(-40154.03885="",-40154.03885=0),"-",-40154.03885)</f>
        <v>-40154.03885</v>
      </c>
      <c r="C65" s="22">
        <f>IF(OR(-58014.6685="",-58014.6685=0),"-",-58014.6685)</f>
        <v>-58014.6685</v>
      </c>
      <c r="D65" s="81">
        <f>IF(OR(-40154.03885="",-58014.6685="",-40154.03885=0,-58014.6685=0),"-",-58014.6685/-40154.03885*100)</f>
        <v>144.48028183844826</v>
      </c>
    </row>
    <row r="66" spans="1:4" ht="25.5">
      <c r="A66" s="7" t="s">
        <v>87</v>
      </c>
      <c r="B66" s="22">
        <f>IF(OR(-13982.85025="",-13982.85025=0),"-",-13982.85025)</f>
        <v>-13982.85025</v>
      </c>
      <c r="C66" s="22">
        <f>IF(OR(-21852.51922="",-21852.51922=0),"-",-21852.51922)</f>
        <v>-21852.51922</v>
      </c>
      <c r="D66" s="81">
        <f>IF(OR(-13982.85025="",-21852.51922="",-13982.85025=0,-21852.51922=0),"-",-21852.51922/-13982.85025*100)</f>
        <v>156.28086426799857</v>
      </c>
    </row>
    <row r="67" spans="1:4" ht="25.5">
      <c r="A67" s="7" t="s">
        <v>88</v>
      </c>
      <c r="B67" s="22">
        <f>IF(OR(-33486.32="",-33486.32=0),"-",-33486.32)</f>
        <v>-33486.32</v>
      </c>
      <c r="C67" s="22">
        <f>IF(OR(-52178.24118="",-52178.24118=0),"-",-52178.24118)</f>
        <v>-52178.24118</v>
      </c>
      <c r="D67" s="81">
        <f>IF(OR(-33486.32="",-52178.24118="",-33486.32=0,-52178.24118=0),"-",-52178.24118/-33486.32*100)</f>
        <v>155.81957402306375</v>
      </c>
    </row>
    <row r="68" spans="1:4" ht="28.5" customHeight="1">
      <c r="A68" s="7" t="s">
        <v>89</v>
      </c>
      <c r="B68" s="22">
        <f>IF(OR(6730.71351="",6730.71351=0),"-",6730.71351)</f>
        <v>6730.71351</v>
      </c>
      <c r="C68" s="22">
        <f>IF(OR(26339.31726="",26339.31726=0),"-",26339.31726)</f>
        <v>26339.31726</v>
      </c>
      <c r="D68" s="81" t="s">
        <v>306</v>
      </c>
    </row>
    <row r="69" spans="1:4" ht="15.75">
      <c r="A69" s="7" t="s">
        <v>90</v>
      </c>
      <c r="B69" s="22">
        <f>IF(OR(-79909.25269="",-79909.25269=0),"-",-79909.25269)</f>
        <v>-79909.25269</v>
      </c>
      <c r="C69" s="22">
        <f>IF(OR(-111836.80375="",-111836.80375=0),"-",-111836.80375)</f>
        <v>-111836.80375</v>
      </c>
      <c r="D69" s="81">
        <f>IF(OR(-79909.25269="",-111836.80375="",-79909.25269=0,-111836.80375=0),"-",-111836.80375/-79909.25269*100)</f>
        <v>139.95476116371626</v>
      </c>
    </row>
    <row r="70" spans="1:4" ht="15.75">
      <c r="A70" s="7" t="s">
        <v>91</v>
      </c>
      <c r="B70" s="22">
        <f>IF(OR(11700.12872="",11700.12872=0),"-",11700.12872)</f>
        <v>11700.12872</v>
      </c>
      <c r="C70" s="22">
        <f>IF(OR(-975.58834="",-975.58834=0),"-",-975.58834)</f>
        <v>-975.58834</v>
      </c>
      <c r="D70" s="81" t="s">
        <v>27</v>
      </c>
    </row>
    <row r="71" spans="1:4" ht="15.75">
      <c r="A71" s="8" t="s">
        <v>92</v>
      </c>
      <c r="B71" s="21">
        <f>IF(10816.93281="","-",10816.93281)</f>
        <v>10816.93281</v>
      </c>
      <c r="C71" s="21">
        <f>IF(28351.94242="","-",28351.94242)</f>
        <v>28351.94242</v>
      </c>
      <c r="D71" s="60" t="s">
        <v>176</v>
      </c>
    </row>
    <row r="72" spans="1:4" ht="25.5">
      <c r="A72" s="7" t="s">
        <v>93</v>
      </c>
      <c r="B72" s="22">
        <f>IF(OR(-8007.35048="",-8007.35048=0),"-",-8007.35048)</f>
        <v>-8007.35048</v>
      </c>
      <c r="C72" s="22">
        <f>IF(OR(-11062.22739="",-11062.22739=0),"-",-11062.22739)</f>
        <v>-11062.22739</v>
      </c>
      <c r="D72" s="81">
        <f>IF(OR(-8007.35048="",-11062.22739="",-8007.35048=0,-11062.22739=0),"-",-11062.22739/-8007.35048*100)</f>
        <v>138.15090793927632</v>
      </c>
    </row>
    <row r="73" spans="1:4" ht="15.75">
      <c r="A73" s="7" t="s">
        <v>94</v>
      </c>
      <c r="B73" s="22">
        <f>IF(OR(32146.26744="",32146.26744=0),"-",32146.26744)</f>
        <v>32146.26744</v>
      </c>
      <c r="C73" s="22">
        <f>IF(OR(45991.61309="",45991.61309=0),"-",45991.61309)</f>
        <v>45991.61309</v>
      </c>
      <c r="D73" s="81">
        <f>IF(OR(32146.26744="",45991.61309="",32146.26744=0,45991.61309=0),"-",45991.61309/32146.26744*100)</f>
        <v>143.06983905936173</v>
      </c>
    </row>
    <row r="74" spans="1:4" ht="15.75">
      <c r="A74" s="7" t="s">
        <v>95</v>
      </c>
      <c r="B74" s="22">
        <f>IF(OR(-2972.41567="",-2972.41567=0),"-",-2972.41567)</f>
        <v>-2972.41567</v>
      </c>
      <c r="C74" s="22">
        <f>IF(OR(4034.92894="",4034.92894=0),"-",4034.92894)</f>
        <v>4034.92894</v>
      </c>
      <c r="D74" s="81" t="s">
        <v>27</v>
      </c>
    </row>
    <row r="75" spans="1:4" ht="15.75">
      <c r="A75" s="7" t="s">
        <v>96</v>
      </c>
      <c r="B75" s="22">
        <f>IF(OR(53497.6610199999="",53497.6610199999=0),"-",53497.6610199999)</f>
        <v>53497.6610199999</v>
      </c>
      <c r="C75" s="22">
        <f>IF(OR(69541.99988="",69541.99988=0),"-",69541.99988)</f>
        <v>69541.99988</v>
      </c>
      <c r="D75" s="81">
        <f>IF(OR(53497.6610199999="",69541.99988="",53497.6610199999=0,69541.99988=0),"-",69541.99988/53497.6610199999*100)</f>
        <v>129.99072960218203</v>
      </c>
    </row>
    <row r="76" spans="1:4" ht="15.75">
      <c r="A76" s="7" t="s">
        <v>97</v>
      </c>
      <c r="B76" s="22">
        <f>IF(OR(-5024.76675="",-5024.76675=0),"-",-5024.76675)</f>
        <v>-5024.76675</v>
      </c>
      <c r="C76" s="22">
        <f>IF(OR(-2925.84887="",-2925.84887=0),"-",-2925.84887)</f>
        <v>-2925.84887</v>
      </c>
      <c r="D76" s="81">
        <f>IF(OR(-5024.76675="",-2925.84887="",-5024.76675=0,-2925.84887=0),"-",-2925.84887/-5024.76675*100)</f>
        <v>58.22855100687012</v>
      </c>
    </row>
    <row r="77" spans="1:4" ht="15.75">
      <c r="A77" s="7" t="s">
        <v>98</v>
      </c>
      <c r="B77" s="22">
        <f>IF(OR(-8442.87078="",-8442.87078=0),"-",-8442.87078)</f>
        <v>-8442.87078</v>
      </c>
      <c r="C77" s="22">
        <f>IF(OR(-11634.82982="",-11634.82982=0),"-",-11634.82982)</f>
        <v>-11634.82982</v>
      </c>
      <c r="D77" s="81">
        <f>IF(OR(-8442.87078="",-11634.82982="",-8442.87078=0,-11634.82982=0),"-",-11634.82982/-8442.87078*100)</f>
        <v>137.8065603889297</v>
      </c>
    </row>
    <row r="78" spans="1:4" ht="25.5">
      <c r="A78" s="7" t="s">
        <v>99</v>
      </c>
      <c r="B78" s="22">
        <f>IF(OR(-2868.00371="",-2868.00371=0),"-",-2868.00371)</f>
        <v>-2868.00371</v>
      </c>
      <c r="C78" s="22">
        <f>IF(OR(-3632.95318="",-3632.95318=0),"-",-3632.95318)</f>
        <v>-3632.95318</v>
      </c>
      <c r="D78" s="81">
        <f>IF(OR(-2868.00371="",-3632.95318="",-2868.00371=0,-3632.95318=0),"-",-3632.95318/-2868.00371*100)</f>
        <v>126.6718438101323</v>
      </c>
    </row>
    <row r="79" spans="1:4" s="1" customFormat="1" ht="15.75">
      <c r="A79" s="9" t="s">
        <v>100</v>
      </c>
      <c r="B79" s="22">
        <f>IF(OR(-47511.58826="",-47511.58826=0),"-",-47511.58826)</f>
        <v>-47511.58826</v>
      </c>
      <c r="C79" s="22">
        <f>IF(OR(-61960.74023="",-61960.74023=0),"-",-61960.74023)</f>
        <v>-61960.74023</v>
      </c>
      <c r="D79" s="81">
        <f>IF(OR(-47511.58826="",-61960.74023="",-47511.58826=0,-61960.74023=0),"-",-61960.74023/-47511.58826*100)</f>
        <v>130.41184792840266</v>
      </c>
    </row>
    <row r="80" spans="1:4" s="1" customFormat="1" ht="15.75">
      <c r="A80" s="78" t="s">
        <v>303</v>
      </c>
      <c r="B80" s="82">
        <f>IF(-334.28416="","-",-334.28416)</f>
        <v>-334.28416</v>
      </c>
      <c r="C80" s="82">
        <f>IF(164.57061="","-",164.57061)</f>
        <v>164.57061</v>
      </c>
      <c r="D80" s="83" t="s">
        <v>27</v>
      </c>
    </row>
    <row r="81" spans="1:4" s="1" customFormat="1" ht="15.75">
      <c r="A81" s="77" t="s">
        <v>23</v>
      </c>
      <c r="B81" s="69"/>
      <c r="C81" s="69"/>
      <c r="D81" s="69"/>
    </row>
    <row r="82" spans="2:4" ht="15.75">
      <c r="B82" s="16"/>
      <c r="C82" s="36"/>
      <c r="D82" s="17"/>
    </row>
    <row r="83" spans="2:4" ht="15.75">
      <c r="B83" s="16"/>
      <c r="C83" s="16"/>
      <c r="D83" s="17"/>
    </row>
    <row r="84" spans="2:4" ht="15.75">
      <c r="B84" s="16"/>
      <c r="C84" s="16"/>
      <c r="D84" s="17"/>
    </row>
    <row r="85" ht="15.75">
      <c r="C85" s="16"/>
    </row>
  </sheetData>
  <sheetProtection/>
  <mergeCells count="5">
    <mergeCell ref="A1:D1"/>
    <mergeCell ref="A2:D2"/>
    <mergeCell ref="A4:A5"/>
    <mergeCell ref="D4:D5"/>
    <mergeCell ref="B4:C4"/>
  </mergeCells>
  <printOptions/>
  <pageMargins left="0.5905511811023623" right="0.3937007874015748" top="0.3937007874015748" bottom="0.3937007874015748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TatianaGrosu</dc:creator>
  <cp:keywords/>
  <dc:description/>
  <cp:lastModifiedBy>Lilia Racu</cp:lastModifiedBy>
  <cp:lastPrinted>2018-07-05T06:47:33Z</cp:lastPrinted>
  <dcterms:created xsi:type="dcterms:W3CDTF">2016-09-01T07:59:47Z</dcterms:created>
  <dcterms:modified xsi:type="dcterms:W3CDTF">2018-07-05T14:11:04Z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