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tabRatio="791" activeTab="0"/>
  </bookViews>
  <sheets>
    <sheet name="Export_Tari" sheetId="1" r:id="rId1"/>
    <sheet name="Import_Tari" sheetId="2" r:id="rId2"/>
    <sheet name="Balanta Comerciala_Tari" sheetId="3" r:id="rId3"/>
    <sheet name="Export_Moduri_Transport" sheetId="4" r:id="rId4"/>
    <sheet name="Import_Moduri_Transport" sheetId="5" r:id="rId5"/>
    <sheet name="Export_Grupe_Marfuri_CSCI" sheetId="6" r:id="rId6"/>
    <sheet name="Import_Grupe_Marfuri_CSCI" sheetId="7" r:id="rId7"/>
    <sheet name="Balanta_Comerciala_Gr_Marf_CSCI" sheetId="8" r:id="rId8"/>
  </sheets>
  <definedNames>
    <definedName name="_xlnm.Print_Titles" localSheetId="2">'Balanta Comerciala_Tari'!$3:$4</definedName>
    <definedName name="_xlnm.Print_Titles" localSheetId="7">'Balanta_Comerciala_Gr_Marf_CSCI'!$4:$5</definedName>
    <definedName name="_xlnm.Print_Titles" localSheetId="5">'Export_Grupe_Marfuri_CSCI'!$4:$6</definedName>
    <definedName name="_xlnm.Print_Titles" localSheetId="0">'Export_Tari'!$3:$5</definedName>
    <definedName name="_xlnm.Print_Titles" localSheetId="6">'Import_Grupe_Marfuri_CSCI'!$4:$6</definedName>
    <definedName name="_xlnm.Print_Titles" localSheetId="1">'Import_Tari'!$3:$5</definedName>
  </definedNames>
  <calcPr fullCalcOnLoad="1"/>
</workbook>
</file>

<file path=xl/sharedStrings.xml><?xml version="1.0" encoding="utf-8"?>
<sst xmlns="http://schemas.openxmlformats.org/spreadsheetml/2006/main" count="842" uniqueCount="312">
  <si>
    <t>Structura, %</t>
  </si>
  <si>
    <t>Gradul de influenţă a ţărilor, grupelor de ţări  la creşterea (+),  scăderea (-) exporturilor, %</t>
  </si>
  <si>
    <t xml:space="preserve">      din care:</t>
  </si>
  <si>
    <t>Italia</t>
  </si>
  <si>
    <t>Germania</t>
  </si>
  <si>
    <t>Polonia</t>
  </si>
  <si>
    <t>Bulgaria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</si>
  <si>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</si>
  <si>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</si>
  <si>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</si>
  <si>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</si>
  <si>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</si>
  <si>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</si>
  <si>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</si>
  <si>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</si>
  <si>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</si>
  <si>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</si>
  <si>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</si>
  <si>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</si>
  <si>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</si>
  <si>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</si>
  <si>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 xml:space="preserve">  din care:</t>
  </si>
  <si>
    <t>x</t>
  </si>
  <si>
    <t>conform Clasificării Standard de Comerţ Internaţional</t>
  </si>
  <si>
    <t>Produse alimentare şi animale vii</t>
  </si>
  <si>
    <t>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</si>
  <si>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</si>
  <si>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</si>
  <si>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</si>
  <si>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</si>
  <si>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</si>
  <si>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</si>
  <si>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</si>
  <si>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</si>
  <si>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</si>
  <si>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</si>
  <si>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</si>
  <si>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</si>
  <si>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</si>
  <si>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</si>
  <si>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Cauciuc brut (inclusiv cauciuc sintetic şi regenerat)</t>
  </si>
  <si>
    <t>Lemn şi plută</t>
  </si>
  <si>
    <t>Îngrăşăminte naturale şi minerale naturale (exclusiv cărbune, petrol şi pietre preţioase)</t>
  </si>
  <si>
    <t>Alte materii brute de origine animală sau vegetală</t>
  </si>
  <si>
    <t>Combustibili minerali, lubrifianţi şi materiale derivate</t>
  </si>
  <si>
    <t>Petrol, produse petroliere şi produse înrudite</t>
  </si>
  <si>
    <t>Gaz şi produse industriale obţinute din gaz</t>
  </si>
  <si>
    <t>Energie electrică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</si>
  <si>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</si>
  <si>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</si>
  <si>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</si>
  <si>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</si>
  <si>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</si>
  <si>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</si>
  <si>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</si>
  <si>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</si>
  <si>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Îngrăşăminte minerale sau chimice</t>
  </si>
  <si>
    <t>Materiale plastice sub forme primare</t>
  </si>
  <si>
    <t>Materiale plastice prelucrate</t>
  </si>
  <si>
    <t>Alte materiale şi produse chimice</t>
  </si>
  <si>
    <t>Piele, altă piele şi blană prelucrate</t>
  </si>
  <si>
    <t>Cauciuc prelucrat</t>
  </si>
  <si>
    <t>Articole din lemn (exclusiv mobilă)</t>
  </si>
  <si>
    <t>Articole din minerale nemetalice</t>
  </si>
  <si>
    <t>Metale neferoase</t>
  </si>
  <si>
    <t>Articole prelucrate din metal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</si>
  <si>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</si>
  <si>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</si>
  <si>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</si>
  <si>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</si>
  <si>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</si>
  <si>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</si>
  <si>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</si>
  <si>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</si>
  <si>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</si>
  <si>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</si>
  <si>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</si>
  <si>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</si>
  <si>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</si>
  <si>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</si>
  <si>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</si>
  <si>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</si>
  <si>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</si>
  <si>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Alte articole diverse</t>
  </si>
  <si>
    <t>Coreea de Sud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</si>
  <si>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</si>
  <si>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</si>
  <si>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</si>
  <si>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</si>
  <si>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</si>
  <si>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</si>
  <si>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</si>
  <si>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</si>
  <si>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</si>
  <si>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</si>
  <si>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</si>
  <si>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</si>
  <si>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</si>
  <si>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</si>
  <si>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</si>
  <si>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</si>
  <si>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</si>
  <si>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</si>
  <si>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</si>
  <si>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</si>
  <si>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</si>
  <si>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</si>
  <si>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</si>
  <si>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</si>
  <si>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</si>
  <si>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</si>
  <si>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</si>
  <si>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Macedonia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</si>
  <si>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</si>
  <si>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</si>
  <si>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</si>
  <si>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</si>
  <si>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</si>
  <si>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</si>
  <si>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</si>
  <si>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</si>
  <si>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</si>
  <si>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</si>
  <si>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</si>
  <si>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</si>
  <si>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</si>
  <si>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</si>
  <si>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Cote D'Ivoire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</si>
  <si>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</si>
  <si>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</si>
  <si>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</si>
  <si>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</si>
  <si>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</si>
  <si>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</si>
  <si>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</si>
  <si>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</si>
  <si>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</si>
  <si>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</si>
  <si>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</si>
  <si>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</si>
  <si>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</si>
  <si>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</si>
  <si>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</si>
  <si>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</si>
  <si>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de 2,1 ori</t>
  </si>
  <si>
    <t>2017¹</t>
  </si>
  <si>
    <t>Mongolia</t>
  </si>
  <si>
    <t>Peru</t>
  </si>
  <si>
    <t>Kenya</t>
  </si>
  <si>
    <t>de 2,2 ori</t>
  </si>
  <si>
    <t>mii dolari        SUA</t>
  </si>
  <si>
    <t>EXPORT - total</t>
  </si>
  <si>
    <t>de 2,6 ori</t>
  </si>
  <si>
    <t>Oman</t>
  </si>
  <si>
    <t>Ghana</t>
  </si>
  <si>
    <t>Albania</t>
  </si>
  <si>
    <t>de 1,8 ori</t>
  </si>
  <si>
    <t>de 1,7 ori</t>
  </si>
  <si>
    <t>de 1,9 ori</t>
  </si>
  <si>
    <t>Gradul de influenţă a grupelor de mărfuri  la creşterea (+),  scăderea (-) exporturilor, %</t>
  </si>
  <si>
    <t>Panama</t>
  </si>
  <si>
    <t>Qatar</t>
  </si>
  <si>
    <t xml:space="preserve">. </t>
  </si>
  <si>
    <t>Ponderea, %</t>
  </si>
  <si>
    <t>Swaziland</t>
  </si>
  <si>
    <t>de 2,9 ori</t>
  </si>
  <si>
    <t>de 2,3 ori</t>
  </si>
  <si>
    <t>Andorra</t>
  </si>
  <si>
    <t>2018¹</t>
  </si>
  <si>
    <t>mii dolari         SUA</t>
  </si>
  <si>
    <t>Belize</t>
  </si>
  <si>
    <t>Angola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</si>
  <si>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</si>
  <si>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</si>
  <si>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</si>
  <si>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</si>
  <si>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</si>
  <si>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</si>
  <si>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</si>
  <si>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 xml:space="preserve"> 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</si>
  <si>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</si>
  <si>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</si>
  <si>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Etiopia</t>
  </si>
  <si>
    <t>Senegal</t>
  </si>
  <si>
    <t>Mali</t>
  </si>
  <si>
    <t>Siria</t>
  </si>
  <si>
    <t>Kosovo</t>
  </si>
  <si>
    <t>San Marino</t>
  </si>
  <si>
    <t>Madagascar</t>
  </si>
  <si>
    <t>mii dolari SUA</t>
  </si>
  <si>
    <t>Benin</t>
  </si>
  <si>
    <r>
      <rPr>
        <b/>
        <sz val="12"/>
        <rFont val="Times New Roman"/>
        <family val="1"/>
      </rPr>
      <t xml:space="preserve">Anexa 1.  </t>
    </r>
    <r>
      <rPr>
        <b/>
        <i/>
        <sz val="12"/>
        <rFont val="Times New Roman"/>
        <family val="1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</si>
  <si>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</rPr>
      <t xml:space="preserve">Anexa 2.  </t>
    </r>
    <r>
      <rPr>
        <b/>
        <i/>
        <sz val="12"/>
        <color indexed="8"/>
        <rFont val="Times New Roman"/>
        <family val="1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</si>
  <si>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</rPr>
      <t xml:space="preserve">Anexa 3.  </t>
    </r>
    <r>
      <rPr>
        <b/>
        <i/>
        <sz val="12"/>
        <color indexed="8"/>
        <rFont val="Times New Roman"/>
        <family val="1"/>
      </rPr>
      <t>Balanţa comercială structurată pe principalele ţări şi grupe de ţări</t>
    </r>
  </si>
  <si>
    <r>
      <rPr>
        <b/>
        <sz val="12"/>
        <color indexed="8"/>
        <rFont val="Times New Roman"/>
        <family val="1"/>
      </rPr>
      <t>Anexa 6.</t>
    </r>
    <r>
      <rPr>
        <b/>
        <i/>
        <sz val="12"/>
        <color indexed="8"/>
        <rFont val="Times New Roman"/>
        <family val="1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</si>
  <si>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</rPr>
      <t>Anexa 7.</t>
    </r>
    <r>
      <rPr>
        <b/>
        <i/>
        <sz val="12"/>
        <color indexed="8"/>
        <rFont val="Times New Roman"/>
        <family val="1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</si>
  <si>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</rPr>
      <t xml:space="preserve">Anexa 8.  </t>
    </r>
    <r>
      <rPr>
        <b/>
        <i/>
        <sz val="12"/>
        <color indexed="8"/>
        <rFont val="Times New Roman"/>
        <family val="1"/>
      </rPr>
      <t xml:space="preserve">Balanţa comercială structurată pe grupe de mărfuri, </t>
    </r>
  </si>
  <si>
    <t>Libia</t>
  </si>
  <si>
    <t>Palau</t>
  </si>
  <si>
    <t>Guatemala</t>
  </si>
  <si>
    <t>Cuba</t>
  </si>
  <si>
    <t xml:space="preserve">   din care:</t>
  </si>
  <si>
    <t>Bunuri neclasificate în altă secţiune din CSCI</t>
  </si>
  <si>
    <t>de 1,6 ori</t>
  </si>
  <si>
    <t>România</t>
  </si>
  <si>
    <t>Regatul Unit al Marii Britanii şi Irlandei de Nord</t>
  </si>
  <si>
    <t>Franţa</t>
  </si>
  <si>
    <t>Republica Cehă</t>
  </si>
  <si>
    <t>Croaţia</t>
  </si>
  <si>
    <t>Federaţia Rusă</t>
  </si>
  <si>
    <t>Elveţia</t>
  </si>
  <si>
    <t>Arabia Saudită</t>
  </si>
  <si>
    <t>IMPORT - total</t>
  </si>
  <si>
    <t>Noua Zeelandă</t>
  </si>
  <si>
    <t>Şri Lanka</t>
  </si>
  <si>
    <t xml:space="preserve">Celelalte ţări ale lumii </t>
  </si>
  <si>
    <t xml:space="preserve">Ţările CSI </t>
  </si>
  <si>
    <t>Pastă de hârtie şi deşeuri de hârtie</t>
  </si>
  <si>
    <t>Alte uleiuri şi grăsimi animale sau vegetale prelucrate; ceară de origine animală sau vegetală, amestecuri sau preparate necomestibile din uleiuri animale sau vegetale</t>
  </si>
  <si>
    <t>Construcţii prefabricate; alte instalaţii şi accesorii pentru instalaţii sanitare, de încălzit şi de iluminat</t>
  </si>
  <si>
    <t>BALANŢA COMERCIALĂ - total, mii dolari SUA</t>
  </si>
  <si>
    <t xml:space="preserve">Țările CSI </t>
  </si>
  <si>
    <t xml:space="preserve">Celelalte țări ale lumii </t>
  </si>
  <si>
    <t xml:space="preserve">IMPORT - total      </t>
  </si>
  <si>
    <t>Celelalte țări ale lumii</t>
  </si>
  <si>
    <t>Țările Uniunii Europene (UE-28)</t>
  </si>
  <si>
    <r>
      <rPr>
        <b/>
        <sz val="12"/>
        <rFont val="Times New Roman"/>
        <family val="1"/>
      </rPr>
      <t>Anexa 5.</t>
    </r>
    <r>
      <rPr>
        <b/>
        <i/>
        <sz val="12"/>
        <rFont val="Times New Roman"/>
        <family val="1"/>
      </rPr>
      <t xml:space="preserve">  Importurile structurate pe moduri de transport a mărfurilor și grupe de ţări   </t>
    </r>
  </si>
  <si>
    <r>
      <rPr>
        <b/>
        <sz val="12"/>
        <rFont val="Times New Roman"/>
        <family val="1"/>
      </rPr>
      <t xml:space="preserve">Anexa 4.  </t>
    </r>
    <r>
      <rPr>
        <b/>
        <i/>
        <sz val="12"/>
        <rFont val="Times New Roman"/>
        <family val="1"/>
      </rPr>
      <t xml:space="preserve">Exporturile structurate pe moduri de transport a mărfurilor și  grupe de ţări </t>
    </r>
  </si>
  <si>
    <t>Haiti</t>
  </si>
  <si>
    <t>Kuwait</t>
  </si>
  <si>
    <t>de 2,4 ori</t>
  </si>
  <si>
    <t>Republica Yemen</t>
  </si>
  <si>
    <t>Fibre textile (cu excepţia lânii în fuior şi a lânii pieptănate) şi deşeurile lor (neprelucrate în fire sau ţesături)</t>
  </si>
  <si>
    <t>Minereuri metalifere şi deşeuri de metale</t>
  </si>
  <si>
    <t>Hârtie, carton şi articole din pastă de celuloză, din hârtie sau din carton</t>
  </si>
  <si>
    <t>Fire, ţesături, articole textile necuprinse în altă parte şi produse conexe</t>
  </si>
  <si>
    <t>Fier şi oţel</t>
  </si>
  <si>
    <t>Mărfuri manufacturate, clasificate mai ales după materia primă</t>
  </si>
  <si>
    <t xml:space="preserve">EXPORT- total      </t>
  </si>
  <si>
    <t>Insulele Virgine Britanice</t>
  </si>
  <si>
    <t>Insulele Faroe</t>
  </si>
  <si>
    <t>Insulele Folkland</t>
  </si>
  <si>
    <t>de 3,0 ori</t>
  </si>
  <si>
    <t>Cărbune, cocs şi brichete</t>
  </si>
  <si>
    <t>Uleiuri esenţiale, rezinoide şi substanţe parfumate, preparate pentru toaletă, produse pentru înfrumuseţare</t>
  </si>
  <si>
    <t>Băuturi (alcoolice şi nealcoolice)</t>
  </si>
  <si>
    <t>Ţările Uniunii Europene (UE-28)</t>
  </si>
  <si>
    <t>Celelalte ţări ale lumii</t>
  </si>
  <si>
    <t>de 44,1 ori</t>
  </si>
  <si>
    <t>Afganistan</t>
  </si>
  <si>
    <t>de 3,2 ori</t>
  </si>
  <si>
    <t>Liberia</t>
  </si>
  <si>
    <t>Arabia Saudita</t>
  </si>
  <si>
    <t>Elvetia</t>
  </si>
  <si>
    <t>de 2,7 ori</t>
  </si>
  <si>
    <t>de 964,5 ori</t>
  </si>
  <si>
    <t>de 7,7 ori</t>
  </si>
  <si>
    <t>Ianuarie-octombrie 2018</t>
  </si>
  <si>
    <t>Ianuarie-octombrie</t>
  </si>
  <si>
    <t>în % faţă de ianuarie-octombrie 2017¹</t>
  </si>
  <si>
    <t>ianuarie-octombrie</t>
  </si>
  <si>
    <t>Ianuarie-octombrie 2018  în % faţă de ianuarie-octombrie 2017¹</t>
  </si>
  <si>
    <t>EXPORT -total</t>
  </si>
  <si>
    <t>Kârgâzstan</t>
  </si>
  <si>
    <t>Burkina Faso</t>
  </si>
  <si>
    <t>Bosnia şi Hertegovina</t>
  </si>
  <si>
    <t>de 2447,7 ori</t>
  </si>
  <si>
    <t>de 3,4 ori</t>
  </si>
  <si>
    <t>de 9,1 ori</t>
  </si>
  <si>
    <t>de 10,5 ori</t>
  </si>
  <si>
    <t>de 8,0 ori</t>
  </si>
  <si>
    <t>de 5,4 ori</t>
  </si>
  <si>
    <t>de 14,5 ori</t>
  </si>
  <si>
    <t>de 35,3 ori</t>
  </si>
  <si>
    <t>de 2,5 ori</t>
  </si>
  <si>
    <t>de 5,3 ori</t>
  </si>
  <si>
    <t>de 6,5 ori</t>
  </si>
  <si>
    <t>de 8,7 ori</t>
  </si>
  <si>
    <t>de 63,2 ori</t>
  </si>
  <si>
    <t>de 3,1 ori</t>
  </si>
  <si>
    <t>de 989,3 ori</t>
  </si>
  <si>
    <t>de 34,4 ori</t>
  </si>
  <si>
    <t>de 18,4 ori</t>
  </si>
  <si>
    <t>de 8,3 ori</t>
  </si>
  <si>
    <t>de 7,2 ori</t>
  </si>
  <si>
    <t>de 4,7 ori</t>
  </si>
  <si>
    <t>de 1,5 ori</t>
  </si>
  <si>
    <t>Pastă de hârtie şi deseuri de hârtie</t>
  </si>
  <si>
    <t>Masini şi aparate electrice şi părţi ale acestora (inclusiv echivalente neelectrice ale maşinilor şi aparatelor de uz casnic)</t>
  </si>
  <si>
    <t>Încăltăminte</t>
  </si>
  <si>
    <t>Fire, ţesături, articole textile necuprinse în alta parte şi produse conexe</t>
  </si>
  <si>
    <t>Construcţii prefabricate; alte instalaţii şi accesorii pentru instalaţii sanitare, de incălzit şi de iluminat</t>
  </si>
  <si>
    <t>Mobilă si parţile ei</t>
  </si>
  <si>
    <t>Bauturi (alcoolice şi nealcoolice)</t>
  </si>
  <si>
    <t>Marfuri manufacturate, clasificate mai ales după materia primă</t>
  </si>
  <si>
    <t>Maşini şi aparate electrice şi părti ale acestora (inclusiv echivalente neelectrice ale maşinilor şi aparatelor de uz casnic)</t>
  </si>
  <si>
    <t>Instrumente şi aparate, profesionale, stiinţifice şi de control</t>
  </si>
  <si>
    <t>de 5,0 ori</t>
  </si>
  <si>
    <t>de 4,0 ori</t>
  </si>
  <si>
    <t>Bosnia si Hertegovina</t>
  </si>
  <si>
    <t>Noua Zeelanda</t>
  </si>
  <si>
    <t>Sri Lanka</t>
  </si>
  <si>
    <t>Zimbabwe</t>
  </si>
  <si>
    <t>de 9,9 ori</t>
  </si>
  <si>
    <t>Mauritius</t>
  </si>
  <si>
    <t>de 19,4 ori</t>
  </si>
  <si>
    <t>de 8,4 ori</t>
  </si>
  <si>
    <t>de 53,7 ori</t>
  </si>
  <si>
    <t>de 12,3 ori</t>
  </si>
  <si>
    <t>de 9,8 ori</t>
  </si>
  <si>
    <t>de 3,6 ori</t>
  </si>
  <si>
    <t>Republica Dominicană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</si>
</sst>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.000"/>
  </numFmts>
  <fonts count="69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Times New Roman"/>
      <family val="1"/>
    </font>
    <font>
      <b/>
      <sz val="1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Calibri"/>
      <family val="2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left" vertical="top" wrapText="1"/>
    </xf>
    <xf numFmtId="165" fontId="13" fillId="0" borderId="0" xfId="0" applyNumberFormat="1" applyFont="1" applyFill="1" applyAlignment="1" applyProtection="1">
      <alignment horizontal="right"/>
      <protection/>
    </xf>
    <xf numFmtId="165" fontId="11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4" fontId="11" fillId="0" borderId="0" xfId="0" applyNumberFormat="1" applyFont="1" applyFill="1" applyAlignment="1" applyProtection="1">
      <alignment horizontal="right"/>
      <protection/>
    </xf>
    <xf numFmtId="164" fontId="11" fillId="0" borderId="0" xfId="0" applyNumberFormat="1" applyFont="1" applyFill="1" applyAlignment="1" applyProtection="1">
      <alignment horizontal="right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2" fontId="15" fillId="0" borderId="0" xfId="0" applyNumberFormat="1" applyFont="1" applyFill="1" applyAlignment="1" applyProtection="1">
      <alignment horizontal="right"/>
      <protection/>
    </xf>
    <xf numFmtId="38" fontId="11" fillId="0" borderId="0" xfId="0" applyNumberFormat="1" applyFont="1" applyFill="1" applyAlignment="1" applyProtection="1">
      <alignment horizontal="left" vertical="top" wrapText="1"/>
      <protection/>
    </xf>
    <xf numFmtId="4" fontId="13" fillId="0" borderId="0" xfId="0" applyNumberFormat="1" applyFont="1" applyFill="1" applyAlignment="1" applyProtection="1">
      <alignment horizontal="right"/>
      <protection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0" xfId="0" applyNumberFormat="1" applyFont="1" applyFill="1" applyAlignment="1" applyProtection="1">
      <alignment horizontal="left" vertical="top" wrapText="1"/>
      <protection/>
    </xf>
    <xf numFmtId="0" fontId="11" fillId="0" borderId="0" xfId="0" applyNumberFormat="1" applyFont="1" applyFill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horizontal="right"/>
      <protection/>
    </xf>
    <xf numFmtId="4" fontId="14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Alignment="1">
      <alignment/>
    </xf>
    <xf numFmtId="0" fontId="5" fillId="0" borderId="0" xfId="0" applyFont="1" applyAlignment="1">
      <alignment/>
    </xf>
    <xf numFmtId="4" fontId="11" fillId="0" borderId="0" xfId="0" applyNumberFormat="1" applyFont="1" applyFill="1" applyBorder="1" applyAlignment="1" applyProtection="1">
      <alignment horizontal="right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38" fontId="13" fillId="0" borderId="13" xfId="0" applyNumberFormat="1" applyFont="1" applyFill="1" applyBorder="1" applyAlignment="1" applyProtection="1">
      <alignment horizontal="left" vertical="top" wrapText="1"/>
      <protection/>
    </xf>
    <xf numFmtId="166" fontId="15" fillId="0" borderId="0" xfId="0" applyNumberFormat="1" applyFont="1" applyAlignment="1">
      <alignment/>
    </xf>
    <xf numFmtId="38" fontId="1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38" fontId="13" fillId="0" borderId="0" xfId="0" applyNumberFormat="1" applyFont="1" applyFill="1" applyAlignment="1" applyProtection="1">
      <alignment horizontal="left" vertical="top" wrapText="1"/>
      <protection/>
    </xf>
    <xf numFmtId="4" fontId="65" fillId="0" borderId="0" xfId="0" applyNumberFormat="1" applyFont="1" applyBorder="1" applyAlignment="1">
      <alignment horizontal="right" vertical="top" wrapText="1"/>
    </xf>
    <xf numFmtId="2" fontId="66" fillId="0" borderId="0" xfId="0" applyNumberFormat="1" applyFont="1" applyAlignment="1">
      <alignment horizontal="right" vertical="top" wrapText="1"/>
    </xf>
    <xf numFmtId="4" fontId="66" fillId="0" borderId="0" xfId="0" applyNumberFormat="1" applyFont="1" applyFill="1" applyAlignment="1" applyProtection="1">
      <alignment horizontal="right" vertical="top" wrapText="1"/>
      <protection/>
    </xf>
    <xf numFmtId="4" fontId="65" fillId="0" borderId="0" xfId="0" applyNumberFormat="1" applyFont="1" applyAlignment="1">
      <alignment horizontal="right" vertical="top" wrapText="1"/>
    </xf>
    <xf numFmtId="4" fontId="66" fillId="0" borderId="0" xfId="0" applyNumberFormat="1" applyFont="1" applyAlignment="1">
      <alignment horizontal="right" vertical="top" wrapText="1"/>
    </xf>
    <xf numFmtId="4" fontId="66" fillId="0" borderId="0" xfId="0" applyNumberFormat="1" applyFont="1" applyFill="1" applyAlignment="1" applyProtection="1">
      <alignment horizontal="right" vertical="top"/>
      <protection/>
    </xf>
    <xf numFmtId="4" fontId="61" fillId="0" borderId="0" xfId="0" applyNumberFormat="1" applyFont="1" applyAlignment="1">
      <alignment horizontal="right" vertical="top" wrapText="1"/>
    </xf>
    <xf numFmtId="4" fontId="11" fillId="0" borderId="0" xfId="0" applyNumberFormat="1" applyFont="1" applyAlignment="1">
      <alignment horizontal="left" vertical="top" wrapText="1"/>
    </xf>
    <xf numFmtId="4" fontId="66" fillId="0" borderId="0" xfId="0" applyNumberFormat="1" applyFont="1" applyBorder="1" applyAlignment="1">
      <alignment horizontal="right" vertical="top" wrapText="1"/>
    </xf>
    <xf numFmtId="4" fontId="14" fillId="0" borderId="14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Alignment="1">
      <alignment horizontal="left" vertical="top" wrapText="1"/>
    </xf>
    <xf numFmtId="4" fontId="66" fillId="0" borderId="0" xfId="0" applyNumberFormat="1" applyFont="1" applyAlignment="1">
      <alignment horizontal="right" vertical="top" wrapText="1" indent="1"/>
    </xf>
    <xf numFmtId="4" fontId="3" fillId="0" borderId="0" xfId="0" applyNumberFormat="1" applyFont="1" applyAlignment="1">
      <alignment horizontal="left" vertical="top" wrapText="1"/>
    </xf>
    <xf numFmtId="4" fontId="13" fillId="0" borderId="0" xfId="0" applyNumberFormat="1" applyFont="1" applyFill="1" applyAlignment="1" applyProtection="1">
      <alignment horizontal="left" vertical="top" wrapText="1"/>
      <protection/>
    </xf>
    <xf numFmtId="4" fontId="11" fillId="0" borderId="0" xfId="0" applyNumberFormat="1" applyFont="1" applyFill="1" applyBorder="1" applyAlignment="1" applyProtection="1">
      <alignment horizontal="left" vertical="top" wrapText="1"/>
      <protection/>
    </xf>
    <xf numFmtId="2" fontId="67" fillId="0" borderId="0" xfId="0" applyNumberFormat="1" applyFont="1" applyAlignment="1">
      <alignment horizontal="right" vertical="top" wrapText="1"/>
    </xf>
    <xf numFmtId="4" fontId="68" fillId="0" borderId="0" xfId="0" applyNumberFormat="1" applyFont="1" applyFill="1" applyBorder="1" applyAlignment="1" applyProtection="1">
      <alignment horizontal="right" vertical="top" wrapText="1"/>
      <protection/>
    </xf>
    <xf numFmtId="4" fontId="14" fillId="0" borderId="14" xfId="0" applyNumberFormat="1" applyFont="1" applyFill="1" applyBorder="1" applyAlignment="1" applyProtection="1">
      <alignment horizontal="right" vertical="top"/>
      <protection/>
    </xf>
    <xf numFmtId="4" fontId="13" fillId="0" borderId="0" xfId="0" applyNumberFormat="1" applyFont="1" applyFill="1" applyAlignment="1" applyProtection="1">
      <alignment horizontal="right" vertical="top"/>
      <protection/>
    </xf>
    <xf numFmtId="164" fontId="13" fillId="0" borderId="0" xfId="0" applyNumberFormat="1" applyFont="1" applyFill="1" applyAlignment="1" applyProtection="1">
      <alignment horizontal="right" vertical="top"/>
      <protection/>
    </xf>
    <xf numFmtId="4" fontId="11" fillId="0" borderId="0" xfId="0" applyNumberFormat="1" applyFont="1" applyFill="1" applyAlignment="1" applyProtection="1">
      <alignment horizontal="right" vertical="top"/>
      <protection/>
    </xf>
    <xf numFmtId="38" fontId="11" fillId="0" borderId="13" xfId="0" applyNumberFormat="1" applyFont="1" applyFill="1" applyBorder="1" applyAlignment="1" applyProtection="1">
      <alignment horizontal="left" vertical="top" wrapText="1"/>
      <protection/>
    </xf>
    <xf numFmtId="4" fontId="11" fillId="0" borderId="13" xfId="0" applyNumberFormat="1" applyFont="1" applyFill="1" applyBorder="1" applyAlignment="1" applyProtection="1">
      <alignment horizontal="right" vertical="top"/>
      <protection/>
    </xf>
    <xf numFmtId="0" fontId="14" fillId="0" borderId="14" xfId="0" applyNumberFormat="1" applyFont="1" applyFill="1" applyBorder="1" applyAlignment="1" applyProtection="1">
      <alignment horizontal="left" vertical="top" wrapText="1"/>
      <protection/>
    </xf>
    <xf numFmtId="4" fontId="13" fillId="0" borderId="0" xfId="0" applyNumberFormat="1" applyFont="1" applyFill="1" applyAlignment="1" applyProtection="1">
      <alignment horizontal="right" vertical="top" wrapText="1"/>
      <protection/>
    </xf>
    <xf numFmtId="4" fontId="11" fillId="0" borderId="0" xfId="0" applyNumberFormat="1" applyFont="1" applyFill="1" applyAlignment="1" applyProtection="1">
      <alignment horizontal="right" vertical="top" wrapText="1"/>
      <protection/>
    </xf>
    <xf numFmtId="164" fontId="11" fillId="0" borderId="0" xfId="0" applyNumberFormat="1" applyFont="1" applyFill="1" applyAlignment="1" applyProtection="1">
      <alignment horizontal="right" vertical="top"/>
      <protection/>
    </xf>
    <xf numFmtId="164" fontId="11" fillId="0" borderId="0" xfId="0" applyNumberFormat="1" applyFont="1" applyFill="1" applyBorder="1" applyAlignment="1" applyProtection="1">
      <alignment horizontal="right" vertical="top"/>
      <protection/>
    </xf>
    <xf numFmtId="164" fontId="11" fillId="0" borderId="13" xfId="0" applyNumberFormat="1" applyFont="1" applyFill="1" applyBorder="1" applyAlignment="1" applyProtection="1">
      <alignment horizontal="right" vertical="top"/>
      <protection/>
    </xf>
    <xf numFmtId="4" fontId="13" fillId="0" borderId="13" xfId="0" applyNumberFormat="1" applyFont="1" applyFill="1" applyBorder="1" applyAlignment="1" applyProtection="1">
      <alignment horizontal="right" vertical="top"/>
      <protection/>
    </xf>
    <xf numFmtId="0" fontId="9" fillId="0" borderId="0" xfId="0" applyFont="1" applyAlignment="1">
      <alignment/>
    </xf>
    <xf numFmtId="164" fontId="13" fillId="0" borderId="13" xfId="0" applyNumberFormat="1" applyFont="1" applyFill="1" applyBorder="1" applyAlignment="1" applyProtection="1">
      <alignment horizontal="right" vertical="top"/>
      <protection/>
    </xf>
    <xf numFmtId="0" fontId="9" fillId="0" borderId="0" xfId="0" applyFont="1" applyBorder="1" applyAlignment="1">
      <alignment horizontal="left" vertical="top" wrapText="1"/>
    </xf>
    <xf numFmtId="38" fontId="23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2" fontId="11" fillId="0" borderId="0" xfId="0" applyNumberFormat="1" applyFont="1" applyFill="1" applyAlignment="1" applyProtection="1">
      <alignment horizontal="right" vertical="top"/>
      <protection/>
    </xf>
    <xf numFmtId="38" fontId="11" fillId="33" borderId="0" xfId="0" applyNumberFormat="1" applyFont="1" applyFill="1" applyBorder="1" applyAlignment="1" applyProtection="1">
      <alignment horizontal="left" vertical="top" wrapText="1"/>
      <protection/>
    </xf>
    <xf numFmtId="164" fontId="11" fillId="33" borderId="0" xfId="0" applyNumberFormat="1" applyFont="1" applyFill="1" applyBorder="1" applyAlignment="1" applyProtection="1">
      <alignment horizontal="right" vertical="top"/>
      <protection/>
    </xf>
    <xf numFmtId="4" fontId="11" fillId="33" borderId="0" xfId="0" applyNumberFormat="1" applyFont="1" applyFill="1" applyBorder="1" applyAlignment="1" applyProtection="1">
      <alignment horizontal="right" vertical="top"/>
      <protection/>
    </xf>
    <xf numFmtId="4" fontId="14" fillId="0" borderId="0" xfId="0" applyNumberFormat="1" applyFont="1" applyFill="1" applyAlignment="1" applyProtection="1">
      <alignment horizontal="right" vertical="top"/>
      <protection/>
    </xf>
    <xf numFmtId="2" fontId="11" fillId="0" borderId="0" xfId="0" applyNumberFormat="1" applyFont="1" applyAlignment="1">
      <alignment horizontal="right" vertical="top" wrapText="1"/>
    </xf>
    <xf numFmtId="4" fontId="29" fillId="0" borderId="0" xfId="0" applyNumberFormat="1" applyFont="1" applyFill="1" applyAlignment="1" applyProtection="1">
      <alignment horizontal="right" vertical="top"/>
      <protection/>
    </xf>
    <xf numFmtId="2" fontId="11" fillId="0" borderId="0" xfId="0" applyNumberFormat="1" applyFont="1" applyBorder="1" applyAlignment="1">
      <alignment horizontal="right" vertical="top" wrapText="1"/>
    </xf>
    <xf numFmtId="2" fontId="13" fillId="0" borderId="0" xfId="0" applyNumberFormat="1" applyFont="1" applyAlignment="1">
      <alignment horizontal="right" vertical="top" wrapText="1"/>
    </xf>
    <xf numFmtId="2" fontId="11" fillId="0" borderId="13" xfId="0" applyNumberFormat="1" applyFont="1" applyBorder="1" applyAlignment="1">
      <alignment horizontal="right" vertical="top" wrapText="1"/>
    </xf>
    <xf numFmtId="4" fontId="11" fillId="0" borderId="0" xfId="0" applyNumberFormat="1" applyFont="1" applyAlignment="1">
      <alignment horizontal="right" vertical="top" wrapText="1"/>
    </xf>
    <xf numFmtId="4" fontId="11" fillId="0" borderId="13" xfId="0" applyNumberFormat="1" applyFont="1" applyBorder="1" applyAlignment="1">
      <alignment horizontal="right" vertical="top"/>
    </xf>
    <xf numFmtId="0" fontId="19" fillId="0" borderId="0" xfId="0" applyFont="1" applyAlignment="1">
      <alignment horizontal="center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10"/>
  <sheetViews>
    <sheetView tabSelected="1" zoomScalePageLayoutView="0" workbookViewId="0" topLeftCell="A1">
      <selection activeCell="A1" sqref="A1:G1"/>
    </sheetView>
  </sheetViews>
  <sheetFormatPr defaultColWidth="9.00390625" defaultRowHeight="15.75"/>
  <cols>
    <col min="1" max="1" width="27.875" style="11" customWidth="1"/>
    <col min="2" max="2" width="12.875" style="11" customWidth="1"/>
    <col min="3" max="3" width="11.625" style="11" customWidth="1"/>
    <col min="4" max="4" width="8.50390625" style="11" customWidth="1"/>
    <col min="5" max="5" width="8.25390625" style="11" customWidth="1"/>
    <col min="6" max="6" width="10.00390625" style="11" customWidth="1"/>
    <col min="7" max="7" width="10.125" style="11" customWidth="1"/>
  </cols>
  <sheetData>
    <row r="1" spans="1:7" ht="15.75">
      <c r="A1" s="92" t="s">
        <v>191</v>
      </c>
      <c r="B1" s="92"/>
      <c r="C1" s="92"/>
      <c r="D1" s="92"/>
      <c r="E1" s="92"/>
      <c r="F1" s="92"/>
      <c r="G1" s="92"/>
    </row>
    <row r="3" spans="1:7" ht="55.5" customHeight="1">
      <c r="A3" s="93"/>
      <c r="B3" s="96" t="s">
        <v>257</v>
      </c>
      <c r="C3" s="97"/>
      <c r="D3" s="96" t="s">
        <v>163</v>
      </c>
      <c r="E3" s="97"/>
      <c r="F3" s="98" t="s">
        <v>1</v>
      </c>
      <c r="G3" s="99"/>
    </row>
    <row r="4" spans="1:7" ht="21.75" customHeight="1">
      <c r="A4" s="94"/>
      <c r="B4" s="100" t="s">
        <v>150</v>
      </c>
      <c r="C4" s="102" t="s">
        <v>259</v>
      </c>
      <c r="D4" s="104" t="s">
        <v>260</v>
      </c>
      <c r="E4" s="104"/>
      <c r="F4" s="104" t="s">
        <v>260</v>
      </c>
      <c r="G4" s="96"/>
    </row>
    <row r="5" spans="1:7" ht="31.5" customHeight="1">
      <c r="A5" s="95"/>
      <c r="B5" s="101"/>
      <c r="C5" s="103"/>
      <c r="D5" s="28">
        <v>2017</v>
      </c>
      <c r="E5" s="28">
        <v>2018</v>
      </c>
      <c r="F5" s="28" t="s">
        <v>145</v>
      </c>
      <c r="G5" s="24" t="s">
        <v>168</v>
      </c>
    </row>
    <row r="6" spans="1:7" ht="15.75" customHeight="1">
      <c r="A6" s="68" t="s">
        <v>262</v>
      </c>
      <c r="B6" s="62">
        <f>IF(2219031.80472="","-",2219031.80472)</f>
        <v>2219031.80472</v>
      </c>
      <c r="C6" s="62">
        <f>IF(1919782.20123="","-",2219031.80472/1919782.20123*100)</f>
        <v>115.58768506647637</v>
      </c>
      <c r="D6" s="62">
        <v>100</v>
      </c>
      <c r="E6" s="62">
        <v>100</v>
      </c>
      <c r="F6" s="62">
        <f>IF(1633487.06476="","-",(1919782.20123-1633487.06476)/1633487.06476*100)</f>
        <v>17.526624033111883</v>
      </c>
      <c r="G6" s="62">
        <f>IF(1919782.20123="","-",(2219031.80472-1919782.20123)/1919782.20123*100)</f>
        <v>15.58768506647636</v>
      </c>
    </row>
    <row r="7" spans="1:7" ht="13.5" customHeight="1">
      <c r="A7" s="52" t="s">
        <v>2</v>
      </c>
      <c r="B7" s="45"/>
      <c r="C7" s="53"/>
      <c r="D7" s="49"/>
      <c r="E7" s="49"/>
      <c r="F7" s="49"/>
      <c r="G7" s="49"/>
    </row>
    <row r="8" spans="1:7" ht="15.75" customHeight="1">
      <c r="A8" s="58" t="s">
        <v>246</v>
      </c>
      <c r="B8" s="63">
        <f>IF(1541770.13842="","-",1541770.13842)</f>
        <v>1541770.13842</v>
      </c>
      <c r="C8" s="63">
        <f>IF(1254334.60566="","-",1541770.13842/1254334.60566*100)</f>
        <v>122.91537931449787</v>
      </c>
      <c r="D8" s="63">
        <f>IF(1254334.60566="","-",1254334.60566/1919782.20123*100)</f>
        <v>65.33733904066568</v>
      </c>
      <c r="E8" s="63">
        <f>IF(1541770.13842="","-",1541770.13842/2219031.80472*100)</f>
        <v>69.4794069711201</v>
      </c>
      <c r="F8" s="63">
        <f>IF(1633487.06476="","-",(1254334.60566-1046517.06853)/1633487.06476*100)</f>
        <v>12.722325239871637</v>
      </c>
      <c r="G8" s="63">
        <f>IF(1919782.20123="","-",(1541770.13842-1254334.60566)/1919782.20123*100)</f>
        <v>14.97229907516805</v>
      </c>
    </row>
    <row r="9" spans="1:7" s="18" customFormat="1" ht="15.75">
      <c r="A9" s="22" t="s">
        <v>204</v>
      </c>
      <c r="B9" s="65">
        <f>IF(646629.03322="","-",646629.03322)</f>
        <v>646629.03322</v>
      </c>
      <c r="C9" s="65">
        <f>IF(OR(480869.96889="",646629.03322=""),"-",646629.03322/480869.96889*100)</f>
        <v>134.47066256032255</v>
      </c>
      <c r="D9" s="65">
        <f>IF(480869.96889="","-",480869.96889/1919782.20123*100)</f>
        <v>25.04815226341341</v>
      </c>
      <c r="E9" s="65">
        <f>IF(646629.03322="","-",646629.03322/2219031.80472*100)</f>
        <v>29.140142644399475</v>
      </c>
      <c r="F9" s="65">
        <f>IF(OR(1633487.06476="",409124.6452="",480869.96889=""),"-",(480869.96889-409124.6452)/1633487.06476*100)</f>
        <v>4.392157442675628</v>
      </c>
      <c r="G9" s="65">
        <f>IF(OR(1919782.20123="",646629.03322="",480869.96889=""),"-",(646629.03322-480869.96889)/1919782.20123*100)</f>
        <v>8.634264044317034</v>
      </c>
    </row>
    <row r="10" spans="1:7" s="18" customFormat="1" ht="15.75">
      <c r="A10" s="22" t="s">
        <v>3</v>
      </c>
      <c r="B10" s="65">
        <f>IF(259069.29317="","-",259069.29317)</f>
        <v>259069.29317</v>
      </c>
      <c r="C10" s="65">
        <f>IF(OR(185446.28038="",259069.29317=""),"-",259069.29317/185446.28038*100)</f>
        <v>139.700452680495</v>
      </c>
      <c r="D10" s="65">
        <f>IF(185446.28038="","-",185446.28038/1919782.20123*100)</f>
        <v>9.659756208864996</v>
      </c>
      <c r="E10" s="65">
        <f>IF(259069.29317="","-",259069.29317/2219031.80472*100)</f>
        <v>11.674879675854383</v>
      </c>
      <c r="F10" s="65">
        <f>IF(OR(1633487.06476="",161452.00157="",185446.28038=""),"-",(185446.28038-161452.00157)/1633487.06476*100)</f>
        <v>1.4688992234857627</v>
      </c>
      <c r="G10" s="65">
        <f>IF(OR(1919782.20123="",259069.29317="",185446.28038=""),"-",(259069.29317-185446.28038)/1919782.20123*100)</f>
        <v>3.834966942751625</v>
      </c>
    </row>
    <row r="11" spans="1:7" s="18" customFormat="1" ht="15.75">
      <c r="A11" s="22" t="s">
        <v>4</v>
      </c>
      <c r="B11" s="65">
        <f>IF(184025.01473="","-",184025.01473)</f>
        <v>184025.01473</v>
      </c>
      <c r="C11" s="65">
        <f>IF(OR(127774.60884="",184025.01473=""),"-",184025.01473/127774.60884*100)</f>
        <v>144.02314857440655</v>
      </c>
      <c r="D11" s="65">
        <f>IF(127774.60884="","-",127774.60884/1919782.20123*100)</f>
        <v>6.65568254347473</v>
      </c>
      <c r="E11" s="65">
        <f>IF(184025.01473="","-",184025.01473/2219031.80472*100)</f>
        <v>8.293031868158398</v>
      </c>
      <c r="F11" s="65">
        <f>IF(OR(1633487.06476="",102245.55462="",127774.60884=""),"-",(127774.60884-102245.55462)/1633487.06476*100)</f>
        <v>1.562856221561256</v>
      </c>
      <c r="G11" s="65">
        <f>IF(OR(1919782.20123="",184025.01473="",127774.60884=""),"-",(184025.01473-127774.60884)/1919782.20123*100)</f>
        <v>2.9300410147547202</v>
      </c>
    </row>
    <row r="12" spans="1:7" s="18" customFormat="1" ht="15.75">
      <c r="A12" s="22" t="s">
        <v>5</v>
      </c>
      <c r="B12" s="65">
        <f>IF(79691.54424="","-",79691.54424)</f>
        <v>79691.54424</v>
      </c>
      <c r="C12" s="65">
        <f>IF(OR(76083.37753="",79691.54424=""),"-",79691.54424/76083.37753*100)</f>
        <v>104.74238503486164</v>
      </c>
      <c r="D12" s="65">
        <f>IF(76083.37753="","-",76083.37753/1919782.20123*100)</f>
        <v>3.9631254775283136</v>
      </c>
      <c r="E12" s="65">
        <f>IF(79691.54424="","-",79691.54424/2219031.80472*100)</f>
        <v>3.5912754414106103</v>
      </c>
      <c r="F12" s="65">
        <f>IF(OR(1633487.06476="",57557.28564="",76083.37753=""),"-",(76083.37753-57557.28564)/1633487.06476*100)</f>
        <v>1.1341437768117215</v>
      </c>
      <c r="G12" s="65">
        <f>IF(OR(1919782.20123="",79691.54424="",76083.37753=""),"-",(79691.54424-76083.37753)/1919782.20123*100)</f>
        <v>0.1879466695590917</v>
      </c>
    </row>
    <row r="13" spans="1:7" s="18" customFormat="1" ht="25.5">
      <c r="A13" s="22" t="s">
        <v>205</v>
      </c>
      <c r="B13" s="65">
        <f>IF(68394.35626="","-",68394.35626)</f>
        <v>68394.35626</v>
      </c>
      <c r="C13" s="65">
        <f>IF(OR(112573.67446="",68394.35626=""),"-",68394.35626/112573.67446*100)</f>
        <v>60.755195731220525</v>
      </c>
      <c r="D13" s="65">
        <f>IF(112573.67446="","-",112573.67446/1919782.20123*100)</f>
        <v>5.863877391293362</v>
      </c>
      <c r="E13" s="65">
        <f>IF(68394.35626="","-",68394.35626/2219031.80472*100)</f>
        <v>3.082171067333128</v>
      </c>
      <c r="F13" s="65">
        <f>IF(OR(1633487.06476="",98637.96078="",112573.67446=""),"-",(112573.67446-98637.96078)/1633487.06476*100)</f>
        <v>0.8531266626251187</v>
      </c>
      <c r="G13" s="65">
        <f>IF(OR(1919782.20123="",68394.35626="",112573.67446=""),"-",(68394.35626-112573.67446)/1919782.20123*100)</f>
        <v>-2.301267204774292</v>
      </c>
    </row>
    <row r="14" spans="1:7" s="18" customFormat="1" ht="15.75">
      <c r="A14" s="22" t="s">
        <v>6</v>
      </c>
      <c r="B14" s="65">
        <f>IF(42479.01044="","-",42479.01044)</f>
        <v>42479.01044</v>
      </c>
      <c r="C14" s="65">
        <f>IF(OR(64791.29026="",42479.01044=""),"-",42479.01044/64791.29026*100)</f>
        <v>65.56284072988299</v>
      </c>
      <c r="D14" s="65">
        <f>IF(64791.29026="","-",64791.29026/1919782.20123*100)</f>
        <v>3.374929209078424</v>
      </c>
      <c r="E14" s="65">
        <f>IF(42479.01044="","-",42479.01044/2219031.80472*100)</f>
        <v>1.914303812574694</v>
      </c>
      <c r="F14" s="65">
        <f>IF(OR(1633487.06476="",53232.64884="",64791.29026=""),"-",(64791.29026-53232.64884)/1633487.06476*100)</f>
        <v>0.7076053229535829</v>
      </c>
      <c r="G14" s="65">
        <f>IF(OR(1919782.20123="",42479.01044="",64791.29026=""),"-",(42479.01044-64791.29026)/1919782.20123*100)</f>
        <v>-1.162229746984037</v>
      </c>
    </row>
    <row r="15" spans="1:7" s="20" customFormat="1" ht="15.75">
      <c r="A15" s="22" t="s">
        <v>206</v>
      </c>
      <c r="B15" s="65">
        <f>IF(41654.66366="","-",41654.66366)</f>
        <v>41654.66366</v>
      </c>
      <c r="C15" s="65">
        <f>IF(OR(33598.22948="",41654.66366=""),"-",41654.66366/33598.22948*100)</f>
        <v>123.97874621576636</v>
      </c>
      <c r="D15" s="65">
        <f>IF(33598.22948="","-",33598.22948/1919782.20123*100)</f>
        <v>1.7501063119802702</v>
      </c>
      <c r="E15" s="65">
        <f>IF(41654.66366="","-",41654.66366/2219031.80472*100)</f>
        <v>1.8771548731928174</v>
      </c>
      <c r="F15" s="65">
        <f>IF(OR(1633487.06476="",32059.31231="",33598.22948=""),"-",(33598.22948-32059.31231)/1633487.06476*100)</f>
        <v>0.0942105513535919</v>
      </c>
      <c r="G15" s="65">
        <f>IF(OR(1919782.20123="",41654.66366="",33598.22948=""),"-",(41654.66366-33598.22948)/1919782.20123*100)</f>
        <v>0.41965355105585717</v>
      </c>
    </row>
    <row r="16" spans="1:7" s="18" customFormat="1" ht="15.75">
      <c r="A16" s="22" t="s">
        <v>207</v>
      </c>
      <c r="B16" s="65">
        <f>IF(34526.6271399999="","-",34526.6271399999)</f>
        <v>34526.6271399999</v>
      </c>
      <c r="C16" s="65">
        <f>IF(OR(24305.35429="",34526.6271399999=""),"-",34526.6271399999/24305.35429*100)</f>
        <v>142.05358509916994</v>
      </c>
      <c r="D16" s="65">
        <f>IF(24305.35429="","-",24305.35429/1919782.20123*100)</f>
        <v>1.2660474857214332</v>
      </c>
      <c r="E16" s="65">
        <f>IF(34526.6271399999="","-",34526.6271399999/2219031.80472*100)</f>
        <v>1.5559320540859267</v>
      </c>
      <c r="F16" s="65">
        <f>IF(OR(1633487.06476="",24011.74072="",24305.35429=""),"-",(24305.35429-24011.74072)/1633487.06476*100)</f>
        <v>0.01797464922338622</v>
      </c>
      <c r="G16" s="65">
        <f>IF(OR(1919782.20123="",34526.6271399999="",24305.35429=""),"-",(34526.6271399999-24305.35429)/1919782.20123*100)</f>
        <v>0.5324183568037644</v>
      </c>
    </row>
    <row r="17" spans="1:7" s="18" customFormat="1" ht="15.75">
      <c r="A17" s="22" t="s">
        <v>7</v>
      </c>
      <c r="B17" s="65">
        <f>IF(33778.8564="","-",33778.8564)</f>
        <v>33778.8564</v>
      </c>
      <c r="C17" s="65">
        <f>IF(OR(31341.6287="",33778.8564=""),"-",33778.8564/31341.6287*100)</f>
        <v>107.77632752697373</v>
      </c>
      <c r="D17" s="65">
        <f>IF(31341.6287="","-",31341.6287/1919782.20123*100)</f>
        <v>1.6325616874622286</v>
      </c>
      <c r="E17" s="65">
        <f>IF(33778.8564="","-",33778.8564/2219031.80472*100)</f>
        <v>1.5222339908851488</v>
      </c>
      <c r="F17" s="65">
        <f>IF(OR(1633487.06476="",19765.31081="",31341.6287=""),"-",(31341.6287-19765.31081)/1633487.06476*100)</f>
        <v>0.7086874539591688</v>
      </c>
      <c r="G17" s="65">
        <f>IF(OR(1919782.20123="",33778.8564="",31341.6287=""),"-",(33778.8564-31341.6287)/1919782.20123*100)</f>
        <v>0.12695334389695193</v>
      </c>
    </row>
    <row r="18" spans="1:7" s="18" customFormat="1" ht="15.75">
      <c r="A18" s="22" t="s">
        <v>9</v>
      </c>
      <c r="B18" s="65">
        <f>IF(30856.02582="","-",30856.02582)</f>
        <v>30856.02582</v>
      </c>
      <c r="C18" s="65" t="s">
        <v>203</v>
      </c>
      <c r="D18" s="65">
        <f>IF(19060.63679="","-",19060.63679/1919782.20123*100)</f>
        <v>0.9928541257330072</v>
      </c>
      <c r="E18" s="65">
        <f>IF(30856.02582="","-",30856.02582/2219031.80472*100)</f>
        <v>1.3905175110319543</v>
      </c>
      <c r="F18" s="65">
        <f>IF(OR(1633487.06476="",21859.36771="",19060.63679=""),"-",(19060.63679-21859.36771)/1633487.06476*100)</f>
        <v>-0.17133474640714108</v>
      </c>
      <c r="G18" s="65">
        <f>IF(OR(1919782.20123="",30856.02582="",19060.63679=""),"-",(30856.02582-19060.63679)/1919782.20123*100)</f>
        <v>0.6144128757128137</v>
      </c>
    </row>
    <row r="19" spans="1:7" s="18" customFormat="1" ht="15.75">
      <c r="A19" s="22" t="s">
        <v>8</v>
      </c>
      <c r="B19" s="65">
        <f>IF(30095.49593="","-",30095.49593)</f>
        <v>30095.49593</v>
      </c>
      <c r="C19" s="65">
        <f>IF(OR(24915.50694="",30095.49593=""),"-",30095.49593/24915.50694*100)</f>
        <v>120.79022113607456</v>
      </c>
      <c r="D19" s="65">
        <f>IF(24915.50694="","-",24915.50694/1919782.20123*100)</f>
        <v>1.2978298748700081</v>
      </c>
      <c r="E19" s="65">
        <f>IF(30095.49593="","-",30095.49593/2219031.80472*100)</f>
        <v>1.3562444605789454</v>
      </c>
      <c r="F19" s="65">
        <f>IF(OR(1633487.06476="",19342.52521="",24915.50694=""),"-",(24915.50694-19342.52521)/1633487.06476*100)</f>
        <v>0.34117085162341393</v>
      </c>
      <c r="G19" s="65">
        <f>IF(OR(1919782.20123="",30095.49593="",24915.50694=""),"-",(30095.49593-24915.50694)/1919782.20123*100)</f>
        <v>0.2698217009555144</v>
      </c>
    </row>
    <row r="20" spans="1:9" s="18" customFormat="1" ht="15.75">
      <c r="A20" s="22" t="s">
        <v>87</v>
      </c>
      <c r="B20" s="65">
        <f>IF(20402.43149="","-",20402.43149)</f>
        <v>20402.43149</v>
      </c>
      <c r="C20" s="65">
        <f>IF(OR(21404.75103="",20402.43149=""),"-",20402.43149/21404.75103*100)</f>
        <v>95.31730344073989</v>
      </c>
      <c r="D20" s="65">
        <f>IF(21404.75103="","-",21404.75103/1919782.20123*100)</f>
        <v>1.1149572600624187</v>
      </c>
      <c r="E20" s="65">
        <f>IF(20402.43149="","-",20402.43149/2219031.80472*100)</f>
        <v>0.919429430736546</v>
      </c>
      <c r="F20" s="65">
        <f>IF(OR(1633487.06476="",8249.0336="",21404.75103=""),"-",(21404.75103-8249.0336)/1633487.06476*100)</f>
        <v>0.8053762845029264</v>
      </c>
      <c r="G20" s="65">
        <f>IF(OR(1919782.20123="",20402.43149="",21404.75103=""),"-",(20402.43149-21404.75103)/1919782.20123*100)</f>
        <v>-0.05221006525416355</v>
      </c>
      <c r="I20" s="18" t="s">
        <v>179</v>
      </c>
    </row>
    <row r="21" spans="1:7" s="18" customFormat="1" ht="15.75">
      <c r="A21" s="22" t="s">
        <v>91</v>
      </c>
      <c r="B21" s="65">
        <f>IF(16002.99729="","-",16002.99729)</f>
        <v>16002.99729</v>
      </c>
      <c r="C21" s="65" t="s">
        <v>158</v>
      </c>
      <c r="D21" s="65">
        <f>IF(8374.82237="","-",8374.82237/1919782.20123*100)</f>
        <v>0.4362381505899091</v>
      </c>
      <c r="E21" s="65">
        <f>IF(16002.99729="","-",16002.99729/2219031.80472*100)</f>
        <v>0.7211702534393948</v>
      </c>
      <c r="F21" s="65">
        <f>IF(OR(1633487.06476="",5932.414="",8374.82237=""),"-",(8374.82237-5932.414)/1633487.06476*100)</f>
        <v>0.14952113320584212</v>
      </c>
      <c r="G21" s="65">
        <f>IF(OR(1919782.20123="",16002.99729="",8374.82237=""),"-",(16002.99729-8374.82237)/1919782.20123*100)</f>
        <v>0.39734585074872797</v>
      </c>
    </row>
    <row r="22" spans="1:7" s="11" customFormat="1" ht="15.75">
      <c r="A22" s="22" t="s">
        <v>88</v>
      </c>
      <c r="B22" s="65">
        <f>IF(12203.85963="","-",12203.85963)</f>
        <v>12203.85963</v>
      </c>
      <c r="C22" s="65">
        <f>IF(OR(10421.89298="",12203.85963=""),"-",12203.85963/10421.89298*100)</f>
        <v>117.09830117637611</v>
      </c>
      <c r="D22" s="65">
        <f>IF(10421.89298="","-",10421.89298/1919782.20123*100)</f>
        <v>0.542868507340193</v>
      </c>
      <c r="E22" s="65">
        <f>IF(12203.85963="","-",12203.85963/2219031.80472*100)</f>
        <v>0.5499632589330957</v>
      </c>
      <c r="F22" s="65">
        <f>IF(OR(1633487.06476="",7912.279="",10421.89298=""),"-",(10421.89298-7912.279)/1633487.06476*100)</f>
        <v>0.15363537515179068</v>
      </c>
      <c r="G22" s="65">
        <f>IF(OR(1919782.20123="",12203.85963="",10421.89298=""),"-",(12203.85963-10421.89298)/1919782.20123*100)</f>
        <v>0.0928212923767237</v>
      </c>
    </row>
    <row r="23" spans="1:7" s="11" customFormat="1" ht="15.75">
      <c r="A23" s="22" t="s">
        <v>98</v>
      </c>
      <c r="B23" s="65">
        <f>IF(9350.49588="","-",9350.49588)</f>
        <v>9350.49588</v>
      </c>
      <c r="C23" s="65" t="s">
        <v>272</v>
      </c>
      <c r="D23" s="65">
        <f>IF(643.60723="","-",643.60723/1919782.20123*100)</f>
        <v>0.033525012868003586</v>
      </c>
      <c r="E23" s="65">
        <f>IF(9350.49588="","-",9350.49588/2219031.80472*100)</f>
        <v>0.42137728085334303</v>
      </c>
      <c r="F23" s="65">
        <f>IF(OR(1633487.06476="",284.01166="",643.60723=""),"-",(643.60723-284.01166)/1633487.06476*100)</f>
        <v>0.02201398332179836</v>
      </c>
      <c r="G23" s="65">
        <f>IF(OR(1919782.20123="",9350.49588="",643.60723=""),"-",(9350.49588-643.60723)/1919782.20123*100)</f>
        <v>0.45353523146644015</v>
      </c>
    </row>
    <row r="24" spans="1:7" s="18" customFormat="1" ht="15.75">
      <c r="A24" s="22" t="s">
        <v>90</v>
      </c>
      <c r="B24" s="65">
        <f>IF(7344.93759="","-",7344.93759)</f>
        <v>7344.93759</v>
      </c>
      <c r="C24" s="65">
        <f>IF(OR(6689.53318="",7344.93759=""),"-",7344.93759/6689.53318*100)</f>
        <v>109.79746108382406</v>
      </c>
      <c r="D24" s="65">
        <f>IF(6689.53318="","-",6689.53318/1919782.20123*100)</f>
        <v>0.34845271383983206</v>
      </c>
      <c r="E24" s="65">
        <f>IF(7344.93759="","-",7344.93759/2219031.80472*100)</f>
        <v>0.3309974005048924</v>
      </c>
      <c r="F24" s="65">
        <f>IF(OR(1633487.06476="",5867.92629="",6689.53318=""),"-",(6689.53318-5867.92629)/1633487.06476*100)</f>
        <v>0.05029772856638535</v>
      </c>
      <c r="G24" s="65">
        <f>IF(OR(1919782.20123="",7344.93759="",6689.53318=""),"-",(7344.93759-6689.53318)/1919782.20123*100)</f>
        <v>0.03413951903398641</v>
      </c>
    </row>
    <row r="25" spans="1:7" s="18" customFormat="1" ht="15.75">
      <c r="A25" s="22" t="s">
        <v>94</v>
      </c>
      <c r="B25" s="65">
        <f>IF(6922.02227="","-",6922.02227)</f>
        <v>6922.02227</v>
      </c>
      <c r="C25" s="65">
        <f>IF(OR(6714.12157="",6922.02227=""),"-",6922.02227/6714.12157*100)</f>
        <v>103.09646910370138</v>
      </c>
      <c r="D25" s="65">
        <f>IF(6714.12157="","-",6714.12157/1919782.20123*100)</f>
        <v>0.34973350444119533</v>
      </c>
      <c r="E25" s="65">
        <f>IF(6922.02227="","-",6922.02227/2219031.80472*100)</f>
        <v>0.3119388489735247</v>
      </c>
      <c r="F25" s="65">
        <f>IF(OR(1633487.06476="",2588.9365="",6714.12157=""),"-",(6714.12157-2588.9365)/1633487.06476*100)</f>
        <v>0.25253858196949314</v>
      </c>
      <c r="G25" s="65">
        <f>IF(OR(1919782.20123="",6922.02227="",6714.12157=""),"-",(6922.02227-6714.12157)/1919782.20123*100)</f>
        <v>0.010829389910313715</v>
      </c>
    </row>
    <row r="26" spans="1:7" s="11" customFormat="1" ht="15.75">
      <c r="A26" s="22" t="s">
        <v>89</v>
      </c>
      <c r="B26" s="65">
        <f>IF(6640.06499="","-",6640.06499)</f>
        <v>6640.06499</v>
      </c>
      <c r="C26" s="65">
        <f>IF(OR(8190.78547="",6640.06499=""),"-",6640.06499/8190.78547*100)</f>
        <v>81.06749974492983</v>
      </c>
      <c r="D26" s="65">
        <f>IF(8190.78547="","-",8190.78547/1919782.20123*100)</f>
        <v>0.4266518079369724</v>
      </c>
      <c r="E26" s="65">
        <f>IF(6640.06499="","-",6640.06499/2219031.80472*100)</f>
        <v>0.29923252906408215</v>
      </c>
      <c r="F26" s="65">
        <f>IF(OR(1633487.06476="",5986.43718="",8190.78547=""),"-",(8190.78547-5986.43718)/1633487.06476*100)</f>
        <v>0.13494739796570557</v>
      </c>
      <c r="G26" s="65">
        <f>IF(OR(1919782.20123="",6640.06499="",8190.78547=""),"-",(6640.06499-8190.78547)/1919782.20123*100)</f>
        <v>-0.08077585462592876</v>
      </c>
    </row>
    <row r="27" spans="1:7" s="11" customFormat="1" ht="15.75">
      <c r="A27" s="22" t="s">
        <v>92</v>
      </c>
      <c r="B27" s="65">
        <f>IF(4865.07879="","-",4865.07879)</f>
        <v>4865.07879</v>
      </c>
      <c r="C27" s="65">
        <f>IF(OR(4690.53543="",4865.07879=""),"-",4865.07879/4690.53543*100)</f>
        <v>103.72118199733968</v>
      </c>
      <c r="D27" s="65">
        <f>IF(4690.53543="","-",4690.53543/1919782.20123*100)</f>
        <v>0.24432643593605488</v>
      </c>
      <c r="E27" s="65">
        <f>IF(4865.07879="","-",4865.07879/2219031.80472*100)</f>
        <v>0.21924331051279733</v>
      </c>
      <c r="F27" s="65">
        <f>IF(OR(1633487.06476="",4179.5393="",4690.53543=""),"-",(4690.53543-4179.5393)/1633487.06476*100)</f>
        <v>0.03128253299484056</v>
      </c>
      <c r="G27" s="65">
        <f>IF(OR(1919782.20123="",4865.07879="",4690.53543=""),"-",(4865.07879-4690.53543)/1919782.20123*100)</f>
        <v>0.009091831348794157</v>
      </c>
    </row>
    <row r="28" spans="1:7" s="11" customFormat="1" ht="15.75">
      <c r="A28" s="22" t="s">
        <v>93</v>
      </c>
      <c r="B28" s="65">
        <f>IF(2581.53379="","-",2581.53379)</f>
        <v>2581.53379</v>
      </c>
      <c r="C28" s="65">
        <f>IF(OR(2684.3069="",2581.53379=""),"-",2581.53379/2684.3069*100)</f>
        <v>96.17133532682122</v>
      </c>
      <c r="D28" s="65">
        <f>IF(2684.3069="","-",2684.3069/1919782.20123*100)</f>
        <v>0.13982351218175534</v>
      </c>
      <c r="E28" s="65">
        <f>IF(2581.53379="","-",2581.53379/2219031.80472*100)</f>
        <v>0.1163360427961843</v>
      </c>
      <c r="F28" s="65">
        <f>IF(OR(1633487.06476="",2986.35129="",2684.3069=""),"-",(2684.3069-2986.35129)/1633487.06476*100)</f>
        <v>-0.018490773298188184</v>
      </c>
      <c r="G28" s="65">
        <f>IF(OR(1919782.20123="",2581.53379="",2684.3069=""),"-",(2581.53379-2684.3069)/1919782.20123*100)</f>
        <v>-0.005353373415700677</v>
      </c>
    </row>
    <row r="29" spans="1:7" s="11" customFormat="1" ht="15.75">
      <c r="A29" s="22" t="s">
        <v>95</v>
      </c>
      <c r="B29" s="65">
        <f>IF(1475.37991="","-",1475.37991)</f>
        <v>1475.37991</v>
      </c>
      <c r="C29" s="65">
        <f>IF(OR(1156.50875="",1475.37991=""),"-",1475.37991/1156.50875*100)</f>
        <v>127.57187613150356</v>
      </c>
      <c r="D29" s="65">
        <f>IF(1156.50875="","-",1156.50875/1919782.20123*100)</f>
        <v>0.060241664354374544</v>
      </c>
      <c r="E29" s="65">
        <f>IF(1475.37991="","-",1475.37991/2219031.80472*100)</f>
        <v>0.06648755132133698</v>
      </c>
      <c r="F29" s="65">
        <f>IF(OR(1633487.06476="",1043.40648="",1156.50875=""),"-",(1156.50875-1043.40648)/1633487.06476*100)</f>
        <v>0.006923977081913252</v>
      </c>
      <c r="G29" s="65">
        <f>IF(OR(1919782.20123="",1475.37991="",1156.50875=""),"-",(1475.37991-1156.50875)/1919782.20123*100)</f>
        <v>0.016609757075344282</v>
      </c>
    </row>
    <row r="30" spans="1:7" s="11" customFormat="1" ht="15.75">
      <c r="A30" s="22" t="s">
        <v>208</v>
      </c>
      <c r="B30" s="65">
        <f>IF(896.62975="","-",896.62975)</f>
        <v>896.62975</v>
      </c>
      <c r="C30" s="65">
        <f>IF(OR(686.23523="",896.62975=""),"-",896.62975/686.23523*100)</f>
        <v>130.6592420211361</v>
      </c>
      <c r="D30" s="65">
        <f>IF(686.23523="","-",686.23523/1919782.20123*100)</f>
        <v>0.035745473083370116</v>
      </c>
      <c r="E30" s="65">
        <f>IF(896.62975="","-",896.62975/2219031.80472*100)</f>
        <v>0.04040634965631499</v>
      </c>
      <c r="F30" s="65">
        <f>IF(OR(1633487.06476="",182.10966="",686.23523=""),"-",(686.23523-182.10966)/1633487.06476*100)</f>
        <v>0.03086192605229284</v>
      </c>
      <c r="G30" s="65">
        <f>IF(OR(1919782.20123="",896.62975="",686.23523=""),"-",(896.62975-686.23523)/1919782.20123*100)</f>
        <v>0.010959291104230504</v>
      </c>
    </row>
    <row r="31" spans="1:7" s="11" customFormat="1" ht="15.75">
      <c r="A31" s="22" t="s">
        <v>97</v>
      </c>
      <c r="B31" s="65">
        <f>IF(659.03762="","-",659.03762)</f>
        <v>659.03762</v>
      </c>
      <c r="C31" s="65">
        <f>IF(OR(918.53794="",659.03762=""),"-",659.03762/918.53794*100)</f>
        <v>71.74854639101788</v>
      </c>
      <c r="D31" s="65">
        <f>IF(918.53794="","-",918.53794/1919782.20123*100)</f>
        <v>0.04784594520209089</v>
      </c>
      <c r="E31" s="65">
        <f>IF(659.03762="","-",659.03762/2219031.80472*100)</f>
        <v>0.029699331870692052</v>
      </c>
      <c r="F31" s="65">
        <f>IF(OR(1633487.06476="",623.86665="",918.53794=""),"-",(918.53794-623.86665)/1633487.06476*100)</f>
        <v>0.018039401496166396</v>
      </c>
      <c r="G31" s="65">
        <f>IF(OR(1919782.20123="",659.03762="",918.53794=""),"-",(659.03762-918.53794)/1919782.20123*100)</f>
        <v>-0.013517175012547717</v>
      </c>
    </row>
    <row r="32" spans="1:7" s="11" customFormat="1" ht="15.75">
      <c r="A32" s="22" t="s">
        <v>102</v>
      </c>
      <c r="B32" s="65">
        <f>IF(573.68424="","-",573.68424)</f>
        <v>573.68424</v>
      </c>
      <c r="C32" s="65" t="s">
        <v>273</v>
      </c>
      <c r="D32" s="65">
        <f>IF(16.26047="","-",16.26047/1919782.20123*100)</f>
        <v>0.0008469955596828617</v>
      </c>
      <c r="E32" s="65">
        <f>IF(573.68424="","-",573.68424/2219031.80472*100)</f>
        <v>0.02585290750586552</v>
      </c>
      <c r="F32" s="65">
        <f>IF(OR(1633487.06476="",75.19141="",16.26047=""),"-",(16.26047-75.19141)/1633487.06476*100)</f>
        <v>-0.0036076771754944034</v>
      </c>
      <c r="G32" s="65">
        <f>IF(OR(1919782.20123="",573.68424="",16.26047=""),"-",(573.68424-16.26047)/1919782.20123*100)</f>
        <v>0.029035781748724405</v>
      </c>
    </row>
    <row r="33" spans="1:7" s="11" customFormat="1" ht="15.75">
      <c r="A33" s="22" t="s">
        <v>100</v>
      </c>
      <c r="B33" s="65">
        <f>IF(326.34669="","-",326.34669)</f>
        <v>326.34669</v>
      </c>
      <c r="C33" s="65">
        <f>IF(OR(614.41806="",326.34669=""),"-",326.34669/614.41806*100)</f>
        <v>53.114761958657276</v>
      </c>
      <c r="D33" s="65">
        <f>IF(614.41806="","-",614.41806/1919782.20123*100)</f>
        <v>0.032004571123033836</v>
      </c>
      <c r="E33" s="65">
        <f>IF(326.34669="","-",326.34669/2219031.80472*100)</f>
        <v>0.014706715302856095</v>
      </c>
      <c r="F33" s="65">
        <f>IF(OR(1633487.06476="",198.79953="",614.41806=""),"-",(614.41806-198.79953)/1633487.06476*100)</f>
        <v>0.025443637661193525</v>
      </c>
      <c r="G33" s="65">
        <f>IF(OR(1919782.20123="",326.34669="",614.41806=""),"-",(326.34669-614.41806)/1919782.20123*100)</f>
        <v>-0.01500541935514525</v>
      </c>
    </row>
    <row r="34" spans="1:7" s="11" customFormat="1" ht="15.75">
      <c r="A34" s="22" t="s">
        <v>96</v>
      </c>
      <c r="B34" s="65">
        <f>IF(275.12532="","-",275.12532)</f>
        <v>275.12532</v>
      </c>
      <c r="C34" s="65" t="s">
        <v>250</v>
      </c>
      <c r="D34" s="65">
        <f>IF(87.26865="","-",87.26865/1919782.20123*100)</f>
        <v>0.0045457578439933016</v>
      </c>
      <c r="E34" s="65">
        <f>IF(275.12532="","-",275.12532/2219031.80472*100)</f>
        <v>0.012398439689543595</v>
      </c>
      <c r="F34" s="65">
        <f>IF(OR(1633487.06476="",649.52027="",87.26865=""),"-",(87.26865-649.52027)/1633487.06476*100)</f>
        <v>-0.03442032888595961</v>
      </c>
      <c r="G34" s="65">
        <f>IF(OR(1919782.20123="",275.12532="",87.26865=""),"-",(275.12532-87.26865)/1919782.20123*100)</f>
        <v>0.00978531157751336</v>
      </c>
    </row>
    <row r="35" spans="1:7" s="11" customFormat="1" ht="15.75">
      <c r="A35" s="22" t="s">
        <v>101</v>
      </c>
      <c r="B35" s="65">
        <f>IF(43.16451="","-",43.16451)</f>
        <v>43.16451</v>
      </c>
      <c r="C35" s="65">
        <f>IF(OR(33.01571="",43.16451=""),"-",43.16451/33.01571*100)</f>
        <v>130.73930562147535</v>
      </c>
      <c r="D35" s="65">
        <f>IF(33.01571="","-",33.01571/1919782.20123*100)</f>
        <v>0.0017197633137158428</v>
      </c>
      <c r="E35" s="65">
        <f>IF(43.16451="","-",43.16451/2219031.80472*100)</f>
        <v>0.0019451956438022548</v>
      </c>
      <c r="F35" s="65">
        <f>IF(OR(1633487.06476="",98.8475="",33.01571=""),"-",(33.01571-98.8475)/1633487.06476*100)</f>
        <v>-0.004030138433307541</v>
      </c>
      <c r="G35" s="65">
        <f>IF(OR(1919782.20123="",43.16451="",33.01571=""),"-",(43.16451-33.01571)/1919782.20123*100)</f>
        <v>0.0005286433009691249</v>
      </c>
    </row>
    <row r="36" spans="1:7" s="11" customFormat="1" ht="15.75">
      <c r="A36" s="22" t="s">
        <v>99</v>
      </c>
      <c r="B36" s="65">
        <f>IF(7.42765="","-",7.42765)</f>
        <v>7.42765</v>
      </c>
      <c r="C36" s="65">
        <f>IF(OR(247.44813="",7.42765=""),"-",7.42765/247.44813*100)</f>
        <v>3.001699790578333</v>
      </c>
      <c r="D36" s="65">
        <f>IF(247.44813="","-",247.44813/1919782.20123*100)</f>
        <v>0.012889385568918213</v>
      </c>
      <c r="E36" s="65">
        <f>IF(7.42765="","-",7.42765/2219031.80472*100)</f>
        <v>0.0003347248103520188</v>
      </c>
      <c r="F36" s="65">
        <f>IF(OR(1633487.06476="",370.0448="",247.44813=""),"-",(247.44813-370.0448)/1633487.06476*100)</f>
        <v>-0.00750521217124009</v>
      </c>
      <c r="G36" s="65">
        <f>IF(OR(1919782.20123="",7.42765="",247.44813=""),"-",(7.42765-247.44813)/1919782.20123*100)</f>
        <v>-0.012502484909289159</v>
      </c>
    </row>
    <row r="37" spans="1:7" s="11" customFormat="1" ht="14.25" customHeight="1">
      <c r="A37" s="58" t="s">
        <v>216</v>
      </c>
      <c r="B37" s="63">
        <f>IF(348663.76009="","-",348663.76009)</f>
        <v>348663.76009</v>
      </c>
      <c r="C37" s="63">
        <f>IF(379972.0228="","-",348663.76009/379972.0228*100)</f>
        <v>91.76037686161983</v>
      </c>
      <c r="D37" s="63">
        <f>IF(379972.0228="","-",379972.0228/1919782.20123*100)</f>
        <v>19.792454714735495</v>
      </c>
      <c r="E37" s="63">
        <f>IF(348663.76009="","-",348663.76009/2219031.80472*100)</f>
        <v>15.712427345492456</v>
      </c>
      <c r="F37" s="63">
        <f>IF(1633487.06476="","-",(379972.0228-343430.66613)/1633487.06476*100)</f>
        <v>2.2370153678179747</v>
      </c>
      <c r="G37" s="63">
        <f>IF(1919782.20123="","-",(348663.76009-379972.0228)/1919782.20123*100)</f>
        <v>-1.6308236783287628</v>
      </c>
    </row>
    <row r="38" spans="1:7" s="19" customFormat="1" ht="14.25" customHeight="1">
      <c r="A38" s="22" t="s">
        <v>209</v>
      </c>
      <c r="B38" s="65">
        <f>IF(182263.84794="","-",182263.84794)</f>
        <v>182263.84794</v>
      </c>
      <c r="C38" s="65">
        <f>IF(OR(208775.94764="",182263.84794=""),"-",182263.84794/208775.94764*100)</f>
        <v>87.3011714233884</v>
      </c>
      <c r="D38" s="65">
        <f>IF(208775.94764="","-",208775.94764/1919782.20123*100)</f>
        <v>10.87498089659534</v>
      </c>
      <c r="E38" s="65">
        <f>IF(182263.84794="","-",182263.84794/2219031.80472*100)</f>
        <v>8.213665417156934</v>
      </c>
      <c r="F38" s="65">
        <f>IF(OR(1633487.06476="",194636.79387="",208775.94764=""),"-",(208775.94764-194636.79387)/1633487.06476*100)</f>
        <v>0.8655810061206329</v>
      </c>
      <c r="G38" s="65">
        <f>IF(OR(1919782.20123="",182263.84794="",208775.94764=""),"-",(182263.84794-208775.94764)/1919782.20123*100)</f>
        <v>-1.3809951817979014</v>
      </c>
    </row>
    <row r="39" spans="1:7" s="19" customFormat="1" ht="14.25" customHeight="1">
      <c r="A39" s="22" t="s">
        <v>10</v>
      </c>
      <c r="B39" s="65">
        <f>IF(74835.21722="","-",74835.21722)</f>
        <v>74835.21722</v>
      </c>
      <c r="C39" s="65">
        <f>IF(OR(91518.02927="",74835.21722=""),"-",74835.21722/91518.02927*100)</f>
        <v>81.77101038661823</v>
      </c>
      <c r="D39" s="65">
        <f>IF(91518.02927="","-",91518.02927/1919782.20123*100)</f>
        <v>4.767104789874842</v>
      </c>
      <c r="E39" s="65">
        <f>IF(74835.21722="","-",74835.21722/2219031.80472*100)</f>
        <v>3.3724265267771956</v>
      </c>
      <c r="F39" s="65">
        <f>IF(OR(1633487.06476="",85827.35394="",91518.02927=""),"-",(91518.02927-85827.35394)/1633487.06476*100)</f>
        <v>0.3483759040868867</v>
      </c>
      <c r="G39" s="65">
        <f>IF(OR(1919782.20123="",74835.21722="",91518.02927=""),"-",(74835.21722-91518.02927)/1919782.20123*100)</f>
        <v>-0.8689950370053099</v>
      </c>
    </row>
    <row r="40" spans="1:7" s="19" customFormat="1" ht="14.25" customHeight="1">
      <c r="A40" s="22" t="s">
        <v>11</v>
      </c>
      <c r="B40" s="65">
        <f>IF(67173.9141="","-",67173.9141)</f>
        <v>67173.9141</v>
      </c>
      <c r="C40" s="65">
        <f>IF(OR(54269.70948="",67173.9141=""),"-",67173.9141/54269.70948*100)</f>
        <v>123.77791357949977</v>
      </c>
      <c r="D40" s="65">
        <f>IF(54269.70948="","-",54269.70948/1919782.20123*100)</f>
        <v>2.8268680397823003</v>
      </c>
      <c r="E40" s="65">
        <f>IF(67173.9141="","-",67173.9141/2219031.80472*100)</f>
        <v>3.0271722089389375</v>
      </c>
      <c r="F40" s="65">
        <f>IF(OR(1633487.06476="",41275.06469="",54269.70948=""),"-",(54269.70948-41275.06469)/1633487.06476*100)</f>
        <v>0.7955156223969998</v>
      </c>
      <c r="G40" s="65">
        <f>IF(OR(1919782.20123="",67173.9141="",54269.70948=""),"-",(67173.9141-54269.70948)/1919782.20123*100)</f>
        <v>0.6721702395059348</v>
      </c>
    </row>
    <row r="41" spans="1:7" s="17" customFormat="1" ht="14.25" customHeight="1">
      <c r="A41" s="22" t="s">
        <v>12</v>
      </c>
      <c r="B41" s="65">
        <f>IF(14491.88235="","-",14491.88235)</f>
        <v>14491.88235</v>
      </c>
      <c r="C41" s="65">
        <f>IF(OR(13770.28686="",14491.88235=""),"-",14491.88235/13770.28686*100)</f>
        <v>105.24023571430523</v>
      </c>
      <c r="D41" s="65">
        <f>IF(13770.28686="","-",13770.28686/1919782.20123*100)</f>
        <v>0.7172838070473521</v>
      </c>
      <c r="E41" s="65">
        <f>IF(14491.88235="","-",14491.88235/2219031.80472*100)</f>
        <v>0.6530723137530065</v>
      </c>
      <c r="F41" s="65">
        <f>IF(OR(1633487.06476="",10946.95014="",13770.28686=""),"-",(13770.28686-10946.95014)/1633487.06476*100)</f>
        <v>0.17284108217990804</v>
      </c>
      <c r="G41" s="65">
        <f>IF(OR(1919782.20123="",14491.88235="",13770.28686=""),"-",(14491.88235-13770.28686)/1919782.20123*100)</f>
        <v>0.03758736222982353</v>
      </c>
    </row>
    <row r="42" spans="1:7" s="19" customFormat="1" ht="14.25" customHeight="1">
      <c r="A42" s="22" t="s">
        <v>13</v>
      </c>
      <c r="B42" s="65">
        <f>IF(3556.20312="","-",3556.20312)</f>
        <v>3556.20312</v>
      </c>
      <c r="C42" s="65">
        <f>IF(OR(4299.8266="",3556.20312=""),"-",3556.20312/4299.8266*100)</f>
        <v>82.70573329631479</v>
      </c>
      <c r="D42" s="65">
        <f>IF(4299.8266="","-",4299.8266/1919782.20123*100)</f>
        <v>0.22397470907090977</v>
      </c>
      <c r="E42" s="65">
        <f>IF(3556.20312="","-",3556.20312/2219031.80472*100)</f>
        <v>0.16025922262293696</v>
      </c>
      <c r="F42" s="65">
        <f>IF(OR(1633487.06476="",2989.27838="",4299.8266=""),"-",(4299.8266-2989.27838)/1633487.06476*100)</f>
        <v>0.08023009476310437</v>
      </c>
      <c r="G42" s="65">
        <f>IF(OR(1919782.20123="",3556.20312="",4299.8266=""),"-",(3556.20312-4299.8266)/1919782.20123*100)</f>
        <v>-0.03873478353552619</v>
      </c>
    </row>
    <row r="43" spans="1:7" s="17" customFormat="1" ht="14.25" customHeight="1">
      <c r="A43" s="22" t="s">
        <v>14</v>
      </c>
      <c r="B43" s="65">
        <f>IF(2956.88836="","-",2956.88836)</f>
        <v>2956.88836</v>
      </c>
      <c r="C43" s="65">
        <f>IF(OR(4746.9065="",2956.88836=""),"-",2956.88836/4746.9065*100)</f>
        <v>62.29084899818439</v>
      </c>
      <c r="D43" s="65">
        <f>IF(4746.9065="","-",4746.9065/1919782.20123*100)</f>
        <v>0.247262762252857</v>
      </c>
      <c r="E43" s="65">
        <f>IF(2956.88836="","-",2956.88836/2219031.80472*100)</f>
        <v>0.13325128345211362</v>
      </c>
      <c r="F43" s="65">
        <f>IF(OR(1633487.06476="",4214.89457="",4746.9065=""),"-",(4746.9065-4214.89457)/1633487.06476*100)</f>
        <v>0.03256909353476671</v>
      </c>
      <c r="G43" s="65">
        <f>IF(OR(1919782.20123="",2956.88836="",4746.9065=""),"-",(2956.88836-4746.9065)/1919782.20123*100)</f>
        <v>-0.09324068838919017</v>
      </c>
    </row>
    <row r="44" spans="1:7" s="17" customFormat="1" ht="14.25" customHeight="1">
      <c r="A44" s="22" t="s">
        <v>16</v>
      </c>
      <c r="B44" s="65">
        <f>IF(1640.27304="","-",1640.27304)</f>
        <v>1640.27304</v>
      </c>
      <c r="C44" s="65" t="s">
        <v>158</v>
      </c>
      <c r="D44" s="65">
        <f>IF(843.96477="","-",843.96477/1919782.20123*100)</f>
        <v>0.0439614852903248</v>
      </c>
      <c r="E44" s="65">
        <f>IF(1640.27304="","-",1640.27304/2219031.80472*100)</f>
        <v>0.0739184105658626</v>
      </c>
      <c r="F44" s="65">
        <f>IF(OR(1633487.06476="",652.25807="",843.96477=""),"-",(843.96477-652.25807)/1633487.06476*100)</f>
        <v>0.011736040286806101</v>
      </c>
      <c r="G44" s="65">
        <f>IF(OR(1919782.20123="",1640.27304="",843.96477=""),"-",(1640.27304-843.96477)/1919782.20123*100)</f>
        <v>0.04147909432068946</v>
      </c>
    </row>
    <row r="45" spans="1:7" s="17" customFormat="1" ht="14.25" customHeight="1">
      <c r="A45" s="22" t="s">
        <v>263</v>
      </c>
      <c r="B45" s="65">
        <f>IF(888.617="","-",888.617)</f>
        <v>888.617</v>
      </c>
      <c r="C45" s="65">
        <f>IF(OR(866.87937="",888.617=""),"-",888.617/866.87937*100)</f>
        <v>102.50757265108292</v>
      </c>
      <c r="D45" s="65">
        <f>IF(866.87937="","-",866.87937/1919782.20123*100)</f>
        <v>0.04515508943903076</v>
      </c>
      <c r="E45" s="65">
        <f>IF(888.617="","-",888.617/2219031.80472*100)</f>
        <v>0.04004525749067065</v>
      </c>
      <c r="F45" s="65">
        <f>IF(OR(1633487.06476="",1555.36029="",866.87937=""),"-",(866.87937-1555.36029)/1633487.06476*100)</f>
        <v>-0.042147926044407036</v>
      </c>
      <c r="G45" s="65">
        <f>IF(OR(1919782.20123="",888.617="",866.87937=""),"-",(888.617-866.87937)/1919782.20123*100)</f>
        <v>0.00113229667334517</v>
      </c>
    </row>
    <row r="46" spans="1:7" s="17" customFormat="1" ht="14.25" customHeight="1">
      <c r="A46" s="22" t="s">
        <v>15</v>
      </c>
      <c r="B46" s="65">
        <f>IF(552.3187="","-",552.3187)</f>
        <v>552.3187</v>
      </c>
      <c r="C46" s="65">
        <f>IF(OR(507.9163="",552.3187=""),"-",552.3187/507.9163*100)</f>
        <v>108.74207029780301</v>
      </c>
      <c r="D46" s="65">
        <f>IF(507.9163="","-",507.9163/1919782.20123*100)</f>
        <v>0.026456975154503418</v>
      </c>
      <c r="E46" s="65">
        <f>IF(552.3187="","-",552.3187/2219031.80472*100)</f>
        <v>0.024890075880173886</v>
      </c>
      <c r="F46" s="65">
        <f>IF(OR(1633487.06476="",913.85487="",507.9163=""),"-",(507.9163-913.85487)/1633487.06476*100)</f>
        <v>-0.024851042824734125</v>
      </c>
      <c r="G46" s="65">
        <f>IF(OR(1919782.20123="",552.3187="",507.9163=""),"-",(552.3187-507.9163)/1919782.20123*100)</f>
        <v>0.002312887366678967</v>
      </c>
    </row>
    <row r="47" spans="1:7" s="17" customFormat="1" ht="14.25" customHeight="1">
      <c r="A47" s="22" t="s">
        <v>17</v>
      </c>
      <c r="B47" s="65">
        <f>IF(304.59826="","-",304.59826)</f>
        <v>304.59826</v>
      </c>
      <c r="C47" s="65">
        <f>IF(OR(372.55601="",304.59826=""),"-",304.59826/372.55601*100)</f>
        <v>81.75905147792407</v>
      </c>
      <c r="D47" s="65">
        <f>IF(372.55601="","-",372.55601/1919782.20123*100)</f>
        <v>0.019406160228035464</v>
      </c>
      <c r="E47" s="65">
        <f>IF(304.59826="","-",304.59826/2219031.80472*100)</f>
        <v>0.013726628854624938</v>
      </c>
      <c r="F47" s="65">
        <f>IF(OR(1633487.06476="",418.85731="",372.55601=""),"-",(372.55601-418.85731)/1633487.06476*100)</f>
        <v>-0.0028345066819860485</v>
      </c>
      <c r="G47" s="65">
        <f>IF(OR(1919782.20123="",304.59826="",372.55601=""),"-",(304.59826-372.55601)/1919782.20123*100)</f>
        <v>-0.0035398676973075207</v>
      </c>
    </row>
    <row r="48" spans="1:7" s="11" customFormat="1" ht="15.75">
      <c r="A48" s="58" t="s">
        <v>247</v>
      </c>
      <c r="B48" s="63">
        <f>IF(328597.90621="","-",328597.90621)</f>
        <v>328597.90621</v>
      </c>
      <c r="C48" s="63">
        <f>IF(285475.57277="","-",328597.90621/285475.57277*100)</f>
        <v>115.10543722588218</v>
      </c>
      <c r="D48" s="63">
        <f>IF(285475.57277="","-",285475.57277/1919782.20123*100)</f>
        <v>14.870206244598814</v>
      </c>
      <c r="E48" s="63">
        <f>IF(328597.90621="","-",328597.90621/2219031.80472*100)</f>
        <v>14.80816568338744</v>
      </c>
      <c r="F48" s="63">
        <f>IF(1633487.06476="","-",(285475.57277-243539.3301)/1633487.06476*100)</f>
        <v>2.5672834254222585</v>
      </c>
      <c r="G48" s="63">
        <f>IF(1919782.20123="","-",(328597.90621-285475.57277)/1919782.20123*100)</f>
        <v>2.2462096696370857</v>
      </c>
    </row>
    <row r="49" spans="1:7" s="11" customFormat="1" ht="15.75">
      <c r="A49" s="22" t="s">
        <v>103</v>
      </c>
      <c r="B49" s="65">
        <f>IF(71724.43447="","-",71724.43447)</f>
        <v>71724.43447</v>
      </c>
      <c r="C49" s="65">
        <f>IF(OR(76742.33561="",71724.43447=""),"-",71724.43447/76742.33561*100)</f>
        <v>93.46136509904953</v>
      </c>
      <c r="D49" s="65">
        <f>IF(76742.33561="","-",76742.33561/1919782.20123*100)</f>
        <v>3.9974501045395336</v>
      </c>
      <c r="E49" s="65">
        <f>IF(71724.43447="","-",71724.43447/2219031.80472*100)</f>
        <v>3.232240038986294</v>
      </c>
      <c r="F49" s="65">
        <f>IF(OR(1633487.06476="",48754.18042="",76742.33561=""),"-",(76742.33561-48754.18042)/1633487.06476*100)</f>
        <v>1.7133992545029522</v>
      </c>
      <c r="G49" s="65">
        <f>IF(OR(1919782.20123="",71724.43447="",76742.33561=""),"-",(71724.43447-76742.33561)/1919782.20123*100)</f>
        <v>-0.26137866768350304</v>
      </c>
    </row>
    <row r="50" spans="1:7" s="18" customFormat="1" ht="15.75">
      <c r="A50" s="22" t="s">
        <v>210</v>
      </c>
      <c r="B50" s="65">
        <f>IF(44814.27732="","-",44814.27732)</f>
        <v>44814.27732</v>
      </c>
      <c r="C50" s="65" t="s">
        <v>286</v>
      </c>
      <c r="D50" s="65">
        <f>IF(28966.48527="","-",28966.48527/1919782.20123*100)</f>
        <v>1.5088422661404632</v>
      </c>
      <c r="E50" s="65">
        <f>IF(44814.27732="","-",44814.27732/2219031.80472*100)</f>
        <v>2.0195419112370367</v>
      </c>
      <c r="F50" s="65">
        <f>IF(OR(1633487.06476="",33641.45686="",28966.48527=""),"-",(28966.48527-33641.45686)/1633487.06476*100)</f>
        <v>-0.28619581329141824</v>
      </c>
      <c r="G50" s="65">
        <f>IF(OR(1919782.20123="",44814.27732="",28966.48527=""),"-",(44814.27732-28966.48527)/1919782.20123*100)</f>
        <v>0.8254994780057007</v>
      </c>
    </row>
    <row r="51" spans="1:7" s="20" customFormat="1" ht="15.75">
      <c r="A51" s="22" t="s">
        <v>114</v>
      </c>
      <c r="B51" s="65">
        <f>IF(18260.98685="","-",18260.98685)</f>
        <v>18260.98685</v>
      </c>
      <c r="C51" s="65" t="s">
        <v>274</v>
      </c>
      <c r="D51" s="65">
        <f>IF(7394.69773="","-",7394.69773/1919782.20123*100)</f>
        <v>0.3851842008568594</v>
      </c>
      <c r="E51" s="65">
        <f>IF(18260.98685="","-",18260.98685/2219031.80472*100)</f>
        <v>0.8229258729486391</v>
      </c>
      <c r="F51" s="65">
        <f>IF(OR(1633487.06476="",2412.44029="",7394.69773=""),"-",(7394.69773-2412.44029)/1633487.06476*100)</f>
        <v>0.3050074621026777</v>
      </c>
      <c r="G51" s="65">
        <f>IF(OR(1919782.20123="",18260.98685="",7394.69773=""),"-",(18260.98685-7394.69773)/1919782.20123*100)</f>
        <v>0.5660167654975651</v>
      </c>
    </row>
    <row r="52" spans="1:7" s="18" customFormat="1" ht="15.75">
      <c r="A52" s="22" t="s">
        <v>18</v>
      </c>
      <c r="B52" s="65">
        <f>IF(17857.37331="","-",17857.37331)</f>
        <v>17857.37331</v>
      </c>
      <c r="C52" s="65">
        <f>IF(OR(15044.81293="",17857.37331=""),"-",17857.37331/15044.81293*100)</f>
        <v>118.69455202325337</v>
      </c>
      <c r="D52" s="65">
        <f>IF(15044.81293="","-",15044.81293/1919782.20123*100)</f>
        <v>0.7836729041638589</v>
      </c>
      <c r="E52" s="65">
        <f>IF(17857.37331="","-",17857.37331/2219031.80472*100)</f>
        <v>0.8047371503200814</v>
      </c>
      <c r="F52" s="65">
        <f>IF(OR(1633487.06476="",13580.11667="",15044.81293=""),"-",(15044.81293-13580.11667)/1633487.06476*100)</f>
        <v>0.08966684166643224</v>
      </c>
      <c r="G52" s="65">
        <f>IF(OR(1919782.20123="",17857.37331="",15044.81293=""),"-",(17857.37331-15044.81293)/1919782.20123*100)</f>
        <v>0.14650413876105312</v>
      </c>
    </row>
    <row r="53" spans="1:7" s="11" customFormat="1" ht="15.75">
      <c r="A53" s="22" t="s">
        <v>105</v>
      </c>
      <c r="B53" s="65">
        <f>IF(17734.50035="","-",17734.50035)</f>
        <v>17734.50035</v>
      </c>
      <c r="C53" s="65">
        <f>IF(OR(14573.40519="",17734.50035=""),"-",17734.50035/14573.40519*100)</f>
        <v>121.69084794382223</v>
      </c>
      <c r="D53" s="65">
        <f>IF(14573.40519="","-",14573.40519/1919782.20123*100)</f>
        <v>0.7591176322325967</v>
      </c>
      <c r="E53" s="65">
        <f>IF(17734.50035="","-",17734.50035/2219031.80472*100)</f>
        <v>0.7991999173818853</v>
      </c>
      <c r="F53" s="65">
        <f>IF(OR(1633487.06476="",13641.14175="",14573.40519=""),"-",(14573.40519-13641.14175)/1633487.06476*100)</f>
        <v>0.0570719817813171</v>
      </c>
      <c r="G53" s="65">
        <f>IF(OR(1919782.20123="",17734.50035="",14573.40519=""),"-",(17734.50035-14573.40519)/1919782.20123*100)</f>
        <v>0.16465905132231629</v>
      </c>
    </row>
    <row r="54" spans="1:7" s="11" customFormat="1" ht="15.75">
      <c r="A54" s="22" t="s">
        <v>106</v>
      </c>
      <c r="B54" s="65">
        <f>IF(14944.00789="","-",14944.00789)</f>
        <v>14944.00789</v>
      </c>
      <c r="C54" s="65">
        <f>IF(OR(14789.9454="",14944.00789=""),"-",14944.00789/14789.9454*100)</f>
        <v>101.04167044457108</v>
      </c>
      <c r="D54" s="65">
        <f>IF(14789.9454="","-",14789.9454/1919782.20123*100)</f>
        <v>0.7703970476715597</v>
      </c>
      <c r="E54" s="65">
        <f>IF(14944.00789="","-",14944.00789/2219031.80472*100)</f>
        <v>0.6734472150517758</v>
      </c>
      <c r="F54" s="65">
        <f>IF(OR(1633487.06476="",11936.18719="",14789.9454=""),"-",(14789.9454-11936.18719)/1633487.06476*100)</f>
        <v>0.17470344709581695</v>
      </c>
      <c r="G54" s="65">
        <f>IF(OR(1919782.20123="",14944.00789="",14789.9454=""),"-",(14944.00789-14789.9454)/1919782.20123*100)</f>
        <v>0.008024998351442823</v>
      </c>
    </row>
    <row r="55" spans="1:7" s="20" customFormat="1" ht="15.75">
      <c r="A55" s="22" t="s">
        <v>107</v>
      </c>
      <c r="B55" s="65">
        <f>IF(12438.68073="","-",12438.68073)</f>
        <v>12438.68073</v>
      </c>
      <c r="C55" s="65" t="s">
        <v>157</v>
      </c>
      <c r="D55" s="65">
        <f>IF(7176.69949="","-",7176.69949/1919782.20123*100)</f>
        <v>0.3738288377401304</v>
      </c>
      <c r="E55" s="65">
        <f>IF(12438.68073="","-",12438.68073/2219031.80472*100)</f>
        <v>0.5605454010862871</v>
      </c>
      <c r="F55" s="65">
        <f>IF(OR(1633487.06476="",9142.37303="",7176.69949=""),"-",(7176.69949-9142.37303)/1633487.06476*100)</f>
        <v>-0.12033603341014562</v>
      </c>
      <c r="G55" s="65">
        <f>IF(OR(1919782.20123="",12438.68073="",7176.69949=""),"-",(12438.68073-7176.69949)/1919782.20123*100)</f>
        <v>0.274092615122104</v>
      </c>
    </row>
    <row r="56" spans="1:7" s="11" customFormat="1" ht="15.75">
      <c r="A56" s="22" t="s">
        <v>123</v>
      </c>
      <c r="B56" s="65">
        <f>IF(11422.87164="","-",11422.87164)</f>
        <v>11422.87164</v>
      </c>
      <c r="C56" s="65" t="s">
        <v>275</v>
      </c>
      <c r="D56" s="65">
        <f>IF(2142.40049="","-",2142.40049/1919782.20123*100)</f>
        <v>0.11159601795596236</v>
      </c>
      <c r="E56" s="65">
        <f>IF(11422.87164="","-",11422.87164/2219031.80472*100)</f>
        <v>0.5147682703647122</v>
      </c>
      <c r="F56" s="65">
        <f>IF(OR(1633487.06476="",763.19737="",2142.40049=""),"-",(2142.40049-763.19737)/1633487.06476*100)</f>
        <v>0.08443306039908186</v>
      </c>
      <c r="G56" s="65">
        <f>IF(OR(1919782.20123="",11422.87164="",2142.40049=""),"-",(11422.87164-2142.40049)/1919782.20123*100)</f>
        <v>0.4834127092153487</v>
      </c>
    </row>
    <row r="57" spans="1:7" s="18" customFormat="1" ht="15.75">
      <c r="A57" s="22" t="s">
        <v>104</v>
      </c>
      <c r="B57" s="65">
        <f>IF(10180.46486="","-",10180.46486)</f>
        <v>10180.46486</v>
      </c>
      <c r="C57" s="65">
        <f>IF(OR(11934.61383="",10180.46486=""),"-",10180.46486/11934.61383*100)</f>
        <v>85.30200478216898</v>
      </c>
      <c r="D57" s="65">
        <f>IF(11934.61383="","-",11934.61383/1919782.20123*100)</f>
        <v>0.6216649900365532</v>
      </c>
      <c r="E57" s="65">
        <f>IF(10180.46486="","-",10180.46486/2219031.80472*100)</f>
        <v>0.45877958298504795</v>
      </c>
      <c r="F57" s="65">
        <f>IF(OR(1633487.06476="",25087.5347="",11934.61383=""),"-",(11934.61383-25087.5347)/1633487.06476*100)</f>
        <v>-0.8052050826574799</v>
      </c>
      <c r="G57" s="65">
        <f>IF(OR(1919782.20123="",10180.46486="",11934.61383=""),"-",(10180.46486-11934.61383)/1919782.20123*100)</f>
        <v>-0.0913722905065023</v>
      </c>
    </row>
    <row r="58" spans="1:7" s="11" customFormat="1" ht="15.75">
      <c r="A58" s="22" t="s">
        <v>108</v>
      </c>
      <c r="B58" s="65">
        <f>IF(7147.26005="","-",7147.26005)</f>
        <v>7147.26005</v>
      </c>
      <c r="C58" s="65">
        <f>IF(OR(5905.93634="",7147.26005=""),"-",7147.26005/5905.93634*100)</f>
        <v>121.01823721994268</v>
      </c>
      <c r="D58" s="65">
        <f>IF(5905.93634="","-",5905.93634/1919782.20123*100)</f>
        <v>0.30763574827478246</v>
      </c>
      <c r="E58" s="65">
        <f>IF(7147.26005="","-",7147.26005/2219031.80472*100)</f>
        <v>0.32208912169701187</v>
      </c>
      <c r="F58" s="65">
        <f>IF(OR(1633487.06476="",8677.21536="",5905.93634=""),"-",(5905.93634-8677.21536)/1633487.06476*100)</f>
        <v>-0.16965417601315197</v>
      </c>
      <c r="G58" s="65">
        <f>IF(OR(1919782.20123="",7147.26005="",5905.93634=""),"-",(7147.26005-5905.93634)/1919782.20123*100)</f>
        <v>0.06465961134573946</v>
      </c>
    </row>
    <row r="59" spans="1:7" s="18" customFormat="1" ht="15.75">
      <c r="A59" s="22" t="s">
        <v>211</v>
      </c>
      <c r="B59" s="65">
        <f>IF(6011.18924="","-",6011.18924)</f>
        <v>6011.18924</v>
      </c>
      <c r="C59" s="65" t="s">
        <v>156</v>
      </c>
      <c r="D59" s="65">
        <f>IF(3382.83234="","-",3382.83234/1919782.20123*100)</f>
        <v>0.17620917299017708</v>
      </c>
      <c r="E59" s="65">
        <f>IF(6011.18924="","-",6011.18924/2219031.80472*100)</f>
        <v>0.2708924327814445</v>
      </c>
      <c r="F59" s="65">
        <f>IF(OR(1633487.06476="",1313.58654="",3382.83234=""),"-",(3382.83234-1313.58654)/1633487.06476*100)</f>
        <v>0.12667659540383466</v>
      </c>
      <c r="G59" s="65">
        <f>IF(OR(1919782.20123="",6011.18924="",3382.83234=""),"-",(6011.18924-3382.83234)/1919782.20123*100)</f>
        <v>0.13690911908215514</v>
      </c>
    </row>
    <row r="60" spans="1:7" s="11" customFormat="1" ht="15.75">
      <c r="A60" s="22" t="s">
        <v>113</v>
      </c>
      <c r="B60" s="65">
        <f>IF(5568.57223="","-",5568.57223)</f>
        <v>5568.57223</v>
      </c>
      <c r="C60" s="65">
        <f>IF(OR(4296.82077="",5568.57223=""),"-",5568.57223/4296.82077*100)</f>
        <v>129.5974984313809</v>
      </c>
      <c r="D60" s="65">
        <f>IF(4296.82077="","-",4296.82077/1919782.20123*100)</f>
        <v>0.22381813766410777</v>
      </c>
      <c r="E60" s="65">
        <f>IF(5568.57223="","-",5568.57223/2219031.80472*100)</f>
        <v>0.25094603052355297</v>
      </c>
      <c r="F60" s="65">
        <f>IF(OR(1633487.06476="",3553.78414="",4296.82077=""),"-",(4296.82077-3553.78414)/1633487.06476*100)</f>
        <v>0.04548775720542181</v>
      </c>
      <c r="G60" s="65">
        <f>IF(OR(1919782.20123="",5568.57223="",4296.82077=""),"-",(5568.57223-4296.82077)/1919782.20123*100)</f>
        <v>0.06624456978428028</v>
      </c>
    </row>
    <row r="61" spans="1:7" s="18" customFormat="1" ht="15.75">
      <c r="A61" s="22" t="s">
        <v>109</v>
      </c>
      <c r="B61" s="65">
        <f>IF(4149.53462="","-",4149.53462)</f>
        <v>4149.53462</v>
      </c>
      <c r="C61" s="65">
        <f>IF(OR(3228.58472="",4149.53462=""),"-",4149.53462/3228.58472*100)</f>
        <v>128.52487947102716</v>
      </c>
      <c r="D61" s="65">
        <f>IF(3228.58472="","-",3228.58472/1919782.20123*100)</f>
        <v>0.1681745313573307</v>
      </c>
      <c r="E61" s="65">
        <f>IF(4149.53462="","-",4149.53462/2219031.80472*100)</f>
        <v>0.18699752798376829</v>
      </c>
      <c r="F61" s="65">
        <f>IF(OR(1633487.06476="",7070.68271="",3228.58472=""),"-",(3228.58472-7070.68271)/1633487.06476*100)</f>
        <v>-0.23520835107221985</v>
      </c>
      <c r="G61" s="65">
        <f>IF(OR(1919782.20123="",4149.53462="",3228.58472=""),"-",(4149.53462-3228.58472)/1919782.20123*100)</f>
        <v>0.047971582370643404</v>
      </c>
    </row>
    <row r="62" spans="1:7" s="11" customFormat="1" ht="15.75">
      <c r="A62" s="22" t="s">
        <v>116</v>
      </c>
      <c r="B62" s="65">
        <f>IF(3575.10416="","-",3575.10416)</f>
        <v>3575.10416</v>
      </c>
      <c r="C62" s="65">
        <f>IF(OR(4088.39892="",3575.10416=""),"-",3575.10416/4088.39892*100)</f>
        <v>87.44509109693239</v>
      </c>
      <c r="D62" s="65">
        <f>IF(4088.39892="","-",4088.39892/1919782.20123*100)</f>
        <v>0.21296160144523543</v>
      </c>
      <c r="E62" s="65">
        <f>IF(3575.10416="","-",3575.10416/2219031.80472*100)</f>
        <v>0.16111099229833306</v>
      </c>
      <c r="F62" s="65">
        <f>IF(OR(1633487.06476="",1962.73664="",4088.39892=""),"-",(4088.39892-1962.73664)/1633487.06476*100)</f>
        <v>0.13013034053699793</v>
      </c>
      <c r="G62" s="65">
        <f>IF(OR(1919782.20123="",3575.10416="",4088.39892=""),"-",(3575.10416-4088.39892)/1919782.20123*100)</f>
        <v>-0.02673713505996323</v>
      </c>
    </row>
    <row r="63" spans="1:7" s="11" customFormat="1" ht="15.75">
      <c r="A63" s="22" t="s">
        <v>111</v>
      </c>
      <c r="B63" s="65">
        <f>IF(2435.67125="","-",2435.67125)</f>
        <v>2435.67125</v>
      </c>
      <c r="C63" s="65">
        <f>IF(OR(3427.3256="",2435.67125=""),"-",2435.67125/3427.3256*100)</f>
        <v>71.06623455909762</v>
      </c>
      <c r="D63" s="65">
        <f>IF(3427.3256="","-",3427.3256/1919782.20123*100)</f>
        <v>0.17852679318539993</v>
      </c>
      <c r="E63" s="65">
        <f>IF(2435.67125="","-",2435.67125/2219031.80472*100)</f>
        <v>0.10976279135878973</v>
      </c>
      <c r="F63" s="65">
        <f>IF(OR(1633487.06476="",3497.466="",3427.3256=""),"-",(3427.3256-3497.466)/1633487.06476*100)</f>
        <v>-0.004293906056140405</v>
      </c>
      <c r="G63" s="65">
        <f>IF(OR(1919782.20123="",2435.67125="",3427.3256=""),"-",(2435.67125-3427.3256)/1919782.20123*100)</f>
        <v>-0.05165452358942851</v>
      </c>
    </row>
    <row r="64" spans="1:7" s="18" customFormat="1" ht="15.75">
      <c r="A64" s="22" t="s">
        <v>185</v>
      </c>
      <c r="B64" s="65">
        <f>IF(2310.30496="","-",2310.30496)</f>
        <v>2310.30496</v>
      </c>
      <c r="C64" s="65">
        <f>IF(OR(5000.26374="",2310.30496=""),"-",2310.30496/5000.26374*100)</f>
        <v>46.203662049234225</v>
      </c>
      <c r="D64" s="65">
        <f>IF(5000.26374="","-",5000.26374/1919782.20123*100)</f>
        <v>0.26045994888359436</v>
      </c>
      <c r="E64" s="65">
        <f>IF(2310.30496="","-",2310.30496/2219031.80472*100)</f>
        <v>0.10411319725503064</v>
      </c>
      <c r="F64" s="65">
        <f>IF(OR(1633487.06476="",3554.79716="",5000.26374=""),"-",(5000.26374-3554.79716)/1633487.06476*100)</f>
        <v>0.08848962512062349</v>
      </c>
      <c r="G64" s="65">
        <f>IF(OR(1919782.20123="",2310.30496="",5000.26374=""),"-",(2310.30496-5000.26374)/1919782.20123*100)</f>
        <v>-0.1401179143278102</v>
      </c>
    </row>
    <row r="65" spans="1:7" s="20" customFormat="1" ht="15.75">
      <c r="A65" s="22" t="s">
        <v>119</v>
      </c>
      <c r="B65" s="65">
        <f>IF(1852.94373="","-",1852.94373)</f>
        <v>1852.94373</v>
      </c>
      <c r="C65" s="65" t="s">
        <v>276</v>
      </c>
      <c r="D65" s="65">
        <f>IF(283.66265="","-",283.66265/1919782.20123*100)</f>
        <v>0.01477577247139066</v>
      </c>
      <c r="E65" s="65">
        <f>IF(1852.94373="","-",1852.94373/2219031.80472*100)</f>
        <v>0.08350235116318247</v>
      </c>
      <c r="F65" s="65">
        <f>IF(OR(1633487.06476="",1429.88723="",283.66265=""),"-",(283.66265-1429.88723)/1633487.06476*100)</f>
        <v>-0.070170410573065</v>
      </c>
      <c r="G65" s="65">
        <f>IF(OR(1919782.20123="",1852.94373="",283.66265=""),"-",(1852.94373-283.66265)/1919782.20123*100)</f>
        <v>0.08174266221421186</v>
      </c>
    </row>
    <row r="66" spans="1:7" s="11" customFormat="1" ht="15.75">
      <c r="A66" s="22" t="s">
        <v>112</v>
      </c>
      <c r="B66" s="65">
        <f>IF(1803.37088="","-",1803.37088)</f>
        <v>1803.37088</v>
      </c>
      <c r="C66" s="65">
        <f>IF(OR(3438.86595="",1803.37088=""),"-",1803.37088/3438.86595*100)</f>
        <v>52.44086004573688</v>
      </c>
      <c r="D66" s="65">
        <f>IF(3438.86595="","-",3438.86595/1919782.20123*100)</f>
        <v>0.17912792127131538</v>
      </c>
      <c r="E66" s="65">
        <f>IF(1803.37088="","-",1803.37088/2219031.80472*100)</f>
        <v>0.0812683656072046</v>
      </c>
      <c r="F66" s="65">
        <f>IF(OR(1633487.06476="",3411.70659="",3438.86595=""),"-",(3438.86595-3411.70659)/1633487.06476*100)</f>
        <v>0.0016626614673554514</v>
      </c>
      <c r="G66" s="65">
        <f>IF(OR(1919782.20123="",1803.37088="",3438.86595=""),"-",(1803.37088-3438.86595)/1919782.20123*100)</f>
        <v>-0.08519169877458714</v>
      </c>
    </row>
    <row r="67" spans="1:7" s="11" customFormat="1" ht="15.75">
      <c r="A67" s="22" t="s">
        <v>182</v>
      </c>
      <c r="B67" s="65">
        <f>IF(1739.08352="","-",1739.08352)</f>
        <v>1739.08352</v>
      </c>
      <c r="C67" s="65" t="str">
        <f>IF(OR(""="",1739.08352=""),"-",1739.08352/""*100)</f>
        <v>-</v>
      </c>
      <c r="D67" s="65" t="str">
        <f>IF(""="","-",""/1919782.20123*100)</f>
        <v>-</v>
      </c>
      <c r="E67" s="65">
        <f>IF(1739.08352="","-",1739.08352/2219031.80472*100)</f>
        <v>0.07837127508947261</v>
      </c>
      <c r="F67" s="65" t="str">
        <f>IF(OR(1633487.06476="",""="",""=""),"-",(""-"")/1633487.06476*100)</f>
        <v>-</v>
      </c>
      <c r="G67" s="65" t="str">
        <f>IF(OR(1919782.20123="",1739.08352="",""=""),"-",(1739.08352-"")/1919782.20123*100)</f>
        <v>-</v>
      </c>
    </row>
    <row r="68" spans="1:7" s="11" customFormat="1" ht="15.75">
      <c r="A68" s="22" t="s">
        <v>171</v>
      </c>
      <c r="B68" s="65">
        <f>IF(1732.39958="","-",1732.39958)</f>
        <v>1732.39958</v>
      </c>
      <c r="C68" s="65" t="str">
        <f>IF(OR(""="",1732.39958=""),"-",1732.39958/""*100)</f>
        <v>-</v>
      </c>
      <c r="D68" s="65" t="str">
        <f>IF(""="","-",""/1919782.20123*100)</f>
        <v>-</v>
      </c>
      <c r="E68" s="65">
        <f>IF(1732.39958="","-",1732.39958/2219031.80472*100)</f>
        <v>0.07807006534629621</v>
      </c>
      <c r="F68" s="65" t="str">
        <f>IF(OR(1633487.06476="",""="",""=""),"-",(""-"")/1633487.06476*100)</f>
        <v>-</v>
      </c>
      <c r="G68" s="65" t="str">
        <f>IF(OR(1919782.20123="",1732.39958="",""=""),"-",(1732.39958-"")/1919782.20123*100)</f>
        <v>-</v>
      </c>
    </row>
    <row r="69" spans="1:7" s="11" customFormat="1" ht="15.75">
      <c r="A69" s="22" t="s">
        <v>135</v>
      </c>
      <c r="B69" s="65">
        <f>IF(1657.78746="","-",1657.78746)</f>
        <v>1657.78746</v>
      </c>
      <c r="C69" s="65" t="s">
        <v>166</v>
      </c>
      <c r="D69" s="65">
        <f>IF(716.27311="","-",716.27311/1919782.20123*100)</f>
        <v>0.037310123489064824</v>
      </c>
      <c r="E69" s="65">
        <f>IF(1657.78746="","-",1657.78746/2219031.80472*100)</f>
        <v>0.07470769262855075</v>
      </c>
      <c r="F69" s="65">
        <f>IF(OR(1633487.06476="",69.87158="",716.27311=""),"-",(716.27311-69.87158)/1633487.06476*100)</f>
        <v>0.039571879321552664</v>
      </c>
      <c r="G69" s="65">
        <f>IF(OR(1919782.20123="",1657.78746="",716.27311=""),"-",(1657.78746-716.27311)/1919782.20123*100)</f>
        <v>0.04904276898685559</v>
      </c>
    </row>
    <row r="70" spans="1:7" s="11" customFormat="1" ht="15.75">
      <c r="A70" s="22" t="s">
        <v>132</v>
      </c>
      <c r="B70" s="65">
        <f>IF(1477.32679="","-",1477.32679)</f>
        <v>1477.32679</v>
      </c>
      <c r="C70" s="65" t="s">
        <v>165</v>
      </c>
      <c r="D70" s="65">
        <f>IF(505.37697="","-",505.37697/1919782.20123*100)</f>
        <v>0.026324703379175314</v>
      </c>
      <c r="E70" s="65">
        <f>IF(1477.32679="","-",1477.32679/2219031.80472*100)</f>
        <v>0.06657528688221802</v>
      </c>
      <c r="F70" s="65">
        <f>IF(OR(1633487.06476="",371.43938="",505.37697=""),"-",(505.37697-371.43938)/1633487.06476*100)</f>
        <v>0.00819948886584411</v>
      </c>
      <c r="G70" s="65">
        <f>IF(OR(1919782.20123="",1477.32679="",505.37697=""),"-",(1477.32679-505.37697)/1919782.20123*100)</f>
        <v>0.05062812955434601</v>
      </c>
    </row>
    <row r="71" spans="1:7" s="11" customFormat="1" ht="15.75">
      <c r="A71" s="22" t="s">
        <v>118</v>
      </c>
      <c r="B71" s="65">
        <f>IF(1396.67112="","-",1396.67112)</f>
        <v>1396.67112</v>
      </c>
      <c r="C71" s="65">
        <f>IF(OR(1081.39834="",1396.67112=""),"-",1396.67112/1081.39834*100)</f>
        <v>129.15417643418982</v>
      </c>
      <c r="D71" s="65">
        <f>IF(1081.39834="","-",1081.39834/1919782.20123*100)</f>
        <v>0.056329220018143236</v>
      </c>
      <c r="E71" s="65">
        <f>IF(1396.67112="","-",1396.67112/2219031.80472*100)</f>
        <v>0.06294056340378743</v>
      </c>
      <c r="F71" s="65">
        <f>IF(OR(1633487.06476="",1353.31678="",1081.39834=""),"-",(1081.39834-1353.31678)/1633487.06476*100)</f>
        <v>-0.016646500965096518</v>
      </c>
      <c r="G71" s="65">
        <f>IF(OR(1919782.20123="",1396.67112="",1081.39834=""),"-",(1396.67112-1081.39834)/1919782.20123*100)</f>
        <v>0.016422320188092455</v>
      </c>
    </row>
    <row r="72" spans="1:7" s="11" customFormat="1" ht="15.75">
      <c r="A72" s="22" t="s">
        <v>124</v>
      </c>
      <c r="B72" s="65">
        <f>IF(1387.07023="","-",1387.07023)</f>
        <v>1387.07023</v>
      </c>
      <c r="C72" s="65">
        <f>IF(OR(974.36421="",1387.07023=""),"-",1387.07023/974.36421*100)</f>
        <v>142.35644287468236</v>
      </c>
      <c r="D72" s="65">
        <f>IF(974.36421="","-",974.36421/1919782.20123*100)</f>
        <v>0.05075389329975698</v>
      </c>
      <c r="E72" s="65">
        <f>IF(1387.07023="","-",1387.07023/2219031.80472*100)</f>
        <v>0.06250790218732453</v>
      </c>
      <c r="F72" s="65">
        <f>IF(OR(1633487.06476="",671.52408="",974.36421=""),"-",(974.36421-671.52408)/1633487.06476*100)</f>
        <v>0.01853948748865634</v>
      </c>
      <c r="G72" s="65">
        <f>IF(OR(1919782.20123="",1387.07023="",974.36421=""),"-",(1387.07023-974.36421)/1919782.20123*100)</f>
        <v>0.021497543822188804</v>
      </c>
    </row>
    <row r="73" spans="1:7" s="11" customFormat="1" ht="15.75">
      <c r="A73" s="22" t="s">
        <v>110</v>
      </c>
      <c r="B73" s="65">
        <f>IF(1274.50041="","-",1274.50041)</f>
        <v>1274.50041</v>
      </c>
      <c r="C73" s="65">
        <f>IF(OR(1229.76969="",1274.50041=""),"-",1274.50041/1229.76969*100)</f>
        <v>103.63732496936073</v>
      </c>
      <c r="D73" s="65">
        <f>IF(1229.76969="","-",1229.76969/1919782.20123*100)</f>
        <v>0.06405777119988348</v>
      </c>
      <c r="E73" s="65">
        <f>IF(1274.50041="","-",1274.50041/2219031.80472*100)</f>
        <v>0.0574349771503531</v>
      </c>
      <c r="F73" s="65">
        <f>IF(OR(1633487.06476="",4210.03303="",1229.76969=""),"-",(1229.76969-4210.03303)/1633487.06476*100)</f>
        <v>-0.18244793021595643</v>
      </c>
      <c r="G73" s="65">
        <f>IF(OR(1919782.20123="",1274.50041="",1229.76969=""),"-",(1274.50041-1229.76969)/1919782.20123*100)</f>
        <v>0.002329989306669327</v>
      </c>
    </row>
    <row r="74" spans="1:7" s="11" customFormat="1" ht="15.75">
      <c r="A74" s="22" t="s">
        <v>265</v>
      </c>
      <c r="B74" s="65">
        <f>IF(1258.86002="","-",1258.86002)</f>
        <v>1258.86002</v>
      </c>
      <c r="C74" s="65">
        <f>IF(OR(1276.62825="",1258.86002=""),"-",1258.86002/1276.62825*100)</f>
        <v>98.60819075560956</v>
      </c>
      <c r="D74" s="65">
        <f>IF(1276.62825="","-",1276.62825/1919782.20123*100)</f>
        <v>0.066498598079619</v>
      </c>
      <c r="E74" s="65">
        <f>IF(1258.86002="","-",1258.86002/2219031.80472*100)</f>
        <v>0.05673014768523539</v>
      </c>
      <c r="F74" s="65">
        <f>IF(OR(1633487.06476="",948.44681="",1276.62825=""),"-",(1276.62825-948.44681)/1633487.06476*100)</f>
        <v>0.02009085024791537</v>
      </c>
      <c r="G74" s="65">
        <f>IF(OR(1919782.20123="",1258.86002="",1276.62825=""),"-",(1258.86002-1276.62825)/1919782.20123*100)</f>
        <v>-0.000925533635462181</v>
      </c>
    </row>
    <row r="75" spans="1:7" ht="15.75">
      <c r="A75" s="22" t="s">
        <v>125</v>
      </c>
      <c r="B75" s="65">
        <f>IF(1239.26758="","-",1239.26758)</f>
        <v>1239.26758</v>
      </c>
      <c r="C75" s="65" t="s">
        <v>203</v>
      </c>
      <c r="D75" s="65">
        <f>IF(787.44382="","-",787.44382/1919782.20123*100)</f>
        <v>0.041017351837905704</v>
      </c>
      <c r="E75" s="65">
        <f>IF(1239.26758="","-",1239.26758/2219031.80472*100)</f>
        <v>0.05584722027706007</v>
      </c>
      <c r="F75" s="65">
        <f>IF(OR(1633487.06476="",643.13181="",787.44382=""),"-",(787.44382-643.13181)/1633487.06476*100)</f>
        <v>0.008834597660018999</v>
      </c>
      <c r="G75" s="65">
        <f>IF(OR(1919782.20123="",1239.26758="",787.44382=""),"-",(1239.26758-787.44382)/1919782.20123*100)</f>
        <v>0.023535157254323827</v>
      </c>
    </row>
    <row r="76" spans="1:7" ht="15.75">
      <c r="A76" s="22" t="s">
        <v>86</v>
      </c>
      <c r="B76" s="65">
        <f>IF(1142.48452="","-",1142.48452)</f>
        <v>1142.48452</v>
      </c>
      <c r="C76" s="65" t="s">
        <v>277</v>
      </c>
      <c r="D76" s="65">
        <f>IF(131.43172="","-",131.43172/1919782.20123*100)</f>
        <v>0.0068461786923429135</v>
      </c>
      <c r="E76" s="65">
        <f>IF(1142.48452="","-",1142.48452/2219031.80472*100)</f>
        <v>0.05148572082517582</v>
      </c>
      <c r="F76" s="65">
        <f>IF(OR(1633487.06476="",55.05138="",131.43172=""),"-",(131.43172-55.05138)/1633487.06476*100)</f>
        <v>0.004675907244556124</v>
      </c>
      <c r="G76" s="65">
        <f>IF(OR(1919782.20123="",1142.48452="",131.43172=""),"-",(1142.48452-131.43172)/1919782.20123*100)</f>
        <v>0.05266497414926656</v>
      </c>
    </row>
    <row r="77" spans="1:7" ht="15.75">
      <c r="A77" s="22" t="s">
        <v>141</v>
      </c>
      <c r="B77" s="65">
        <f>IF(1123.36773="","-",1123.36773)</f>
        <v>1123.36773</v>
      </c>
      <c r="C77" s="65" t="s">
        <v>278</v>
      </c>
      <c r="D77" s="65">
        <f>IF(17.77175="","-",17.77175/1919782.20123*100)</f>
        <v>0.0009257169895946364</v>
      </c>
      <c r="E77" s="65">
        <f>IF(1123.36773="","-",1123.36773/2219031.80472*100)</f>
        <v>0.0506242284410046</v>
      </c>
      <c r="F77" s="65">
        <f>IF(OR(1633487.06476="",2.68317="",17.77175=""),"-",(17.77175-2.68317)/1633487.06476*100)</f>
        <v>0.0009237036720714338</v>
      </c>
      <c r="G77" s="65">
        <f>IF(OR(1919782.20123="",1123.36773="",17.77175=""),"-",(1123.36773-17.77175)/1919782.20123*100)</f>
        <v>0.05758965674812731</v>
      </c>
    </row>
    <row r="78" spans="1:7" ht="15.75">
      <c r="A78" s="22" t="s">
        <v>160</v>
      </c>
      <c r="B78" s="65">
        <f>IF(1021.77666="","-",1021.77666)</f>
        <v>1021.77666</v>
      </c>
      <c r="C78" s="65">
        <f>IF(OR(1533.42101="",1021.77666=""),"-",1021.77666/1533.42101*100)</f>
        <v>66.63379811132233</v>
      </c>
      <c r="D78" s="65">
        <f>IF(1533.42101="","-",1533.42101/1919782.20123*100)</f>
        <v>0.07987473834362777</v>
      </c>
      <c r="E78" s="65">
        <f>IF(1021.77666="","-",1021.77666/2219031.80472*100)</f>
        <v>0.04604605746644217</v>
      </c>
      <c r="F78" s="65">
        <f>IF(OR(1633487.06476="",333.83922="",1533.42101=""),"-",(1533.42101-333.83922)/1633487.06476*100)</f>
        <v>0.07343687108879852</v>
      </c>
      <c r="G78" s="65">
        <f>IF(OR(1919782.20123="",1021.77666="",1533.42101=""),"-",(1021.77666-1533.42101)/1919782.20123*100)</f>
        <v>-0.026651166453787865</v>
      </c>
    </row>
    <row r="79" spans="1:7" ht="15.75">
      <c r="A79" s="22" t="s">
        <v>154</v>
      </c>
      <c r="B79" s="65">
        <f>IF(868.39056="","-",868.39056)</f>
        <v>868.39056</v>
      </c>
      <c r="C79" s="65" t="s">
        <v>158</v>
      </c>
      <c r="D79" s="65">
        <f>IF(448.52158="","-",448.52158/1919782.20123*100)</f>
        <v>0.023363149200603756</v>
      </c>
      <c r="E79" s="65">
        <f>IF(868.39056="","-",868.39056/2219031.80472*100)</f>
        <v>0.039133759063429675</v>
      </c>
      <c r="F79" s="65">
        <f>IF(OR(1633487.06476="",440.22491="",448.52158=""),"-",(448.52158-440.22491)/1633487.06476*100)</f>
        <v>0.0005079115824660011</v>
      </c>
      <c r="G79" s="65">
        <f>IF(OR(1919782.20123="",868.39056="",448.52158=""),"-",(868.39056-448.52158)/1919782.20123*100)</f>
        <v>0.021870656980306984</v>
      </c>
    </row>
    <row r="80" spans="1:7" ht="15.75">
      <c r="A80" s="22" t="s">
        <v>120</v>
      </c>
      <c r="B80" s="65">
        <f>IF(807.05274="","-",807.05274)</f>
        <v>807.05274</v>
      </c>
      <c r="C80" s="65">
        <f>IF(OR(2737.63836="",807.05274=""),"-",807.05274/2737.63836*100)</f>
        <v>29.47988864387479</v>
      </c>
      <c r="D80" s="65">
        <f>IF(2737.63836="","-",2737.63836/1919782.20123*100)</f>
        <v>0.1426015075171549</v>
      </c>
      <c r="E80" s="65">
        <f>IF(807.05274="","-",807.05274/2219031.80472*100)</f>
        <v>0.036369588677519424</v>
      </c>
      <c r="F80" s="65">
        <f>IF(OR(1633487.06476="",1103.09441="",2737.63836=""),"-",(2737.63836-1103.09441)/1633487.06476*100)</f>
        <v>0.10006470116983482</v>
      </c>
      <c r="G80" s="65">
        <f>IF(OR(1919782.20123="",807.05274="",2737.63836=""),"-",(807.05274-2737.63836)/1919782.20123*100)</f>
        <v>-0.10056274189661088</v>
      </c>
    </row>
    <row r="81" spans="1:7" ht="15.75">
      <c r="A81" s="22" t="s">
        <v>127</v>
      </c>
      <c r="B81" s="65">
        <f>IF(658.80202="","-",658.80202)</f>
        <v>658.80202</v>
      </c>
      <c r="C81" s="65">
        <f>IF(OR(523.97839="",658.80202=""),"-",658.80202/523.97839*100)</f>
        <v>125.73076153006997</v>
      </c>
      <c r="D81" s="65">
        <f>IF(523.97839="","-",523.97839/1919782.20123*100)</f>
        <v>0.02729363725032393</v>
      </c>
      <c r="E81" s="65">
        <f>IF(658.80202="","-",658.80202/2219031.80472*100)</f>
        <v>0.029688714627644937</v>
      </c>
      <c r="F81" s="65">
        <f>IF(OR(1633487.06476="",396.20749="",523.97839=""),"-",(523.97839-396.20749)/1633487.06476*100)</f>
        <v>0.007821971949240548</v>
      </c>
      <c r="G81" s="65">
        <f>IF(OR(1919782.20123="",658.80202="",523.97839=""),"-",(658.80202-523.97839)/1919782.20123*100)</f>
        <v>0.007022860713763197</v>
      </c>
    </row>
    <row r="82" spans="1:7" ht="15.75">
      <c r="A82" s="22" t="s">
        <v>164</v>
      </c>
      <c r="B82" s="65">
        <f>IF(545.57265="","-",545.57265)</f>
        <v>545.57265</v>
      </c>
      <c r="C82" s="65" t="s">
        <v>279</v>
      </c>
      <c r="D82" s="65">
        <f>IF(175.37435="","-",175.37435/1919782.20123*100)</f>
        <v>0.009135116988147826</v>
      </c>
      <c r="E82" s="65">
        <f>IF(545.57265="","-",545.57265/2219031.80472*100)</f>
        <v>0.02458606716855241</v>
      </c>
      <c r="F82" s="65">
        <f>IF(OR(1633487.06476="",118.14958="",175.37435=""),"-",(175.37435-118.14958)/1633487.06476*100)</f>
        <v>0.0035032276186654555</v>
      </c>
      <c r="G82" s="65">
        <f>IF(OR(1919782.20123="",545.57265="",175.37435=""),"-",(545.57265-175.37435)/1919782.20123*100)</f>
        <v>0.019283348900870877</v>
      </c>
    </row>
    <row r="83" spans="1:7" ht="15.75">
      <c r="A83" s="22" t="s">
        <v>190</v>
      </c>
      <c r="B83" s="65">
        <f>IF(530.26399="","-",530.26399)</f>
        <v>530.26399</v>
      </c>
      <c r="C83" s="65" t="s">
        <v>280</v>
      </c>
      <c r="D83" s="65">
        <f>IF(0.53598="","-",0.53598/1919782.20123*100)</f>
        <v>2.7918792020084302E-05</v>
      </c>
      <c r="E83" s="65">
        <f>IF(530.26399="","-",530.26399/2219031.80472*100)</f>
        <v>0.023896187015981476</v>
      </c>
      <c r="F83" s="65">
        <f>IF(OR(1633487.06476="",6.93987="",0.53598=""),"-",(0.53598-6.93987)/1633487.06476*100)</f>
        <v>-0.00039203799884028406</v>
      </c>
      <c r="G83" s="65">
        <f>IF(OR(1919782.20123="",530.26399="",0.53598=""),"-",(530.26399-0.53598)/1919782.20123*100)</f>
        <v>0.0275931305989088</v>
      </c>
    </row>
    <row r="84" spans="1:7" ht="15.75">
      <c r="A84" s="22" t="s">
        <v>85</v>
      </c>
      <c r="B84" s="65">
        <f>IF(521.73539="","-",521.73539)</f>
        <v>521.73539</v>
      </c>
      <c r="C84" s="65">
        <f>IF(OR(751.26123="",521.73539=""),"-",521.73539/751.26123*100)</f>
        <v>69.44793224588472</v>
      </c>
      <c r="D84" s="65">
        <f>IF(751.26123="","-",751.26123/1919782.20123*100)</f>
        <v>0.03913262814493585</v>
      </c>
      <c r="E84" s="65">
        <f>IF(521.73539="","-",521.73539/2219031.80472*100)</f>
        <v>0.02351184822543962</v>
      </c>
      <c r="F84" s="65">
        <f>IF(OR(1633487.06476="",238.84397="",751.26123=""),"-",(751.26123-238.84397)/1633487.06476*100)</f>
        <v>0.03136953276549434</v>
      </c>
      <c r="G84" s="65">
        <f>IF(OR(1919782.20123="",521.73539="",751.26123=""),"-",(521.73539-751.26123)/1919782.20123*100)</f>
        <v>-0.01195582706480679</v>
      </c>
    </row>
    <row r="85" spans="1:7" ht="15.75">
      <c r="A85" s="22" t="s">
        <v>146</v>
      </c>
      <c r="B85" s="65">
        <f>IF(482.3859="","-",482.3859)</f>
        <v>482.3859</v>
      </c>
      <c r="C85" s="65" t="s">
        <v>203</v>
      </c>
      <c r="D85" s="65">
        <f>IF(292.62645="","-",292.62645/1919782.20123*100)</f>
        <v>0.015242690020384338</v>
      </c>
      <c r="E85" s="65">
        <f>IF(482.3859="","-",482.3859/2219031.80472*100)</f>
        <v>0.021738575309012666</v>
      </c>
      <c r="F85" s="65">
        <f>IF(OR(1633487.06476="",223.4447="",292.62645=""),"-",(292.62645-223.4447)/1633487.06476*100)</f>
        <v>0.004235218722724596</v>
      </c>
      <c r="G85" s="65">
        <f>IF(OR(1919782.20123="",482.3859="",292.62645=""),"-",(482.3859-292.62645)/1919782.20123*100)</f>
        <v>0.00988442594573601</v>
      </c>
    </row>
    <row r="86" spans="1:7" ht="15.75">
      <c r="A86" s="22" t="s">
        <v>84</v>
      </c>
      <c r="B86" s="65">
        <f>IF(466.4719="","-",466.4719)</f>
        <v>466.4719</v>
      </c>
      <c r="C86" s="65" t="s">
        <v>157</v>
      </c>
      <c r="D86" s="65">
        <f>IF(270.00269="","-",270.00269/1919782.20123*100)</f>
        <v>0.014064235506872075</v>
      </c>
      <c r="E86" s="65">
        <f>IF(466.4719="","-",466.4719/2219031.80472*100)</f>
        <v>0.02102141569164485</v>
      </c>
      <c r="F86" s="65">
        <f>IF(OR(1633487.06476="",303.29212="",270.00269=""),"-",(270.00269-303.29212)/1633487.06476*100)</f>
        <v>-0.002037936554146579</v>
      </c>
      <c r="G86" s="65">
        <f>IF(OR(1919782.20123="",466.4719="",270.00269=""),"-",(466.4719-270.00269)/1919782.20123*100)</f>
        <v>0.010233932259301219</v>
      </c>
    </row>
    <row r="87" spans="1:7" ht="15.75">
      <c r="A87" s="22" t="s">
        <v>153</v>
      </c>
      <c r="B87" s="65">
        <f>IF(444.85709="","-",444.85709)</f>
        <v>444.85709</v>
      </c>
      <c r="C87" s="65">
        <f>IF(OR(782.2788="",444.85709=""),"-",444.85709/782.2788*100)</f>
        <v>56.86682164977499</v>
      </c>
      <c r="D87" s="65">
        <f>IF(782.2788="","-",782.2788/1919782.20123*100)</f>
        <v>0.040748309860295394</v>
      </c>
      <c r="E87" s="65">
        <f>IF(444.85709="","-",444.85709/2219031.80472*100)</f>
        <v>0.02004735078847293</v>
      </c>
      <c r="F87" s="65">
        <f>IF(OR(1633487.06476="",292.68466="",782.2788=""),"-",(782.2788-292.68466)/1633487.06476*100)</f>
        <v>0.029972330394421192</v>
      </c>
      <c r="G87" s="65">
        <f>IF(OR(1919782.20123="",444.85709="",782.2788=""),"-",(444.85709-782.2788)/1919782.20123*100)</f>
        <v>-0.017576041166743533</v>
      </c>
    </row>
    <row r="88" spans="1:7" ht="15.75">
      <c r="A88" s="22" t="s">
        <v>183</v>
      </c>
      <c r="B88" s="65">
        <f>IF(432.85815="","-",432.85815)</f>
        <v>432.85815</v>
      </c>
      <c r="C88" s="65" t="s">
        <v>156</v>
      </c>
      <c r="D88" s="65">
        <f>IF(235.61856="","-",235.61856/1919782.20123*100)</f>
        <v>0.012273192232381346</v>
      </c>
      <c r="E88" s="65">
        <f>IF(432.85815="","-",432.85815/2219031.80472*100)</f>
        <v>0.01950662217095255</v>
      </c>
      <c r="F88" s="65">
        <f>IF(OR(1633487.06476="",247.55993="",235.61856=""),"-",(235.61856-247.55993)/1633487.06476*100)</f>
        <v>-0.0007310354797180161</v>
      </c>
      <c r="G88" s="65">
        <f>IF(OR(1919782.20123="",432.85815="",235.61856=""),"-",(432.85815-235.61856)/1919782.20123*100)</f>
        <v>0.010274060769686741</v>
      </c>
    </row>
    <row r="89" spans="1:7" ht="15.75">
      <c r="A89" s="22" t="s">
        <v>161</v>
      </c>
      <c r="B89" s="65">
        <f>IF(415.10095="","-",415.10095)</f>
        <v>415.10095</v>
      </c>
      <c r="C89" s="65">
        <f>IF(OR(743.49168="",415.10095=""),"-",415.10095/743.49168*100)</f>
        <v>55.8312838147698</v>
      </c>
      <c r="D89" s="65">
        <f>IF(743.49168="","-",743.49168/1919782.20123*100)</f>
        <v>0.03872791817340772</v>
      </c>
      <c r="E89" s="65">
        <f>IF(415.10095="","-",415.10095/2219031.80472*100)</f>
        <v>0.0187063993006796</v>
      </c>
      <c r="F89" s="65">
        <f>IF(OR(1633487.06476="",59.19914="",743.49168=""),"-",(743.49168-59.19914)/1633487.06476*100)</f>
        <v>0.04189151874921884</v>
      </c>
      <c r="G89" s="65">
        <f>IF(OR(1919782.20123="",415.10095="",743.49168=""),"-",(415.10095-743.49168)/1919782.20123*100)</f>
        <v>-0.017105624262460647</v>
      </c>
    </row>
    <row r="90" spans="1:7" ht="15.75">
      <c r="A90" s="22" t="s">
        <v>170</v>
      </c>
      <c r="B90" s="65">
        <f>IF(410.61178="","-",410.61178)</f>
        <v>410.61178</v>
      </c>
      <c r="C90" s="65" t="str">
        <f>IF(OR(""="",410.61178=""),"-",410.61178/""*100)</f>
        <v>-</v>
      </c>
      <c r="D90" s="65" t="str">
        <f>IF(""="","-",""/1919782.20123*100)</f>
        <v>-</v>
      </c>
      <c r="E90" s="65">
        <f>IF(410.61178="","-",410.61178/2219031.80472*100)</f>
        <v>0.018504096206580126</v>
      </c>
      <c r="F90" s="65" t="str">
        <f>IF(OR(1633487.06476="",338.67923="",""=""),"-",(""-338.67923)/1633487.06476*100)</f>
        <v>-</v>
      </c>
      <c r="G90" s="65" t="str">
        <f>IF(OR(1919782.20123="",410.61178="",""=""),"-",(410.61178-"")/1919782.20123*100)</f>
        <v>-</v>
      </c>
    </row>
    <row r="91" spans="1:7" ht="15.75">
      <c r="A91" s="22" t="s">
        <v>122</v>
      </c>
      <c r="B91" s="65">
        <f>IF(396.83861="","-",396.83861)</f>
        <v>396.83861</v>
      </c>
      <c r="C91" s="65">
        <f>IF(OR(625.24773="",396.83861=""),"-",396.83861/625.24773*100)</f>
        <v>63.46902051127798</v>
      </c>
      <c r="D91" s="65">
        <f>IF(625.24773="","-",625.24773/1919782.20123*100)</f>
        <v>0.03256868042632156</v>
      </c>
      <c r="E91" s="65">
        <f>IF(396.83861="","-",396.83861/2219031.80472*100)</f>
        <v>0.017883412448433725</v>
      </c>
      <c r="F91" s="65">
        <f>IF(OR(1633487.06476="",884.8753="",625.24773=""),"-",(625.24773-884.8753)/1633487.06476*100)</f>
        <v>-0.015894069540008618</v>
      </c>
      <c r="G91" s="65">
        <f>IF(OR(1919782.20123="",396.83861="",625.24773=""),"-",(396.83861-625.24773)/1919782.20123*100)</f>
        <v>-0.011897657966286949</v>
      </c>
    </row>
    <row r="92" spans="1:7" ht="15.75">
      <c r="A92" s="22" t="s">
        <v>186</v>
      </c>
      <c r="B92" s="65">
        <f>IF(326.76673="","-",326.76673)</f>
        <v>326.76673</v>
      </c>
      <c r="C92" s="65" t="s">
        <v>248</v>
      </c>
      <c r="D92" s="65">
        <f>IF(7.414="","-",7.414/1919782.20123*100)</f>
        <v>0.00038618964147338526</v>
      </c>
      <c r="E92" s="65">
        <f>IF(326.76673="","-",326.76673/2219031.80472*100)</f>
        <v>0.014725644278957587</v>
      </c>
      <c r="F92" s="65" t="str">
        <f>IF(OR(1633487.06476="",""="",7.414=""),"-",(7.414-"")/1633487.06476*100)</f>
        <v>-</v>
      </c>
      <c r="G92" s="65">
        <f>IF(OR(1919782.20123="",326.76673="",7.414=""),"-",(326.76673-7.414)/1919782.20123*100)</f>
        <v>0.016634841691697707</v>
      </c>
    </row>
    <row r="93" spans="1:7" ht="15.75">
      <c r="A93" s="22" t="s">
        <v>134</v>
      </c>
      <c r="B93" s="65">
        <f>IF(324.79283="","-",324.79283)</f>
        <v>324.79283</v>
      </c>
      <c r="C93" s="65" t="s">
        <v>281</v>
      </c>
      <c r="D93" s="65">
        <f>IF(9.42962="","-",9.42962/1919782.20123*100)</f>
        <v>0.0004911817597828787</v>
      </c>
      <c r="E93" s="65">
        <f>IF(324.79283="","-",324.79283/2219031.80472*100)</f>
        <v>0.014636691069913832</v>
      </c>
      <c r="F93" s="65">
        <f>IF(OR(1633487.06476="",23.9276="",9.42962=""),"-",(9.42962-23.9276)/1633487.06476*100)</f>
        <v>-0.0008875478914263773</v>
      </c>
      <c r="G93" s="65">
        <f>IF(OR(1919782.20123="",324.79283="",9.42962=""),"-",(324.79283-9.42962)/1919782.20123*100)</f>
        <v>0.016427030618262194</v>
      </c>
    </row>
    <row r="94" spans="1:7" ht="15.75">
      <c r="A94" s="22" t="s">
        <v>184</v>
      </c>
      <c r="B94" s="65">
        <f>IF(312.79111="","-",312.79111)</f>
        <v>312.79111</v>
      </c>
      <c r="C94" s="65" t="s">
        <v>282</v>
      </c>
      <c r="D94" s="65">
        <f>IF(17.03616="","-",17.03616/1919782.20123*100)</f>
        <v>0.0008874006639443251</v>
      </c>
      <c r="E94" s="65">
        <f>IF(312.79111="","-",312.79111/2219031.80472*100)</f>
        <v>0.014095837172530674</v>
      </c>
      <c r="F94" s="65">
        <f>IF(OR(1633487.06476="",26.24="",17.03616=""),"-",(17.03616-26.24)/1633487.06476*100)</f>
        <v>-0.0005634473757741249</v>
      </c>
      <c r="G94" s="65">
        <f>IF(OR(1919782.20123="",312.79111="",17.03616=""),"-",(312.79111-17.03616)/1919782.20123*100)</f>
        <v>0.015405651214523737</v>
      </c>
    </row>
    <row r="95" spans="1:7" ht="15.75">
      <c r="A95" s="22" t="s">
        <v>126</v>
      </c>
      <c r="B95" s="65">
        <f>IF(312.21592="","-",312.21592)</f>
        <v>312.21592</v>
      </c>
      <c r="C95" s="65" t="s">
        <v>242</v>
      </c>
      <c r="D95" s="65">
        <f>IF(104.96327="","-",104.96327/1919782.20123*100)</f>
        <v>0.005467457190339106</v>
      </c>
      <c r="E95" s="65">
        <f>IF(312.21592="","-",312.21592/2219031.80472*100)</f>
        <v>0.01406991640840388</v>
      </c>
      <c r="F95" s="65">
        <f>IF(OR(1633487.06476="",500.87669="",104.96327=""),"-",(104.96327-500.87669)/1633487.06476*100)</f>
        <v>-0.02423731589562171</v>
      </c>
      <c r="G95" s="65">
        <f>IF(OR(1919782.20123="",312.21592="",104.96327=""),"-",(312.21592-104.96327)/1919782.20123*100)</f>
        <v>0.010795633476923252</v>
      </c>
    </row>
    <row r="96" spans="1:7" ht="15.75">
      <c r="A96" s="22" t="s">
        <v>229</v>
      </c>
      <c r="B96" s="65">
        <f>IF(311.86855="","-",311.86855)</f>
        <v>311.86855</v>
      </c>
      <c r="C96" s="65" t="s">
        <v>283</v>
      </c>
      <c r="D96" s="65">
        <f>IF(37.38395="","-",37.38395/1919782.20123*100)</f>
        <v>0.0019473016249472563</v>
      </c>
      <c r="E96" s="65">
        <f>IF(311.86855="","-",311.86855/2219031.80472*100)</f>
        <v>0.014054262283967217</v>
      </c>
      <c r="F96" s="65">
        <f>IF(OR(1633487.06476="",9.61322="",37.38395=""),"-",(37.38395-9.61322)/1633487.06476*100)</f>
        <v>0.0017000887609771318</v>
      </c>
      <c r="G96" s="65">
        <f>IF(OR(1919782.20123="",311.86855="",37.38395=""),"-",(311.86855-37.38395)/1919782.20123*100)</f>
        <v>0.014297694802261339</v>
      </c>
    </row>
    <row r="97" spans="1:7" ht="15.75">
      <c r="A97" s="22" t="s">
        <v>228</v>
      </c>
      <c r="B97" s="65">
        <f>IF(284.83325="","-",284.83325)</f>
        <v>284.83325</v>
      </c>
      <c r="C97" s="65" t="str">
        <f>IF(OR(""="",284.83325=""),"-",284.83325/""*100)</f>
        <v>-</v>
      </c>
      <c r="D97" s="65" t="str">
        <f>IF(""="","-",""/1919782.20123*100)</f>
        <v>-</v>
      </c>
      <c r="E97" s="65">
        <f>IF(284.83325="","-",284.83325/2219031.80472*100)</f>
        <v>0.01283592463137051</v>
      </c>
      <c r="F97" s="65" t="str">
        <f>IF(OR(1633487.06476="",""="",""=""),"-",(""-"")/1633487.06476*100)</f>
        <v>-</v>
      </c>
      <c r="G97" s="65" t="str">
        <f>IF(OR(1919782.20123="",284.83325="",""=""),"-",(284.83325-"")/1919782.20123*100)</f>
        <v>-</v>
      </c>
    </row>
    <row r="98" spans="1:7" ht="15.75">
      <c r="A98" s="22" t="s">
        <v>136</v>
      </c>
      <c r="B98" s="65">
        <f>IF(274.65585="","-",274.65585)</f>
        <v>274.65585</v>
      </c>
      <c r="C98" s="65">
        <f>IF(OR(287.20418="",274.65585=""),"-",274.65585/287.20418*100)</f>
        <v>95.63086790728464</v>
      </c>
      <c r="D98" s="65">
        <f>IF(287.20418="","-",287.20418/1919782.20123*100)</f>
        <v>0.014960248085224925</v>
      </c>
      <c r="E98" s="65">
        <f>IF(274.65585="","-",274.65585/2219031.80472*100)</f>
        <v>0.012377283165378354</v>
      </c>
      <c r="F98" s="65">
        <f>IF(OR(1633487.06476="",232.66674="",287.20418=""),"-",(287.20418-232.66674)/1633487.06476*100)</f>
        <v>0.0033387126948576677</v>
      </c>
      <c r="G98" s="65">
        <f>IF(OR(1919782.20123="",274.65585="",287.20418=""),"-",(274.65585-287.20418)/1919782.20123*100)</f>
        <v>-0.0006536330002413991</v>
      </c>
    </row>
    <row r="99" spans="1:7" ht="15.75">
      <c r="A99" s="22" t="s">
        <v>137</v>
      </c>
      <c r="B99" s="65">
        <f>IF(272.31989="","-",272.31989)</f>
        <v>272.31989</v>
      </c>
      <c r="C99" s="65" t="s">
        <v>284</v>
      </c>
      <c r="D99" s="65">
        <f>IF(37.58665="","-",37.58665/1919782.20123*100)</f>
        <v>0.001957860114335799</v>
      </c>
      <c r="E99" s="65">
        <f>IF(272.31989="","-",272.31989/2219031.80472*100)</f>
        <v>0.012272013831471949</v>
      </c>
      <c r="F99" s="65">
        <f>IF(OR(1633487.06476="",253.5538="",37.58665=""),"-",(37.58665-253.5538)/1633487.06476*100)</f>
        <v>-0.013221234171923545</v>
      </c>
      <c r="G99" s="65">
        <f>IF(OR(1919782.20123="",272.31989="",37.58665=""),"-",(272.31989-37.58665)/1919782.20123*100)</f>
        <v>0.012227076584500417</v>
      </c>
    </row>
    <row r="100" spans="1:7" ht="15.75">
      <c r="A100" s="22" t="s">
        <v>143</v>
      </c>
      <c r="B100" s="65">
        <f>IF(257.42783="","-",257.42783)</f>
        <v>257.42783</v>
      </c>
      <c r="C100" s="65">
        <f>IF(OR(346.01784="",257.42783=""),"-",257.42783/346.01784*100)</f>
        <v>74.39727096152036</v>
      </c>
      <c r="D100" s="65">
        <f>IF(346.01784="","-",346.01784/1919782.20123*100)</f>
        <v>0.018023807064067327</v>
      </c>
      <c r="E100" s="65">
        <f>IF(257.42783="","-",257.42783/2219031.80472*100)</f>
        <v>0.011600907632438488</v>
      </c>
      <c r="F100" s="65">
        <f>IF(OR(1633487.06476="",177.41336="",346.01784=""),"-",(346.01784-177.41336)/1633487.06476*100)</f>
        <v>0.010321751768800947</v>
      </c>
      <c r="G100" s="65">
        <f>IF(OR(1919782.20123="",257.42783="",346.01784=""),"-",(257.42783-346.01784)/1919782.20123*100)</f>
        <v>-0.00461458648503151</v>
      </c>
    </row>
    <row r="101" spans="1:7" ht="15.75">
      <c r="A101" s="22" t="s">
        <v>214</v>
      </c>
      <c r="B101" s="65">
        <f>IF(240.42566="","-",240.42566)</f>
        <v>240.42566</v>
      </c>
      <c r="C101" s="65" t="str">
        <f>IF(OR(""="",240.42566=""),"-",240.42566/""*100)</f>
        <v>-</v>
      </c>
      <c r="D101" s="65" t="str">
        <f>IF(""="","-",""/1919782.20123*100)</f>
        <v>-</v>
      </c>
      <c r="E101" s="65">
        <f>IF(240.42566="","-",240.42566/2219031.80472*100)</f>
        <v>0.010834709961732036</v>
      </c>
      <c r="F101" s="65" t="str">
        <f>IF(OR(1633487.06476="",""="",""=""),"-",(""-"")/1633487.06476*100)</f>
        <v>-</v>
      </c>
      <c r="G101" s="65" t="str">
        <f>IF(OR(1919782.20123="",240.42566="",""=""),"-",(240.42566-"")/1919782.20123*100)</f>
        <v>-</v>
      </c>
    </row>
    <row r="102" spans="1:7" ht="15.75">
      <c r="A102" s="22" t="s">
        <v>239</v>
      </c>
      <c r="B102" s="65">
        <f>IF(203.26985="","-",203.26985)</f>
        <v>203.26985</v>
      </c>
      <c r="C102" s="65">
        <f>IF(OR(664.78177="",203.26985=""),"-",203.26985/664.78177*100)</f>
        <v>30.576929027400972</v>
      </c>
      <c r="D102" s="65">
        <f>IF(664.78177="","-",664.78177/1919782.20123*100)</f>
        <v>0.03462797860997335</v>
      </c>
      <c r="E102" s="65">
        <f>IF(203.26985="","-",203.26985/2219031.80472*100)</f>
        <v>0.00916029457386028</v>
      </c>
      <c r="F102" s="65">
        <f>IF(OR(1633487.06476="",269.46157="",664.78177=""),"-",(664.78177-269.46157)/1633487.06476*100)</f>
        <v>0.024200999721909793</v>
      </c>
      <c r="G102" s="65">
        <f>IF(OR(1919782.20123="",203.26985="",664.78177=""),"-",(203.26985-664.78177)/1919782.20123*100)</f>
        <v>-0.02403980616677821</v>
      </c>
    </row>
    <row r="103" spans="1:7" ht="15.75">
      <c r="A103" s="22" t="s">
        <v>121</v>
      </c>
      <c r="B103" s="65">
        <f>IF(192.4305="","-",192.4305)</f>
        <v>192.4305</v>
      </c>
      <c r="C103" s="65" t="s">
        <v>276</v>
      </c>
      <c r="D103" s="65">
        <f>IF(29.44221="","-",29.44221/1919782.20123*100)</f>
        <v>0.0015336224068092956</v>
      </c>
      <c r="E103" s="65">
        <f>IF(192.4305="","-",192.4305/2219031.80472*100)</f>
        <v>0.008671822530469818</v>
      </c>
      <c r="F103" s="65">
        <f>IF(OR(1633487.06476="",918.07083="",29.44221=""),"-",(29.44221-918.07083)/1633487.06476*100)</f>
        <v>-0.05440071361266407</v>
      </c>
      <c r="G103" s="65">
        <f>IF(OR(1919782.20123="",192.4305="",29.44221=""),"-",(192.4305-29.44221)/1919782.20123*100)</f>
        <v>0.008489936509233902</v>
      </c>
    </row>
    <row r="104" spans="1:7" ht="15.75">
      <c r="A104" s="22" t="s">
        <v>251</v>
      </c>
      <c r="B104" s="65">
        <f>IF(149.798="","-",149.798)</f>
        <v>149.798</v>
      </c>
      <c r="C104" s="65" t="str">
        <f>IF(OR(""="",149.798=""),"-",149.798/""*100)</f>
        <v>-</v>
      </c>
      <c r="D104" s="65" t="str">
        <f>IF(""="","-",""/1919782.20123*100)</f>
        <v>-</v>
      </c>
      <c r="E104" s="65">
        <f>IF(149.798="","-",149.798/2219031.80472*100)</f>
        <v>0.00675060175709837</v>
      </c>
      <c r="F104" s="65" t="str">
        <f>IF(OR(1633487.06476="",""="",""=""),"-",(""-"")/1633487.06476*100)</f>
        <v>-</v>
      </c>
      <c r="G104" s="65" t="str">
        <f>IF(OR(1919782.20123="",149.798="",""=""),"-",(149.798-"")/1919782.20123*100)</f>
        <v>-</v>
      </c>
    </row>
    <row r="105" spans="1:7" ht="15.75">
      <c r="A105" s="22" t="s">
        <v>231</v>
      </c>
      <c r="B105" s="65">
        <f>IF(134.90109="","-",134.90109)</f>
        <v>134.90109</v>
      </c>
      <c r="C105" s="65">
        <f>IF(OR(174.27736="",134.90109=""),"-",134.90109/174.27736*100)</f>
        <v>77.40597516510465</v>
      </c>
      <c r="D105" s="65">
        <f>IF(174.27736="","-",174.27736/1919782.20123*100)</f>
        <v>0.009077975610376057</v>
      </c>
      <c r="E105" s="65">
        <f>IF(134.90109="","-",134.90109/2219031.80472*100)</f>
        <v>0.006079276994275528</v>
      </c>
      <c r="F105" s="65">
        <f>IF(OR(1633487.06476="",0.2121="",174.27736=""),"-",(174.27736-0.2121)/1633487.06476*100)</f>
        <v>0.010656053773255592</v>
      </c>
      <c r="G105" s="65">
        <f>IF(OR(1919782.20123="",134.90109="",174.27736=""),"-",(134.90109-174.27736)/1919782.20123*100)</f>
        <v>-0.002051080063914109</v>
      </c>
    </row>
    <row r="106" spans="1:7" ht="15.75">
      <c r="A106" s="22" t="s">
        <v>155</v>
      </c>
      <c r="B106" s="65">
        <f>IF(132.43385="","-",132.43385)</f>
        <v>132.43385</v>
      </c>
      <c r="C106" s="65">
        <f>IF(OR(89.758="",132.43385=""),"-",132.43385/89.758*100)</f>
        <v>147.54545555827895</v>
      </c>
      <c r="D106" s="65">
        <f>IF(89.758="","-",89.758/1919782.20123*100)</f>
        <v>0.004675426198997587</v>
      </c>
      <c r="E106" s="65">
        <f>IF(132.43385="","-",132.43385/2219031.80472*100)</f>
        <v>0.005968091566705177</v>
      </c>
      <c r="F106" s="65">
        <f>IF(OR(1633487.06476="",317.7785="",89.758=""),"-",(89.758-317.7785)/1633487.06476*100)</f>
        <v>-0.013959124924781815</v>
      </c>
      <c r="G106" s="65">
        <f>IF(OR(1919782.20123="",132.43385="",89.758=""),"-",(132.43385-89.758)/1919782.20123*100)</f>
        <v>0.0022229526856045283</v>
      </c>
    </row>
    <row r="107" spans="1:7" ht="15.75">
      <c r="A107" s="22" t="s">
        <v>140</v>
      </c>
      <c r="B107" s="65">
        <f>IF(130.40643="","-",130.40643)</f>
        <v>130.40643</v>
      </c>
      <c r="C107" s="65" t="s">
        <v>203</v>
      </c>
      <c r="D107" s="65">
        <f>IF(80.95778="","-",80.95778/1919782.20123*100)</f>
        <v>0.004217029408238629</v>
      </c>
      <c r="E107" s="65">
        <f>IF(130.40643="","-",130.40643/2219031.80472*100)</f>
        <v>0.00587672649497941</v>
      </c>
      <c r="F107" s="65" t="str">
        <f>IF(OR(1633487.06476="",""="",80.95778=""),"-",(80.95778-"")/1633487.06476*100)</f>
        <v>-</v>
      </c>
      <c r="G107" s="65">
        <f>IF(OR(1919782.20123="",130.40643="",80.95778=""),"-",(130.40643-80.95778)/1919782.20123*100)</f>
        <v>0.0025757427049963462</v>
      </c>
    </row>
    <row r="108" spans="1:7" ht="15.75">
      <c r="A108" s="41" t="s">
        <v>264</v>
      </c>
      <c r="B108" s="37">
        <f>IF(122.30547="","-",122.30547)</f>
        <v>122.30547</v>
      </c>
      <c r="C108" s="37" t="s">
        <v>285</v>
      </c>
      <c r="D108" s="37">
        <f>IF(25.98037="","-",25.98037/1919782.20123*100)</f>
        <v>0.0013532977846838269</v>
      </c>
      <c r="E108" s="37">
        <f>IF(122.30547="","-",122.30547/2219031.80472*100)</f>
        <v>0.005511659172250244</v>
      </c>
      <c r="F108" s="37">
        <f>IF(OR(1633487.06476="",48.24954="",25.98037=""),"-",(25.98037-48.24954)/1633487.06476*100)</f>
        <v>-0.001363290256802364</v>
      </c>
      <c r="G108" s="37">
        <f>IF(OR(1919782.20123="",122.30547="",25.98037=""),"-",(122.30547-25.98037)/1919782.20123*100)</f>
        <v>0.005017501461274343</v>
      </c>
    </row>
    <row r="109" spans="1:7" ht="15.75">
      <c r="A109" s="66" t="s">
        <v>197</v>
      </c>
      <c r="B109" s="67">
        <f>IF(108.99352="","-",108.99352)</f>
        <v>108.99352</v>
      </c>
      <c r="C109" s="67">
        <f>IF(OR(391.7119="",108.99352=""),"-",108.99352/391.7119*100)</f>
        <v>27.82491928378995</v>
      </c>
      <c r="D109" s="67">
        <f>IF(391.7119="","-",391.7119/1919782.20123*100)</f>
        <v>0.02040397602129195</v>
      </c>
      <c r="E109" s="67">
        <f>IF(108.99352="","-",108.99352/2219031.80472*100)</f>
        <v>0.004911760154503641</v>
      </c>
      <c r="F109" s="67">
        <f>IF(OR(1633487.06476="",801.64653="",391.7119=""),"-",(391.7119-801.64653)/1633487.06476*100)</f>
        <v>-0.02509567653418973</v>
      </c>
      <c r="G109" s="67">
        <f>IF(OR(1919782.20123="",108.99352="",391.7119=""),"-",(108.99352-391.7119)/1919782.20123*100)</f>
        <v>-0.014726586162683611</v>
      </c>
    </row>
    <row r="110" ht="15.75">
      <c r="A110" s="35" t="s">
        <v>20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10"/>
  <sheetViews>
    <sheetView zoomScalePageLayoutView="0" workbookViewId="0" topLeftCell="A1">
      <selection activeCell="L54" sqref="L54"/>
    </sheetView>
  </sheetViews>
  <sheetFormatPr defaultColWidth="9.00390625" defaultRowHeight="15.75"/>
  <cols>
    <col min="1" max="1" width="27.75390625" style="0" customWidth="1"/>
    <col min="2" max="2" width="12.25390625" style="0" customWidth="1"/>
    <col min="3" max="3" width="11.875" style="0" customWidth="1"/>
    <col min="4" max="4" width="8.625" style="0" customWidth="1"/>
    <col min="5" max="5" width="8.875" style="0" customWidth="1"/>
    <col min="6" max="7" width="9.875" style="0" customWidth="1"/>
  </cols>
  <sheetData>
    <row r="1" spans="1:7" ht="15.75">
      <c r="A1" s="105" t="s">
        <v>192</v>
      </c>
      <c r="B1" s="105"/>
      <c r="C1" s="105"/>
      <c r="D1" s="105"/>
      <c r="E1" s="105"/>
      <c r="F1" s="105"/>
      <c r="G1" s="105"/>
    </row>
    <row r="2" ht="15.75">
      <c r="A2" s="2"/>
    </row>
    <row r="3" spans="1:7" ht="55.5" customHeight="1">
      <c r="A3" s="93"/>
      <c r="B3" s="96" t="s">
        <v>257</v>
      </c>
      <c r="C3" s="97"/>
      <c r="D3" s="96" t="s">
        <v>163</v>
      </c>
      <c r="E3" s="97"/>
      <c r="F3" s="98" t="s">
        <v>181</v>
      </c>
      <c r="G3" s="99"/>
    </row>
    <row r="4" spans="1:7" ht="26.25" customHeight="1">
      <c r="A4" s="94"/>
      <c r="B4" s="100" t="s">
        <v>150</v>
      </c>
      <c r="C4" s="102" t="s">
        <v>259</v>
      </c>
      <c r="D4" s="104" t="s">
        <v>260</v>
      </c>
      <c r="E4" s="104"/>
      <c r="F4" s="104" t="s">
        <v>260</v>
      </c>
      <c r="G4" s="96"/>
    </row>
    <row r="5" spans="1:7" ht="27" customHeight="1">
      <c r="A5" s="95"/>
      <c r="B5" s="101"/>
      <c r="C5" s="103"/>
      <c r="D5" s="28">
        <v>2017</v>
      </c>
      <c r="E5" s="28">
        <v>2018</v>
      </c>
      <c r="F5" s="28" t="s">
        <v>145</v>
      </c>
      <c r="G5" s="24" t="s">
        <v>168</v>
      </c>
    </row>
    <row r="6" spans="1:7" s="3" customFormat="1" ht="15">
      <c r="A6" s="68" t="s">
        <v>212</v>
      </c>
      <c r="B6" s="62">
        <f>IF(4722022.55771="","-",4722022.55771)</f>
        <v>4722022.55771</v>
      </c>
      <c r="C6" s="62">
        <f>IF(3904696.37575="","-",4722022.55771/3904696.37575*100)</f>
        <v>120.93187544711492</v>
      </c>
      <c r="D6" s="62">
        <v>100</v>
      </c>
      <c r="E6" s="62">
        <v>100</v>
      </c>
      <c r="F6" s="62">
        <f>IF(3275429.97191="","-",(3904696.37575-3275429.97191)/3275429.97191*100)</f>
        <v>19.211719048691993</v>
      </c>
      <c r="G6" s="62">
        <f>IF(3904696.37575="","-",(4722022.55771-3904696.37575)/3904696.37575*100)</f>
        <v>20.931875447114916</v>
      </c>
    </row>
    <row r="7" spans="1:7" ht="12.75" customHeight="1">
      <c r="A7" s="55" t="s">
        <v>2</v>
      </c>
      <c r="B7" s="48"/>
      <c r="C7" s="49"/>
      <c r="D7" s="49"/>
      <c r="E7" s="49"/>
      <c r="F7" s="56"/>
      <c r="G7" s="56"/>
    </row>
    <row r="8" spans="1:7" ht="15.75">
      <c r="A8" s="58" t="s">
        <v>246</v>
      </c>
      <c r="B8" s="63">
        <f>IF(2376229.81852="","-",2376229.81852)</f>
        <v>2376229.81852</v>
      </c>
      <c r="C8" s="63">
        <f>IF(1945044.14905="","-",2376229.81852/1945044.14905*100)</f>
        <v>122.16842582625182</v>
      </c>
      <c r="D8" s="63">
        <f>IF(1945044.14905="","-",1945044.14905/3904696.37575*100)</f>
        <v>49.81294220799441</v>
      </c>
      <c r="E8" s="63">
        <f>IF(2376229.81852="","-",2376229.81852/4722022.55771*100)</f>
        <v>50.322288584584406</v>
      </c>
      <c r="F8" s="63">
        <f>IF(3275429.97191="","-",(1945044.14905-1625474.55028)/3275429.97191*100)</f>
        <v>9.756569412584613</v>
      </c>
      <c r="G8" s="63">
        <f>IF(3904696.37575="","-",(2376229.81852-1945044.14905)/3904696.37575*100)</f>
        <v>11.042745145252931</v>
      </c>
    </row>
    <row r="9" spans="1:7" s="11" customFormat="1" ht="15.75">
      <c r="A9" s="22" t="s">
        <v>204</v>
      </c>
      <c r="B9" s="65">
        <f>IF(704745.98206="","-",704745.98206)</f>
        <v>704745.98206</v>
      </c>
      <c r="C9" s="65">
        <f>IF(OR(563439.97729="",704745.98206=""),"-",704745.98206/563439.97729*100)</f>
        <v>125.07915846682467</v>
      </c>
      <c r="D9" s="65">
        <f>IF(563439.97729="","-",563439.97729/3904696.37575*100)</f>
        <v>14.429802552363022</v>
      </c>
      <c r="E9" s="65">
        <f>IF(704745.98206="","-",704745.98206/4722022.55771*100)</f>
        <v>14.924663604355477</v>
      </c>
      <c r="F9" s="65">
        <f>IF(OR(3275429.97191="",450230.64742="",563439.97729=""),"-",(563439.97729-450230.64742)/3275429.97191*100)</f>
        <v>3.4563196539349077</v>
      </c>
      <c r="G9" s="65">
        <f>IF(OR(3904696.37575="",704745.98206="",563439.97729=""),"-",(704745.98206-563439.97729)/3904696.37575*100)</f>
        <v>3.618873048557033</v>
      </c>
    </row>
    <row r="10" spans="1:7" s="11" customFormat="1" ht="15.75">
      <c r="A10" s="22" t="s">
        <v>4</v>
      </c>
      <c r="B10" s="65">
        <f>IF(402522.00652="","-",402522.00652)</f>
        <v>402522.00652</v>
      </c>
      <c r="C10" s="65">
        <f>IF(OR(319036.72565="",402522.00652=""),"-",402522.00652/319036.72565*100)</f>
        <v>126.16792179643537</v>
      </c>
      <c r="D10" s="65">
        <f>IF(319036.72565="","-",319036.72565/3904696.37575*100)</f>
        <v>8.170589847430085</v>
      </c>
      <c r="E10" s="65">
        <f>IF(402522.00652="","-",402522.00652/4722022.55771*100)</f>
        <v>8.524355858122112</v>
      </c>
      <c r="F10" s="65">
        <f>IF(OR(3275429.97191="",261340.05116="",319036.72565=""),"-",(319036.72565-261340.05116)/3275429.97191*100)</f>
        <v>1.761499253069219</v>
      </c>
      <c r="G10" s="65">
        <f>IF(OR(3904696.37575="",402522.00652="",319036.72565=""),"-",(402522.00652-319036.72565)/3904696.37575*100)</f>
        <v>2.1380735615829916</v>
      </c>
    </row>
    <row r="11" spans="1:7" s="11" customFormat="1" ht="15.75">
      <c r="A11" s="22" t="s">
        <v>3</v>
      </c>
      <c r="B11" s="65">
        <f>IF(325461.46151="","-",325461.46151)</f>
        <v>325461.46151</v>
      </c>
      <c r="C11" s="65">
        <f>IF(OR(274890.93219="",325461.46151=""),"-",325461.46151/274890.93219*100)</f>
        <v>118.39657966056387</v>
      </c>
      <c r="D11" s="65">
        <f>IF(274890.93219="","-",274890.93219/3904696.37575*100)</f>
        <v>7.040007870962821</v>
      </c>
      <c r="E11" s="65">
        <f>IF(325461.46151="","-",325461.46151/4722022.55771*100)</f>
        <v>6.892416491712744</v>
      </c>
      <c r="F11" s="65">
        <f>IF(OR(3275429.97191="",234678.44442="",274890.93219=""),"-",(274890.93219-234678.44442)/3275429.97191*100)</f>
        <v>1.2277010381800628</v>
      </c>
      <c r="G11" s="65">
        <f>IF(OR(3904696.37575="",325461.46151="",274890.93219=""),"-",(325461.46151-274890.93219)/3904696.37575*100)</f>
        <v>1.2951206560916422</v>
      </c>
    </row>
    <row r="12" spans="1:7" s="11" customFormat="1" ht="15.75">
      <c r="A12" s="22" t="s">
        <v>5</v>
      </c>
      <c r="B12" s="65">
        <f>IF(166107.32983="","-",166107.32983)</f>
        <v>166107.32983</v>
      </c>
      <c r="C12" s="65">
        <f>IF(OR(133116.6662="",166107.32983=""),"-",166107.32983/133116.6662*100)</f>
        <v>124.78327062400545</v>
      </c>
      <c r="D12" s="65">
        <f>IF(133116.6662="","-",133116.6662/3904696.37575*100)</f>
        <v>3.409142565519744</v>
      </c>
      <c r="E12" s="65">
        <f>IF(166107.32983="","-",166107.32983/4722022.55771*100)</f>
        <v>3.517715720328021</v>
      </c>
      <c r="F12" s="65">
        <f>IF(OR(3275429.97191="",105726.18525="",133116.6662=""),"-",(133116.6662-105726.18525)/3275429.97191*100)</f>
        <v>0.8362407740327239</v>
      </c>
      <c r="G12" s="65">
        <f>IF(OR(3904696.37575="",166107.32983="",133116.6662=""),"-",(166107.32983-133116.6662)/3904696.37575*100)</f>
        <v>0.8448970279709204</v>
      </c>
    </row>
    <row r="13" spans="1:7" s="11" customFormat="1" ht="15.75">
      <c r="A13" s="22" t="s">
        <v>206</v>
      </c>
      <c r="B13" s="65">
        <f>IF(111404.43947="","-",111404.43947)</f>
        <v>111404.43947</v>
      </c>
      <c r="C13" s="65">
        <f>IF(OR(93630.7979="",111404.43947=""),"-",111404.43947/93630.7979*100)</f>
        <v>118.9826872873418</v>
      </c>
      <c r="D13" s="65">
        <f>IF(93630.7979="","-",93630.7979/3904696.37575*100)</f>
        <v>2.3979021386013843</v>
      </c>
      <c r="E13" s="65">
        <f>IF(111404.43947="","-",111404.43947/4722022.55771*100)</f>
        <v>2.3592525895095866</v>
      </c>
      <c r="F13" s="65">
        <f>IF(OR(3275429.97191="",75447.53349="",93630.7979=""),"-",(93630.7979-75447.53349)/3275429.97191*100)</f>
        <v>0.555141296438611</v>
      </c>
      <c r="G13" s="65">
        <f>IF(OR(3904696.37575="",111404.43947="",93630.7979=""),"-",(111404.43947-93630.7979)/3904696.37575*100)</f>
        <v>0.45518626442718213</v>
      </c>
    </row>
    <row r="14" spans="1:7" s="11" customFormat="1" ht="15.75">
      <c r="A14" s="22" t="s">
        <v>89</v>
      </c>
      <c r="B14" s="65">
        <f>IF(93809.94407="","-",93809.94407)</f>
        <v>93809.94407</v>
      </c>
      <c r="C14" s="65">
        <f>IF(OR(81508.3948="",93809.94407=""),"-",93809.94407/81508.3948*100)</f>
        <v>115.09237091490361</v>
      </c>
      <c r="D14" s="65">
        <f>IF(81508.3948="","-",81508.3948/3904696.37575*100)</f>
        <v>2.0874451418605924</v>
      </c>
      <c r="E14" s="65">
        <f>IF(93809.94407="","-",93809.94407/4722022.55771*100)</f>
        <v>1.9866475207076142</v>
      </c>
      <c r="F14" s="65">
        <f>IF(OR(3275429.97191="",66723.8536="",81508.3948=""),"-",(81508.3948-66723.8536)/3275429.97191*100)</f>
        <v>0.45137711160952376</v>
      </c>
      <c r="G14" s="65">
        <f>IF(OR(3904696.37575="",93809.94407="",81508.3948=""),"-",(93809.94407-81508.3948)/3904696.37575*100)</f>
        <v>0.31504496345473637</v>
      </c>
    </row>
    <row r="15" spans="1:7" s="11" customFormat="1" ht="15.75">
      <c r="A15" s="22" t="s">
        <v>7</v>
      </c>
      <c r="B15" s="65">
        <f>IF(88063.80586="","-",88063.80586)</f>
        <v>88063.80586</v>
      </c>
      <c r="C15" s="65">
        <f>IF(OR(65635.98216="",88063.80586=""),"-",88063.80586/65635.98216*100)</f>
        <v>134.1700130963653</v>
      </c>
      <c r="D15" s="65">
        <f>IF(65635.98216="","-",65635.98216/3904696.37575*100)</f>
        <v>1.6809497037370256</v>
      </c>
      <c r="E15" s="65">
        <f>IF(88063.80586="","-",88063.80586/4722022.55771*100)</f>
        <v>1.8649594487051235</v>
      </c>
      <c r="F15" s="65">
        <f>IF(OR(3275429.97191="",63334.37461="",65635.98216=""),"-",(65635.98216-63334.37461)/3275429.97191*100)</f>
        <v>0.07026886759108042</v>
      </c>
      <c r="G15" s="65">
        <f>IF(OR(3904696.37575="",88063.80586="",65635.98216=""),"-",(88063.80586-65635.98216)/3904696.37575*100)</f>
        <v>0.5743807339102553</v>
      </c>
    </row>
    <row r="16" spans="1:7" s="11" customFormat="1" ht="15.75">
      <c r="A16" s="22" t="s">
        <v>207</v>
      </c>
      <c r="B16" s="65">
        <f>IF(70792.78514="","-",70792.78514)</f>
        <v>70792.78514</v>
      </c>
      <c r="C16" s="65">
        <f>IF(OR(53362.4184="",70792.78514=""),"-",70792.78514/53362.4184*100)</f>
        <v>132.66412442056787</v>
      </c>
      <c r="D16" s="65">
        <f>IF(53362.4184="","-",53362.4184/3904696.37575*100)</f>
        <v>1.3666214543954225</v>
      </c>
      <c r="E16" s="65">
        <f>IF(70792.78514="","-",70792.78514/4722022.55771*100)</f>
        <v>1.49920472159565</v>
      </c>
      <c r="F16" s="65">
        <f>IF(OR(3275429.97191="",44178.91879="",53362.4184=""),"-",(53362.4184-44178.91879)/3275429.97191*100)</f>
        <v>0.2803753915900339</v>
      </c>
      <c r="G16" s="65">
        <f>IF(OR(3904696.37575="",70792.78514="",53362.4184=""),"-",(70792.78514-53362.4184)/3904696.37575*100)</f>
        <v>0.446394932221895</v>
      </c>
    </row>
    <row r="17" spans="1:7" s="11" customFormat="1" ht="15.75">
      <c r="A17" s="22" t="s">
        <v>87</v>
      </c>
      <c r="B17" s="65">
        <f>IF(63265.06331="","-",63265.06331)</f>
        <v>63265.06331</v>
      </c>
      <c r="C17" s="65">
        <f>IF(OR(48706.95618="",63265.06331=""),"-",63265.06331/48706.95618*100)</f>
        <v>129.8891745076401</v>
      </c>
      <c r="D17" s="65">
        <f>IF(48706.95618="","-",48706.95618/3904696.37575*100)</f>
        <v>1.247394201569502</v>
      </c>
      <c r="E17" s="65">
        <f>IF(63265.06331="","-",63265.06331/4722022.55771*100)</f>
        <v>1.339787401199564</v>
      </c>
      <c r="F17" s="65">
        <f>IF(OR(3275429.97191="",40568.95921="",48706.95618=""),"-",(48706.95618-40568.95921)/3275429.97191*100)</f>
        <v>0.24845583754777986</v>
      </c>
      <c r="G17" s="65">
        <f>IF(OR(3904696.37575="",63265.06331="",48706.95618=""),"-",(63265.06331-48706.95618)/3904696.37575*100)</f>
        <v>0.37283582970529244</v>
      </c>
    </row>
    <row r="18" spans="1:7" s="11" customFormat="1" ht="15.75">
      <c r="A18" s="22" t="s">
        <v>6</v>
      </c>
      <c r="B18" s="65">
        <f>IF(54624.89454="","-",54624.89454)</f>
        <v>54624.89454</v>
      </c>
      <c r="C18" s="65">
        <f>IF(OR(60502.35257="",54624.89454=""),"-",54624.89454/60502.35257*100)</f>
        <v>90.28557108882683</v>
      </c>
      <c r="D18" s="65">
        <f>IF(60502.35257="","-",60502.35257/3904696.37575*100)</f>
        <v>1.5494764956821752</v>
      </c>
      <c r="E18" s="65">
        <f>IF(54624.89454="","-",54624.89454/4722022.55771*100)</f>
        <v>1.1568113847912447</v>
      </c>
      <c r="F18" s="65">
        <f>IF(OR(3275429.97191="",47911.31484="",60502.35257=""),"-",(60502.35257-47911.31484)/3275429.97191*100)</f>
        <v>0.3844086986435493</v>
      </c>
      <c r="G18" s="65">
        <f>IF(OR(3904696.37575="",54624.89454="",60502.35257=""),"-",(54624.89454-60502.35257)/3904696.37575*100)</f>
        <v>-0.15052279266838206</v>
      </c>
    </row>
    <row r="19" spans="1:7" s="11" customFormat="1" ht="15.75" customHeight="1">
      <c r="A19" s="22" t="s">
        <v>9</v>
      </c>
      <c r="B19" s="65">
        <f>IF(48979.28137="","-",48979.28137)</f>
        <v>48979.28137</v>
      </c>
      <c r="C19" s="65">
        <f>IF(OR(38337.96047="",48979.28137=""),"-",48979.28137/38337.96047*100)</f>
        <v>127.75661712189145</v>
      </c>
      <c r="D19" s="65">
        <f>IF(38337.96047="","-",38337.96047/3904696.37575*100)</f>
        <v>0.9818422940154004</v>
      </c>
      <c r="E19" s="65">
        <f>IF(48979.28137="","-",48979.28137/4722022.55771*100)</f>
        <v>1.0372521683537461</v>
      </c>
      <c r="F19" s="65">
        <f>IF(OR(3275429.97191="",35432.4064="",38337.96047=""),"-",(38337.96047-35432.4064)/3275429.97191*100)</f>
        <v>0.08870756190539723</v>
      </c>
      <c r="G19" s="65">
        <f>IF(OR(3904696.37575="",48979.28137="",38337.96047=""),"-",(48979.28137-38337.96047)/3904696.37575*100)</f>
        <v>0.2725262062906505</v>
      </c>
    </row>
    <row r="20" spans="1:7" s="11" customFormat="1" ht="25.5">
      <c r="A20" s="22" t="s">
        <v>205</v>
      </c>
      <c r="B20" s="65">
        <f>IF(48427.54857="","-",48427.54857)</f>
        <v>48427.54857</v>
      </c>
      <c r="C20" s="65">
        <f>IF(OR(47472.43144="",48427.54857=""),"-",48427.54857/47472.43144*100)</f>
        <v>102.0119406169603</v>
      </c>
      <c r="D20" s="65">
        <f>IF(47472.43144="","-",47472.43144/3904696.37575*100)</f>
        <v>1.215777793500824</v>
      </c>
      <c r="E20" s="65">
        <f>IF(48427.54857="","-",48427.54857/4722022.55771*100)</f>
        <v>1.0255679209098378</v>
      </c>
      <c r="F20" s="65">
        <f>IF(OR(3275429.97191="",53528.20941="",47472.43144=""),"-",(47472.43144-53528.20941)/3275429.97191*100)</f>
        <v>-0.18488497760398462</v>
      </c>
      <c r="G20" s="65">
        <f>IF(OR(3904696.37575="",48427.54857="",47472.43144=""),"-",(48427.54857-47472.43144)/3904696.37575*100)</f>
        <v>0.024460727239426987</v>
      </c>
    </row>
    <row r="21" spans="1:7" s="11" customFormat="1" ht="15.75">
      <c r="A21" s="22" t="s">
        <v>88</v>
      </c>
      <c r="B21" s="65">
        <f>IF(38517.78029="","-",38517.78029)</f>
        <v>38517.78029</v>
      </c>
      <c r="C21" s="65">
        <f>IF(OR(31758.78457="",38517.78029=""),"-",38517.78029/31758.78457*100)</f>
        <v>121.28228712626708</v>
      </c>
      <c r="D21" s="65">
        <f>IF(31758.78457="","-",31758.78457/3904696.37575*100)</f>
        <v>0.8133483762588297</v>
      </c>
      <c r="E21" s="65">
        <f>IF(38517.78029="","-",38517.78029/4722022.55771*100)</f>
        <v>0.8157051309953853</v>
      </c>
      <c r="F21" s="65">
        <f>IF(OR(3275429.97191="",25486.67598="",31758.78457=""),"-",(31758.78457-25486.67598)/3275429.97191*100)</f>
        <v>0.19148962559998034</v>
      </c>
      <c r="G21" s="65">
        <f>IF(OR(3904696.37575="",38517.78029="",31758.78457=""),"-",(38517.78029-31758.78457)/3904696.37575*100)</f>
        <v>0.17309913677223518</v>
      </c>
    </row>
    <row r="22" spans="1:7" s="11" customFormat="1" ht="15.75">
      <c r="A22" s="22" t="s">
        <v>91</v>
      </c>
      <c r="B22" s="65">
        <f>IF(26795.52585="","-",26795.52585)</f>
        <v>26795.52585</v>
      </c>
      <c r="C22" s="65">
        <f>IF(OR(19337.57405="",26795.52585=""),"-",26795.52585/19337.57405*100)</f>
        <v>138.56715315331917</v>
      </c>
      <c r="D22" s="65">
        <f>IF(19337.57405="","-",19337.57405/3904696.37575*100)</f>
        <v>0.4952388659485901</v>
      </c>
      <c r="E22" s="65">
        <f>IF(26795.52585="","-",26795.52585/4722022.55771*100)</f>
        <v>0.5674586582871981</v>
      </c>
      <c r="F22" s="65">
        <f>IF(OR(3275429.97191="",15046.31575="",19337.57405=""),"-",(19337.57405-15046.31575)/3275429.97191*100)</f>
        <v>0.13101358712601754</v>
      </c>
      <c r="G22" s="65">
        <f>IF(OR(3904696.37575="",26795.52585="",19337.57405=""),"-",(26795.52585-19337.57405)/3904696.37575*100)</f>
        <v>0.19099953190515373</v>
      </c>
    </row>
    <row r="23" spans="1:7" s="11" customFormat="1" ht="15.75">
      <c r="A23" s="22" t="s">
        <v>97</v>
      </c>
      <c r="B23" s="65">
        <f>IF(21081.63606="","-",21081.63606)</f>
        <v>21081.63606</v>
      </c>
      <c r="C23" s="65">
        <f>IF(OR(16053.79785="",21081.63606=""),"-",21081.63606/16053.79785*100)</f>
        <v>131.3186839461791</v>
      </c>
      <c r="D23" s="65">
        <f>IF(16053.79785="","-",16053.79785/3904696.37575*100)</f>
        <v>0.4111407470681109</v>
      </c>
      <c r="E23" s="65">
        <f>IF(21081.63606="","-",21081.63606/4722022.55771*100)</f>
        <v>0.44645352287820894</v>
      </c>
      <c r="F23" s="65">
        <f>IF(OR(3275429.97191="",14776.26871="",16053.79785=""),"-",(16053.79785-14776.26871)/3275429.97191*100)</f>
        <v>0.03900340263586938</v>
      </c>
      <c r="G23" s="65">
        <f>IF(OR(3904696.37575="",21081.63606="",16053.79785=""),"-",(21081.63606-16053.79785)/3904696.37575*100)</f>
        <v>0.12876387114822135</v>
      </c>
    </row>
    <row r="24" spans="1:8" s="11" customFormat="1" ht="15.75">
      <c r="A24" s="22" t="s">
        <v>8</v>
      </c>
      <c r="B24" s="65">
        <f>IF(19310.35577="","-",19310.35577)</f>
        <v>19310.35577</v>
      </c>
      <c r="C24" s="65">
        <f>IF(OR(20359.05315="",19310.35577=""),"-",19310.35577/20359.05315*100)</f>
        <v>94.84898746383989</v>
      </c>
      <c r="D24" s="65">
        <f>IF(20359.05315="","-",20359.05315/3904696.37575*100)</f>
        <v>0.5213991355752855</v>
      </c>
      <c r="E24" s="65">
        <f>IF(19310.35577="","-",19310.35577/4722022.55771*100)</f>
        <v>0.40894247187511906</v>
      </c>
      <c r="F24" s="65">
        <f>IF(OR(3275429.97191="",15897.02183="",20359.05315=""),"-",(20359.05315-15897.02183)/3275429.97191*100)</f>
        <v>0.13622734597491817</v>
      </c>
      <c r="G24" s="65">
        <f>IF(OR(3904696.37575="",19310.35577="",20359.05315=""),"-",(19310.35577-20359.05315)/3904696.37575*100)</f>
        <v>-0.02685733483691344</v>
      </c>
      <c r="H24" s="40"/>
    </row>
    <row r="25" spans="1:8" s="11" customFormat="1" ht="15.75">
      <c r="A25" s="22" t="s">
        <v>99</v>
      </c>
      <c r="B25" s="65">
        <f>IF(18628.06435="","-",18628.06435)</f>
        <v>18628.06435</v>
      </c>
      <c r="C25" s="65">
        <f>IF(OR(13235.76731="",18628.06435=""),"-",18628.06435/13235.76731*100)</f>
        <v>140.74034329634947</v>
      </c>
      <c r="D25" s="65">
        <f>IF(13235.76731="","-",13235.76731/3904696.37575*100)</f>
        <v>0.3389704611144758</v>
      </c>
      <c r="E25" s="65">
        <f>IF(18628.06435="","-",18628.06435/4722022.55771*100)</f>
        <v>0.39449333675004505</v>
      </c>
      <c r="F25" s="65">
        <f>IF(OR(3275429.97191="",13147.81654="",13235.76731=""),"-",(13235.76731-13147.81654)/3275429.97191*100)</f>
        <v>0.0026851671613883654</v>
      </c>
      <c r="G25" s="65">
        <f>IF(OR(3904696.37575="",18628.06435="",13235.76731=""),"-",(18628.06435-13235.76731)/3904696.37575*100)</f>
        <v>0.13809772953125626</v>
      </c>
      <c r="H25" s="40"/>
    </row>
    <row r="26" spans="1:8" s="11" customFormat="1" ht="15.75">
      <c r="A26" s="22" t="s">
        <v>98</v>
      </c>
      <c r="B26" s="65">
        <f>IF(14260.50028="","-",14260.50028)</f>
        <v>14260.50028</v>
      </c>
      <c r="C26" s="65">
        <f>IF(OR(10901.1922="",14260.50028=""),"-",14260.50028/10901.1922*100)</f>
        <v>130.8159696514662</v>
      </c>
      <c r="D26" s="65">
        <f>IF(10901.1922="","-",10901.1922/3904696.37575*100)</f>
        <v>0.27918155858933175</v>
      </c>
      <c r="E26" s="65">
        <f>IF(14260.50028="","-",14260.50028/4722022.55771*100)</f>
        <v>0.3019998338787224</v>
      </c>
      <c r="F26" s="65">
        <f>IF(OR(3275429.97191="",10703.35103="",10901.1922=""),"-",(10901.1922-10703.35103)/3275429.97191*100)</f>
        <v>0.006040158748520966</v>
      </c>
      <c r="G26" s="65">
        <f>IF(OR(3904696.37575="",14260.50028="",10901.1922=""),"-",(14260.50028-10901.1922)/3904696.37575*100)</f>
        <v>0.0860325043673788</v>
      </c>
      <c r="H26" s="40"/>
    </row>
    <row r="27" spans="1:8" s="11" customFormat="1" ht="15.75">
      <c r="A27" s="22" t="s">
        <v>95</v>
      </c>
      <c r="B27" s="65">
        <f>IF(13119.49755="","-",13119.49755)</f>
        <v>13119.49755</v>
      </c>
      <c r="C27" s="65">
        <f>IF(OR(11970.79875="",13119.49755=""),"-",13119.49755/11970.79875*100)</f>
        <v>109.59584087903909</v>
      </c>
      <c r="D27" s="65">
        <f>IF(11970.79875="","-",11970.79875/3904696.37575*100)</f>
        <v>0.30657438115660635</v>
      </c>
      <c r="E27" s="65">
        <f>IF(13119.49755="","-",13119.49755/4722022.55771*100)</f>
        <v>0.27783640145002725</v>
      </c>
      <c r="F27" s="65">
        <f>IF(OR(3275429.97191="",9677.07573="",11970.79875=""),"-",(11970.79875-9677.07573)/3275429.97191*100)</f>
        <v>0.07002815018702604</v>
      </c>
      <c r="G27" s="65">
        <f>IF(OR(3904696.37575="",13119.49755="",11970.79875=""),"-",(13119.49755-11970.79875)/3904696.37575*100)</f>
        <v>0.029418389791686737</v>
      </c>
      <c r="H27" s="40"/>
    </row>
    <row r="28" spans="1:8" s="11" customFormat="1" ht="15.75">
      <c r="A28" s="22" t="s">
        <v>90</v>
      </c>
      <c r="B28" s="65">
        <f>IF(11490.54037="","-",11490.54037)</f>
        <v>11490.54037</v>
      </c>
      <c r="C28" s="65">
        <f>IF(OR(9294.17742="",11490.54037=""),"-",11490.54037/9294.17742*100)</f>
        <v>123.63160127838404</v>
      </c>
      <c r="D28" s="65">
        <f>IF(9294.17742="","-",9294.17742/3904696.37575*100)</f>
        <v>0.2380256113566527</v>
      </c>
      <c r="E28" s="65">
        <f>IF(11490.54037="","-",11490.54037/4722022.55771*100)</f>
        <v>0.2433393790387243</v>
      </c>
      <c r="F28" s="65">
        <f>IF(OR(3275429.97191="",11726.7879="",9294.17742=""),"-",(9294.17742-11726.7879)/3275429.97191*100)</f>
        <v>-0.07426843195739191</v>
      </c>
      <c r="G28" s="65">
        <f>IF(OR(3904696.37575="",11490.54037="",9294.17742=""),"-",(11490.54037-9294.17742)/3904696.37575*100)</f>
        <v>0.05624926341624017</v>
      </c>
      <c r="H28" s="40"/>
    </row>
    <row r="29" spans="1:8" s="11" customFormat="1" ht="15.75">
      <c r="A29" s="22" t="s">
        <v>96</v>
      </c>
      <c r="B29" s="65">
        <f>IF(11316.85907="","-",11316.85907)</f>
        <v>11316.85907</v>
      </c>
      <c r="C29" s="65">
        <f>IF(OR(11082.76853="",11316.85907=""),"-",11316.85907/11082.76853*100)</f>
        <v>102.11220273496049</v>
      </c>
      <c r="D29" s="65">
        <f>IF(11082.76853="","-",11082.76853/3904696.37575*100)</f>
        <v>0.2838317621526017</v>
      </c>
      <c r="E29" s="65">
        <f>IF(11316.85907="","-",11316.85907/4722022.55771*100)</f>
        <v>0.23966126657997674</v>
      </c>
      <c r="F29" s="65">
        <f>IF(OR(3275429.97191="",10290.50183="",11082.76853=""),"-",(11082.76853-10290.50183)/3275429.97191*100)</f>
        <v>0.02418817397393497</v>
      </c>
      <c r="G29" s="65">
        <f>IF(OR(3904696.37575="",11316.85907="",11082.76853=""),"-",(11316.85907-11082.76853)/3904696.37575*100)</f>
        <v>0.005995102242873821</v>
      </c>
      <c r="H29" s="40"/>
    </row>
    <row r="30" spans="1:8" s="11" customFormat="1" ht="15.75">
      <c r="A30" s="22" t="s">
        <v>92</v>
      </c>
      <c r="B30" s="65">
        <f>IF(9609.89673="","-",9609.89673)</f>
        <v>9609.89673</v>
      </c>
      <c r="C30" s="65">
        <f>IF(OR(6777.5956="",9609.89673=""),"-",9609.89673/6777.5956*100)</f>
        <v>141.78917269717303</v>
      </c>
      <c r="D30" s="65">
        <f>IF(6777.5956="","-",6777.5956/3904696.37575*100)</f>
        <v>0.17357548315643834</v>
      </c>
      <c r="E30" s="65">
        <f>IF(9609.89673="","-",9609.89673/4722022.55771*100)</f>
        <v>0.20351230034488507</v>
      </c>
      <c r="F30" s="65">
        <f>IF(OR(3275429.97191="",7033.1294="",6777.5956=""),"-",(6777.5956-7033.1294)/3275429.97191*100)</f>
        <v>-0.007801534521923876</v>
      </c>
      <c r="G30" s="65">
        <f>IF(OR(3904696.37575="",9609.89673="",6777.5956=""),"-",(9609.89673-6777.5956)/3904696.37575*100)</f>
        <v>0.0725357584161965</v>
      </c>
      <c r="H30" s="40"/>
    </row>
    <row r="31" spans="1:8" s="11" customFormat="1" ht="15.75">
      <c r="A31" s="22" t="s">
        <v>100</v>
      </c>
      <c r="B31" s="65">
        <f>IF(5447.96726="","-",5447.96726)</f>
        <v>5447.96726</v>
      </c>
      <c r="C31" s="65">
        <f>IF(OR(5617.46916="",5447.96726=""),"-",5447.96726/5617.46916*100)</f>
        <v>96.98259313630128</v>
      </c>
      <c r="D31" s="65">
        <f>IF(5617.46916="","-",5617.46916/3904696.37575*100)</f>
        <v>0.1438644293801465</v>
      </c>
      <c r="E31" s="65">
        <f>IF(5447.96726="","-",5447.96726/4722022.55771*100)</f>
        <v>0.11537359666155544</v>
      </c>
      <c r="F31" s="65">
        <f>IF(OR(3275429.97191="",4688.59919="",5617.46916=""),"-",(5617.46916-4688.59919)/3275429.97191*100)</f>
        <v>0.02835871864048274</v>
      </c>
      <c r="G31" s="65">
        <f>IF(OR(3904696.37575="",5447.96726="",5617.46916=""),"-",(5447.96726-5617.46916)/3904696.37575*100)</f>
        <v>-0.0043409751665375515</v>
      </c>
      <c r="H31" s="40"/>
    </row>
    <row r="32" spans="1:7" s="11" customFormat="1" ht="15.75">
      <c r="A32" s="22" t="s">
        <v>93</v>
      </c>
      <c r="B32" s="65">
        <f>IF(4065.09378="","-",4065.09378)</f>
        <v>4065.09378</v>
      </c>
      <c r="C32" s="65">
        <f>IF(OR(4158.73746="",4065.09378=""),"-",4065.09378/4158.73746*100)</f>
        <v>97.74826660974169</v>
      </c>
      <c r="D32" s="65">
        <f>IF(4158.73746="","-",4158.73746/3904696.37575*100)</f>
        <v>0.10650603938958518</v>
      </c>
      <c r="E32" s="65">
        <f>IF(4065.09378="","-",4065.09378/4722022.55771*100)</f>
        <v>0.0860879788336169</v>
      </c>
      <c r="F32" s="65">
        <f>IF(OR(3275429.97191="",3624.22717="",4158.73746=""),"-",(4158.73746-3624.22717)/3275429.97191*100)</f>
        <v>0.016318782406705264</v>
      </c>
      <c r="G32" s="65">
        <f>IF(OR(3904696.37575="",4065.09378="",4158.73746=""),"-",(4065.09378-4158.73746)/3904696.37575*100)</f>
        <v>-0.002398232051576952</v>
      </c>
    </row>
    <row r="33" spans="1:7" s="11" customFormat="1" ht="15.75">
      <c r="A33" s="22" t="s">
        <v>208</v>
      </c>
      <c r="B33" s="65">
        <f>IF(2740.53802="","-",2740.53802)</f>
        <v>2740.53802</v>
      </c>
      <c r="C33" s="65" t="s">
        <v>203</v>
      </c>
      <c r="D33" s="65">
        <f>IF(1753.3375="","-",1753.3375/3904696.37575*100)</f>
        <v>0.0449032992907989</v>
      </c>
      <c r="E33" s="65">
        <f>IF(2740.53802="","-",2740.53802/4722022.55771*100)</f>
        <v>0.05803737670683758</v>
      </c>
      <c r="F33" s="65">
        <f>IF(OR(3275429.97191="",1488.1336="",1753.3375=""),"-",(1753.3375-1488.1336)/3275429.97191*100)</f>
        <v>0.008096765990248053</v>
      </c>
      <c r="G33" s="65">
        <f>IF(OR(3904696.37575="",2740.53802="",1753.3375=""),"-",(2740.53802-1753.3375)/3904696.37575*100)</f>
        <v>0.02528238882108681</v>
      </c>
    </row>
    <row r="34" spans="1:7" s="11" customFormat="1" ht="15.75">
      <c r="A34" s="22" t="s">
        <v>101</v>
      </c>
      <c r="B34" s="65">
        <f>IF(799.01401="","-",799.01401)</f>
        <v>799.01401</v>
      </c>
      <c r="C34" s="65">
        <f>IF(OR(2012.34081="",799.01401=""),"-",799.01401/2012.34081*100)</f>
        <v>39.70570024865718</v>
      </c>
      <c r="D34" s="65">
        <f>IF(2012.34081="","-",2012.34081/3904696.37575*100)</f>
        <v>0.051536422204235446</v>
      </c>
      <c r="E34" s="65">
        <f>IF(799.01401="","-",799.01401/4722022.55771*100)</f>
        <v>0.016921012134840183</v>
      </c>
      <c r="F34" s="65">
        <f>IF(OR(3275429.97191="",1994.53855="",2012.34081=""),"-",(2012.34081-1994.53855)/3275429.97191*100)</f>
        <v>0.0005435091011766895</v>
      </c>
      <c r="G34" s="65">
        <f>IF(OR(3904696.37575="",799.01401="",2012.34081=""),"-",(799.01401-2012.34081)/3904696.37575*100)</f>
        <v>-0.031073524884939314</v>
      </c>
    </row>
    <row r="35" spans="1:7" s="11" customFormat="1" ht="15.75">
      <c r="A35" s="22" t="s">
        <v>94</v>
      </c>
      <c r="B35" s="65">
        <f>IF(779.19355="","-",779.19355)</f>
        <v>779.19355</v>
      </c>
      <c r="C35" s="65">
        <f>IF(OR(853.79302="",779.19355=""),"-",779.19355/853.79302*100)</f>
        <v>91.26258141580965</v>
      </c>
      <c r="D35" s="65">
        <f>IF(853.79302="","-",853.79302/3904696.37575*100)</f>
        <v>0.021865797947887983</v>
      </c>
      <c r="E35" s="65">
        <f>IF(779.19355="","-",779.19355/4722022.55771*100)</f>
        <v>0.016501266998984413</v>
      </c>
      <c r="F35" s="65">
        <f>IF(OR(3275429.97191="",510.69207="",853.79302=""),"-",(853.79302-510.69207)/3275429.97191*100)</f>
        <v>0.010474989633190896</v>
      </c>
      <c r="G35" s="65">
        <f>IF(OR(3904696.37575="",779.19355="",853.79302=""),"-",(779.19355-853.79302)/3904696.37575*100)</f>
        <v>-0.0019105062934802759</v>
      </c>
    </row>
    <row r="36" spans="1:7" s="11" customFormat="1" ht="15.75">
      <c r="A36" s="22" t="s">
        <v>102</v>
      </c>
      <c r="B36" s="65">
        <f>IF(62.81333="","-",62.81333)</f>
        <v>62.81333</v>
      </c>
      <c r="C36" s="65">
        <f>IF(OR(235.36642="",62.81333=""),"-",62.81333/235.36642*100)</f>
        <v>26.687464592442712</v>
      </c>
      <c r="D36" s="65">
        <f>IF(235.36642="","-",235.36642/3904696.37575*100)</f>
        <v>0.006027777766838316</v>
      </c>
      <c r="E36" s="65">
        <f>IF(62.81333="","-",62.81333/4722022.55771*100)</f>
        <v>0.0013302208795559428</v>
      </c>
      <c r="F36" s="65">
        <f>IF(OR(3275429.97191="",282.5164="",235.36642=""),"-",(235.36642-282.5164)/3275429.97191*100)</f>
        <v>-0.0014395050544312332</v>
      </c>
      <c r="G36" s="65">
        <f>IF(OR(3904696.37575="",62.81333="",235.36642=""),"-",(62.81333-235.36642)/3904696.37575*100)</f>
        <v>-0.004419116709602206</v>
      </c>
    </row>
    <row r="37" spans="1:7" s="11" customFormat="1" ht="15.75">
      <c r="A37" s="58" t="s">
        <v>216</v>
      </c>
      <c r="B37" s="69">
        <f>IF(1145507.9371="","-",1145507.9371)</f>
        <v>1145507.9371</v>
      </c>
      <c r="C37" s="69">
        <f>IF(964408.66903="","-",1145507.9371/964408.66903*100)</f>
        <v>118.77827044546885</v>
      </c>
      <c r="D37" s="69">
        <f>IF(964408.66903="","-",964408.66903/3904696.37575*100)</f>
        <v>24.698685281125343</v>
      </c>
      <c r="E37" s="69">
        <f>IF(1145507.9371="","-",1145507.9371/4722022.55771*100)</f>
        <v>24.258840848391188</v>
      </c>
      <c r="F37" s="69">
        <f>IF(3275429.97191="","-",(964408.66903-828045.62091)/3275429.97191*100)</f>
        <v>4.163210610193038</v>
      </c>
      <c r="G37" s="69">
        <f>IF(3904696.37575="","-",(1145507.9371-964408.66903)/3904696.37575*100)</f>
        <v>4.637985918564926</v>
      </c>
    </row>
    <row r="38" spans="1:7" s="11" customFormat="1" ht="15.75">
      <c r="A38" s="22" t="s">
        <v>209</v>
      </c>
      <c r="B38" s="70">
        <f>IF(545099.89689="","-",545099.89689)</f>
        <v>545099.89689</v>
      </c>
      <c r="C38" s="70">
        <f>IF(OR(442919.77881="",545099.89689=""),"-",545099.89689/442919.77881*100)</f>
        <v>123.06966700708853</v>
      </c>
      <c r="D38" s="70">
        <f>IF(442919.77881="","-",442919.77881/3904696.37575*100)</f>
        <v>11.34325786662287</v>
      </c>
      <c r="E38" s="70">
        <f>IF(545099.89689="","-",545099.89689/4722022.55771*100)</f>
        <v>11.543780027055876</v>
      </c>
      <c r="F38" s="70">
        <f>IF(OR(3275429.97191="",421569.28473="",442919.77881=""),"-",(442919.77881-421569.28473)/3275429.97191*100)</f>
        <v>0.651837904125603</v>
      </c>
      <c r="G38" s="70">
        <f>IF(OR(3904696.37575="",545099.89689="",442919.77881=""),"-",(545099.89689-442919.77881)/3904696.37575*100)</f>
        <v>2.6168518175852684</v>
      </c>
    </row>
    <row r="39" spans="1:7" s="11" customFormat="1" ht="15.75">
      <c r="A39" s="22" t="s">
        <v>11</v>
      </c>
      <c r="B39" s="70">
        <f>IF(476440.60923="","-",476440.60923)</f>
        <v>476440.60923</v>
      </c>
      <c r="C39" s="70">
        <f>IF(OR(419001.18624="",476440.60923=""),"-",476440.60923/419001.18624*100)</f>
        <v>113.70865402684069</v>
      </c>
      <c r="D39" s="70">
        <f>IF(419001.18624="","-",419001.18624/3904696.37575*100)</f>
        <v>10.730698264843186</v>
      </c>
      <c r="E39" s="70">
        <f>IF(476440.60923="","-",476440.60923/4722022.55771*100)</f>
        <v>10.08975716247013</v>
      </c>
      <c r="F39" s="70">
        <f>IF(OR(3275429.97191="",316083.84128="",419001.18624=""),"-",(419001.18624-316083.84128)/3275429.97191*100)</f>
        <v>3.14210182609967</v>
      </c>
      <c r="G39" s="70">
        <f>IF(OR(3904696.37575="",476440.60923="",419001.18624=""),"-",(476440.60923-419001.18624)/3904696.37575*100)</f>
        <v>1.4710342997915486</v>
      </c>
    </row>
    <row r="40" spans="1:7" s="11" customFormat="1" ht="15.75">
      <c r="A40" s="22" t="s">
        <v>10</v>
      </c>
      <c r="B40" s="70">
        <f>IF(103715.02172="","-",103715.02172)</f>
        <v>103715.02172</v>
      </c>
      <c r="C40" s="70">
        <f>IF(OR(95252.09335="",103715.02172=""),"-",103715.02172/95252.09335*100)</f>
        <v>108.88476890361171</v>
      </c>
      <c r="D40" s="70">
        <f>IF(95252.09335="","-",95252.09335/3904696.37575*100)</f>
        <v>2.4394238164472983</v>
      </c>
      <c r="E40" s="70">
        <f>IF(103715.02172="","-",103715.02172/4722022.55771*100)</f>
        <v>2.1964109754337513</v>
      </c>
      <c r="F40" s="70">
        <f>IF(OR(3275429.97191="",84455.21483="",95252.09335=""),"-",(95252.09335-84455.21483)/3275429.97191*100)</f>
        <v>0.32963240284767925</v>
      </c>
      <c r="G40" s="70">
        <f>IF(OR(3904696.37575="",103715.02172="",95252.09335=""),"-",(103715.02172-95252.09335)/3904696.37575*100)</f>
        <v>0.21673716867100784</v>
      </c>
    </row>
    <row r="41" spans="1:7" s="11" customFormat="1" ht="15.75">
      <c r="A41" s="22" t="s">
        <v>15</v>
      </c>
      <c r="B41" s="70">
        <f>IF(10953.89284="","-",10953.89284)</f>
        <v>10953.89284</v>
      </c>
      <c r="C41" s="70" t="s">
        <v>266</v>
      </c>
      <c r="D41" s="70">
        <f>IF(4.47522="","-",4.47522/3904696.37575*100)</f>
        <v>0.00011461121606773883</v>
      </c>
      <c r="E41" s="70">
        <f>IF(10953.89284="","-",10953.89284/4722022.55771*100)</f>
        <v>0.23197459787892707</v>
      </c>
      <c r="F41" s="70">
        <f>IF(OR(3275429.97191="",17.29307="",4.47522=""),"-",(4.47522-17.29307)/3275429.97191*100)</f>
        <v>-0.00039133335500760323</v>
      </c>
      <c r="G41" s="70">
        <f>IF(OR(3904696.37575="",10953.89284="",4.47522=""),"-",(10953.89284-4.47522)/3904696.37575*100)</f>
        <v>0.280416620559822</v>
      </c>
    </row>
    <row r="42" spans="1:7" s="11" customFormat="1" ht="15.75">
      <c r="A42" s="22" t="s">
        <v>12</v>
      </c>
      <c r="B42" s="70">
        <f>IF(4347.49126="","-",4347.49126)</f>
        <v>4347.49126</v>
      </c>
      <c r="C42" s="70" t="s">
        <v>242</v>
      </c>
      <c r="D42" s="70">
        <f>IF(1461.33501="","-",1461.33501/3904696.37575*100)</f>
        <v>0.03742506124357267</v>
      </c>
      <c r="E42" s="70">
        <f>IF(4347.49126="","-",4347.49126/4722022.55771*100)</f>
        <v>0.09206841362715484</v>
      </c>
      <c r="F42" s="70">
        <f>IF(OR(3275429.97191="",2636.67247="",1461.33501=""),"-",(1461.33501-2636.67247)/3275429.97191*100)</f>
        <v>-0.0358834556097875</v>
      </c>
      <c r="G42" s="70">
        <f>IF(OR(3904696.37575="",4347.49126="",1461.33501=""),"-",(4347.49126-1461.33501)/3904696.37575*100)</f>
        <v>0.07391499805015281</v>
      </c>
    </row>
    <row r="43" spans="1:7" s="11" customFormat="1" ht="15.75">
      <c r="A43" s="22" t="s">
        <v>14</v>
      </c>
      <c r="B43" s="70">
        <f>IF(3393.79796="","-",3393.79796)</f>
        <v>3393.79796</v>
      </c>
      <c r="C43" s="70">
        <f>IF(OR(5063.04358="",3393.79796=""),"-",3393.79796/5063.04358*100)</f>
        <v>67.03078704291934</v>
      </c>
      <c r="D43" s="70">
        <f>IF(5063.04358="","-",5063.04358/3904696.37575*100)</f>
        <v>0.12966548721800444</v>
      </c>
      <c r="E43" s="70">
        <f>IF(3393.79796="","-",3393.79796/4722022.55771*100)</f>
        <v>0.07187170155421413</v>
      </c>
      <c r="F43" s="70">
        <f>IF(OR(3275429.97191="",2333.21632="",5063.04358=""),"-",(5063.04358-2333.21632)/3275429.97191*100)</f>
        <v>0.08334256214942544</v>
      </c>
      <c r="G43" s="70">
        <f>IF(OR(3904696.37575="",3393.79796="",5063.04358=""),"-",(3393.79796-5063.04358)/3904696.37575*100)</f>
        <v>-0.042749690612740074</v>
      </c>
    </row>
    <row r="44" spans="1:7" s="11" customFormat="1" ht="15.75">
      <c r="A44" s="22" t="s">
        <v>16</v>
      </c>
      <c r="B44" s="70">
        <f>IF(844.31945="","-",844.31945)</f>
        <v>844.31945</v>
      </c>
      <c r="C44" s="70" t="s">
        <v>156</v>
      </c>
      <c r="D44" s="70">
        <f>IF(467.46217="","-",467.46217/3904696.37575*100)</f>
        <v>0.011971793067014373</v>
      </c>
      <c r="E44" s="70">
        <f>IF(844.31945="","-",844.31945/4722022.55771*100)</f>
        <v>0.017880462019848175</v>
      </c>
      <c r="F44" s="70">
        <f>IF(OR(3275429.97191="",267.12121="",467.46217=""),"-",(467.46217-267.12121)/3275429.97191*100)</f>
        <v>0.006116478194255983</v>
      </c>
      <c r="G44" s="70">
        <f>IF(OR(3904696.37575="",844.31945="",467.46217=""),"-",(844.31945-467.46217)/3904696.37575*100)</f>
        <v>0.009651384992197108</v>
      </c>
    </row>
    <row r="45" spans="1:7" s="11" customFormat="1" ht="15.75">
      <c r="A45" s="22" t="s">
        <v>13</v>
      </c>
      <c r="B45" s="70">
        <f>IF(481.92602="","-",481.92602)</f>
        <v>481.92602</v>
      </c>
      <c r="C45" s="70" t="s">
        <v>267</v>
      </c>
      <c r="D45" s="70">
        <f>IF(141.24066="","-",141.24066/3904696.37575*100)</f>
        <v>0.0036171995568508447</v>
      </c>
      <c r="E45" s="70">
        <f>IF(481.92602="","-",481.92602/4722022.55771*100)</f>
        <v>0.010205923714047558</v>
      </c>
      <c r="F45" s="70">
        <f>IF(OR(3275429.97191="",590.97024="",141.24066=""),"-",(141.24066-590.97024)/3275429.97191*100)</f>
        <v>-0.013730398263949128</v>
      </c>
      <c r="G45" s="70">
        <f>IF(OR(3904696.37575="",481.92602="",141.24066=""),"-",(481.92602-141.24066)/3904696.37575*100)</f>
        <v>0.008725015397248714</v>
      </c>
    </row>
    <row r="46" spans="1:7" s="11" customFormat="1" ht="15.75">
      <c r="A46" s="22" t="s">
        <v>263</v>
      </c>
      <c r="B46" s="70">
        <f>IF(230.70813="","-",230.70813)</f>
        <v>230.70813</v>
      </c>
      <c r="C46" s="70" t="s">
        <v>230</v>
      </c>
      <c r="D46" s="70">
        <f>IF(95.42623="","-",95.42623/3904696.37575*100)</f>
        <v>0.002443883488422858</v>
      </c>
      <c r="E46" s="70">
        <f>IF(230.70813="","-",230.70813/4722022.55771*100)</f>
        <v>0.004885790509901431</v>
      </c>
      <c r="F46" s="70">
        <f>IF(OR(3275429.97191="",90.57511="",95.42623=""),"-",(95.42623-90.57511)/3275429.97191*100)</f>
        <v>0.0001481063567715715</v>
      </c>
      <c r="G46" s="70">
        <f>IF(OR(3904696.37575="",230.70813="",95.42623=""),"-",(230.70813-95.42623)/3904696.37575*100)</f>
        <v>0.003464594605618101</v>
      </c>
    </row>
    <row r="47" spans="1:7" s="11" customFormat="1" ht="15.75">
      <c r="A47" s="22" t="s">
        <v>17</v>
      </c>
      <c r="B47" s="70">
        <f>IF(0.2736="","-",0.2736)</f>
        <v>0.2736</v>
      </c>
      <c r="C47" s="70">
        <f>IF(OR(2.62776="",0.2736=""),"-",0.2736/2.62776*100)</f>
        <v>10.411909763448717</v>
      </c>
      <c r="D47" s="70">
        <f>IF(2.62776="","-",2.62776/3904696.37575*100)</f>
        <v>6.729742205615844E-05</v>
      </c>
      <c r="E47" s="70">
        <f>IF(0.2736="","-",0.2736/4722022.55771*100)</f>
        <v>5.7941273396348515E-06</v>
      </c>
      <c r="F47" s="70">
        <f>IF(OR(3275429.97191="",1.43165="",2.62776=""),"-",(2.62776-1.43165)/3275429.97191*100)</f>
        <v>3.65176483777033E-05</v>
      </c>
      <c r="G47" s="70">
        <f>IF(OR(3904696.37575="",0.2736="",2.62776=""),"-",(0.2736-2.62776)/3904696.37575*100)</f>
        <v>-6.029047519854399E-05</v>
      </c>
    </row>
    <row r="48" spans="1:7" s="11" customFormat="1" ht="15.75">
      <c r="A48" s="58" t="s">
        <v>215</v>
      </c>
      <c r="B48" s="63">
        <f>IF(1200284.80209="","-",1200284.80209)</f>
        <v>1200284.80209</v>
      </c>
      <c r="C48" s="63">
        <f>IF(995243.55767="","-",1200284.80209/995243.55767*100)</f>
        <v>120.60211722445399</v>
      </c>
      <c r="D48" s="63">
        <f>IF(995243.55767="","-",995243.55767/3904696.37575*100)</f>
        <v>25.488372510880243</v>
      </c>
      <c r="E48" s="63">
        <f>IF(1200284.80209="","-",1200284.80209/4722022.55771*100)</f>
        <v>25.4188705670244</v>
      </c>
      <c r="F48" s="63">
        <f>IF(3275429.97191="","-",(995243.55767-821909.80072)/3275429.97191*100)</f>
        <v>5.291939025914327</v>
      </c>
      <c r="G48" s="63">
        <f>IF(3904696.37575="","-",(1200284.80209-995243.55767)/3904696.37575*100)</f>
        <v>5.251144383297057</v>
      </c>
    </row>
    <row r="49" spans="1:7" s="11" customFormat="1" ht="15.75">
      <c r="A49" s="22" t="s">
        <v>106</v>
      </c>
      <c r="B49" s="65">
        <f>IF(495273.09123="","-",495273.09123)</f>
        <v>495273.09123</v>
      </c>
      <c r="C49" s="65">
        <f>IF(OR(404590.48727="",495273.09123=""),"-",495273.09123/404590.48727*100)</f>
        <v>122.41342958206623</v>
      </c>
      <c r="D49" s="65">
        <f>IF(404590.48727="","-",404590.48727/3904696.37575*100)</f>
        <v>10.361637585516178</v>
      </c>
      <c r="E49" s="65">
        <f>IF(495273.09123="","-",495273.09123/4722022.55771*100)</f>
        <v>10.488579526612606</v>
      </c>
      <c r="F49" s="65">
        <f>IF(OR(3275429.97191="",314434.5438="",404590.48727=""),"-",(404590.48727-314434.5438)/3275429.97191*100)</f>
        <v>2.7524918634553317</v>
      </c>
      <c r="G49" s="65">
        <f>IF(OR(3904696.37575="",495273.09123="",404590.48727=""),"-",(495273.09123-404590.48727)/3904696.37575*100)</f>
        <v>2.3223983437785747</v>
      </c>
    </row>
    <row r="50" spans="1:7" s="11" customFormat="1" ht="15.75">
      <c r="A50" s="22" t="s">
        <v>103</v>
      </c>
      <c r="B50" s="65">
        <f>IF(273545.13613="","-",273545.13613)</f>
        <v>273545.13613</v>
      </c>
      <c r="C50" s="65">
        <f>IF(OR(246254.26519="",273545.13613=""),"-",273545.13613/246254.26519*100)</f>
        <v>111.08239523037031</v>
      </c>
      <c r="D50" s="65">
        <f>IF(246254.26519="","-",246254.26519/3904696.37575*100)</f>
        <v>6.306617506020563</v>
      </c>
      <c r="E50" s="65">
        <f>IF(273545.13613="","-",273545.13613/4722022.55771*100)</f>
        <v>5.792965467379277</v>
      </c>
      <c r="F50" s="65">
        <f>IF(OR(3275429.97191="",222221.05595="",246254.26519=""),"-",(246254.26519-222221.05595)/3275429.97191*100)</f>
        <v>0.7337421177099849</v>
      </c>
      <c r="G50" s="65">
        <f>IF(OR(3904696.37575="",273545.13613="",246254.26519=""),"-",(273545.13613-246254.26519)/3904696.37575*100)</f>
        <v>0.6989242776849214</v>
      </c>
    </row>
    <row r="51" spans="1:7" s="11" customFormat="1" ht="15.75">
      <c r="A51" s="22" t="s">
        <v>18</v>
      </c>
      <c r="B51" s="65">
        <f>IF(64070.55329="","-",64070.55329)</f>
        <v>64070.55329</v>
      </c>
      <c r="C51" s="65">
        <f>IF(OR(59500.28458="",64070.55329=""),"-",64070.55329/59500.28458*100)</f>
        <v>107.68108714481043</v>
      </c>
      <c r="D51" s="65">
        <f>IF(59500.28458="","-",59500.28458/3904696.37575*100)</f>
        <v>1.523813348190777</v>
      </c>
      <c r="E51" s="65">
        <f>IF(64070.55329="","-",64070.55329/4722022.55771*100)</f>
        <v>1.3568455573213476</v>
      </c>
      <c r="F51" s="65">
        <f>IF(OR(3275429.97191="",44481.80632="",59500.28458=""),"-",(59500.28458-44481.80632)/3275429.97191*100)</f>
        <v>0.4585192902549609</v>
      </c>
      <c r="G51" s="65">
        <f>IF(OR(3904696.37575="",64070.55329="",59500.28458=""),"-",(64070.55329-59500.28458)/3904696.37575*100)</f>
        <v>0.1170454311987872</v>
      </c>
    </row>
    <row r="52" spans="1:7" s="11" customFormat="1" ht="15.75">
      <c r="A52" s="22" t="s">
        <v>124</v>
      </c>
      <c r="B52" s="65">
        <f>IF(45197.09215="","-",45197.09215)</f>
        <v>45197.09215</v>
      </c>
      <c r="C52" s="71" t="s">
        <v>286</v>
      </c>
      <c r="D52" s="65">
        <f>IF(29363.67678="","-",29363.67678/3904696.37575*100)</f>
        <v>0.7520092205468839</v>
      </c>
      <c r="E52" s="65">
        <f>IF(45197.09215="","-",45197.09215/4722022.55771*100)</f>
        <v>0.9571553629324221</v>
      </c>
      <c r="F52" s="65">
        <f>IF(OR(3275429.97191="",22502.35706="",29363.67678=""),"-",(29363.67678-22502.35706)/3275429.97191*100)</f>
        <v>0.20947844340567495</v>
      </c>
      <c r="G52" s="65">
        <f>IF(OR(3904696.37575="",45197.09215="",29363.67678=""),"-",(45197.09215-29363.67678)/3904696.37575*100)</f>
        <v>0.4054967107899336</v>
      </c>
    </row>
    <row r="53" spans="1:7" s="11" customFormat="1" ht="15.75">
      <c r="A53" s="22" t="s">
        <v>84</v>
      </c>
      <c r="B53" s="65">
        <f>IF(33320.00717="","-",33320.00717)</f>
        <v>33320.00717</v>
      </c>
      <c r="C53" s="65">
        <f>IF(OR(22490.49784="",33320.00717=""),"-",33320.00717/22490.49784*100)</f>
        <v>148.15148782851486</v>
      </c>
      <c r="D53" s="65">
        <f>IF(22490.49784="","-",22490.49784/3904696.37575*100)</f>
        <v>0.5759858302857186</v>
      </c>
      <c r="E53" s="65">
        <f>IF(33320.00717="","-",33320.00717/4722022.55771*100)</f>
        <v>0.7056299872095257</v>
      </c>
      <c r="F53" s="65">
        <f>IF(OR(3275429.97191="",18602.69157="",22490.49784=""),"-",(22490.49784-18602.69157)/3275429.97191*100)</f>
        <v>0.11869605832949336</v>
      </c>
      <c r="G53" s="65">
        <f>IF(OR(3904696.37575="",33320.00717="",22490.49784=""),"-",(33320.00717-22490.49784)/3904696.37575*100)</f>
        <v>0.277345746963998</v>
      </c>
    </row>
    <row r="54" spans="1:7" s="11" customFormat="1" ht="15.75">
      <c r="A54" s="22" t="s">
        <v>120</v>
      </c>
      <c r="B54" s="65">
        <f>IF(30563.09884="","-",30563.09884)</f>
        <v>30563.09884</v>
      </c>
      <c r="C54" s="65">
        <f>IF(OR(29598.58152="",30563.09884=""),"-",30563.09884/29598.58152*100)</f>
        <v>103.25866061976068</v>
      </c>
      <c r="D54" s="65">
        <f>IF(29598.58152="","-",29598.58152/3904696.37575*100)</f>
        <v>0.7580251746031037</v>
      </c>
      <c r="E54" s="65">
        <f>IF(30563.09884="","-",30563.09884/4722022.55771*100)</f>
        <v>0.647245930456163</v>
      </c>
      <c r="F54" s="65">
        <f>IF(OR(3275429.97191="",16706.65045="",29598.58152=""),"-",(29598.58152-16706.65045)/3275429.97191*100)</f>
        <v>0.3935950754728648</v>
      </c>
      <c r="G54" s="65">
        <f>IF(OR(3904696.37575="",30563.09884="",29598.58152=""),"-",(30563.09884-29598.58152)/3904696.37575*100)</f>
        <v>0.024701467852663396</v>
      </c>
    </row>
    <row r="55" spans="1:7" s="11" customFormat="1" ht="15.75">
      <c r="A55" s="22" t="s">
        <v>210</v>
      </c>
      <c r="B55" s="65">
        <f>IF(27759.73335="","-",27759.73335)</f>
        <v>27759.73335</v>
      </c>
      <c r="C55" s="65">
        <f>IF(OR(24273.90264="",27759.73335=""),"-",27759.73335/24273.90264*100)</f>
        <v>114.36040492415849</v>
      </c>
      <c r="D55" s="65">
        <f>IF(24273.90264="","-",24273.90264/3904696.37575*100)</f>
        <v>0.6216591587185202</v>
      </c>
      <c r="E55" s="65">
        <f>IF(27759.73335="","-",27759.73335/4722022.55771*100)</f>
        <v>0.5878780334218141</v>
      </c>
      <c r="F55" s="65">
        <f>IF(OR(3275429.97191="",23464.58497="",24273.90264=""),"-",(24273.90264-23464.58497)/3275429.97191*100)</f>
        <v>0.0247087459338373</v>
      </c>
      <c r="G55" s="65">
        <f>IF(OR(3904696.37575="",27759.73335="",24273.90264=""),"-",(27759.73335-24273.90264)/3904696.37575*100)</f>
        <v>0.08927277244009664</v>
      </c>
    </row>
    <row r="56" spans="1:7" s="11" customFormat="1" ht="15.75">
      <c r="A56" s="22" t="s">
        <v>117</v>
      </c>
      <c r="B56" s="65">
        <f>IF(24763.61438="","-",24763.61438)</f>
        <v>24763.61438</v>
      </c>
      <c r="C56" s="65">
        <f>IF(OR(22485.03872="",24763.61438=""),"-",24763.61438/22485.03872*100)</f>
        <v>110.13374132183837</v>
      </c>
      <c r="D56" s="65">
        <f>IF(22485.03872="","-",22485.03872/3904696.37575*100)</f>
        <v>0.5758460212077604</v>
      </c>
      <c r="E56" s="65">
        <f>IF(24763.61438="","-",24763.61438/4722022.55771*100)</f>
        <v>0.5244281253922981</v>
      </c>
      <c r="F56" s="65">
        <f>IF(OR(3275429.97191="",19469.3763="",22485.03872=""),"-",(22485.03872-19469.3763)/3275429.97191*100)</f>
        <v>0.09206920758075249</v>
      </c>
      <c r="G56" s="65">
        <f>IF(OR(3904696.37575="",24763.61438="",22485.03872=""),"-",(24763.61438-22485.03872)/3904696.37575*100)</f>
        <v>0.058354746201293</v>
      </c>
    </row>
    <row r="57" spans="1:7" s="11" customFormat="1" ht="15.75">
      <c r="A57" s="22" t="s">
        <v>114</v>
      </c>
      <c r="B57" s="65">
        <f>IF(23610.64843="","-",23610.64843)</f>
        <v>23610.64843</v>
      </c>
      <c r="C57" s="71" t="s">
        <v>203</v>
      </c>
      <c r="D57" s="65">
        <f>IF(14529.91193="","-",14529.91193/3904696.37575*100)</f>
        <v>0.37211374539228154</v>
      </c>
      <c r="E57" s="65">
        <f>IF(23610.64843="","-",23610.64843/4722022.55771*100)</f>
        <v>0.5000113434750354</v>
      </c>
      <c r="F57" s="65">
        <f>IF(OR(3275429.97191="",14936.14712="",14529.91193=""),"-",(14529.91193-14936.14712)/3275429.97191*100)</f>
        <v>-0.012402499625510592</v>
      </c>
      <c r="G57" s="65">
        <f>IF(OR(3904696.37575="",23610.64843="",14529.91193=""),"-",(23610.64843-14529.91193)/3904696.37575*100)</f>
        <v>0.23255934972039422</v>
      </c>
    </row>
    <row r="58" spans="1:7" s="11" customFormat="1" ht="15.75">
      <c r="A58" s="22" t="s">
        <v>118</v>
      </c>
      <c r="B58" s="65">
        <f>IF(16698.12597="","-",16698.12597)</f>
        <v>16698.12597</v>
      </c>
      <c r="C58" s="65">
        <f>IF(OR(15665.6689="",16698.12597=""),"-",16698.12597/15665.6689*100)</f>
        <v>106.59057124589171</v>
      </c>
      <c r="D58" s="65">
        <f>IF(15665.6689="","-",15665.6689/3904696.37575*100)</f>
        <v>0.40120069251200086</v>
      </c>
      <c r="E58" s="65">
        <f>IF(16698.12597="","-",16698.12597/4722022.55771*100)</f>
        <v>0.3536223253049844</v>
      </c>
      <c r="F58" s="65">
        <f>IF(OR(3275429.97191="",11920.02183="",15665.6689=""),"-",(15665.6689-11920.02183)/3275429.97191*100)</f>
        <v>0.11435588921523496</v>
      </c>
      <c r="G58" s="65">
        <f>IF(OR(3904696.37575="",16698.12597="",15665.6689=""),"-",(16698.12597-15665.6689)/3904696.37575*100)</f>
        <v>0.02644141747901435</v>
      </c>
    </row>
    <row r="59" spans="1:7" s="11" customFormat="1" ht="15.75">
      <c r="A59" s="22" t="s">
        <v>129</v>
      </c>
      <c r="B59" s="65">
        <f>IF(12091.40942="","-",12091.40942)</f>
        <v>12091.40942</v>
      </c>
      <c r="C59" s="65">
        <f>IF(OR(9982.6264="",12091.40942=""),"-",12091.40942/9982.6264*100)</f>
        <v>121.12453111537862</v>
      </c>
      <c r="D59" s="65">
        <f>IF(9982.6264="","-",9982.6264/3904696.37575*100)</f>
        <v>0.255656917705479</v>
      </c>
      <c r="E59" s="65">
        <f>IF(12091.40942="","-",12091.40942/4722022.55771*100)</f>
        <v>0.25606420283311543</v>
      </c>
      <c r="F59" s="65">
        <f>IF(OR(3275429.97191="",7934.70842="",9982.6264=""),"-",(9982.6264-7934.70842)/3275429.97191*100)</f>
        <v>0.06252363804333749</v>
      </c>
      <c r="G59" s="65">
        <f>IF(OR(3904696.37575="",12091.40942="",9982.6264=""),"-",(12091.40942-9982.6264)/3904696.37575*100)</f>
        <v>0.05400632512931184</v>
      </c>
    </row>
    <row r="60" spans="1:7" s="11" customFormat="1" ht="15.75">
      <c r="A60" s="22" t="s">
        <v>109</v>
      </c>
      <c r="B60" s="65">
        <f>IF(11209.08253="","-",11209.08253)</f>
        <v>11209.08253</v>
      </c>
      <c r="C60" s="65">
        <f>IF(OR(7521.44771="",11209.08253=""),"-",11209.08253/7521.44771*100)</f>
        <v>149.028258417554</v>
      </c>
      <c r="D60" s="65">
        <f>IF(7521.44771="","-",7521.44771/3904696.37575*100)</f>
        <v>0.19262567396306987</v>
      </c>
      <c r="E60" s="65">
        <f>IF(11209.08253="","-",11209.08253/4722022.55771*100)</f>
        <v>0.23737884334538153</v>
      </c>
      <c r="F60" s="65">
        <f>IF(OR(3275429.97191="",9783.93602="",7521.44771=""),"-",(7521.44771-9783.93602)/3275429.97191*100)</f>
        <v>-0.06907454378213053</v>
      </c>
      <c r="G60" s="65">
        <f>IF(OR(3904696.37575="",11209.08253="",7521.44771=""),"-",(11209.08253-7521.44771)/3904696.37575*100)</f>
        <v>0.09444101320916896</v>
      </c>
    </row>
    <row r="61" spans="1:7" s="11" customFormat="1" ht="15.75">
      <c r="A61" s="22" t="s">
        <v>133</v>
      </c>
      <c r="B61" s="65">
        <f>IF(9407.0144="","-",9407.0144)</f>
        <v>9407.0144</v>
      </c>
      <c r="C61" s="71" t="s">
        <v>166</v>
      </c>
      <c r="D61" s="65">
        <f>IF(4179.17663="","-",4179.17663/3904696.37575*100)</f>
        <v>0.10702949033258133</v>
      </c>
      <c r="E61" s="65">
        <f>IF(9407.0144="","-",9407.0144/4722022.55771*100)</f>
        <v>0.1992157869860334</v>
      </c>
      <c r="F61" s="65">
        <f>IF(OR(3275429.97191="",3288.23436="",4179.17663=""),"-",(4179.17663-3288.23436)/3275429.97191*100)</f>
        <v>0.02720077295624383</v>
      </c>
      <c r="G61" s="65">
        <f>IF(OR(3904696.37575="",9407.0144="",4179.17663=""),"-",(9407.0144-4179.17663)/3904696.37575*100)</f>
        <v>0.13388589705635834</v>
      </c>
    </row>
    <row r="62" spans="1:7" s="11" customFormat="1" ht="15.75">
      <c r="A62" s="22" t="s">
        <v>119</v>
      </c>
      <c r="B62" s="65">
        <f>IF(9238.03645="","-",9238.03645)</f>
        <v>9238.03645</v>
      </c>
      <c r="C62" s="65">
        <f>IF(OR(7447.14657="",9238.03645=""),"-",9238.03645/7447.14657*100)</f>
        <v>124.04800097817868</v>
      </c>
      <c r="D62" s="65">
        <f>IF(7447.14657="","-",7447.14657/3904696.37575*100)</f>
        <v>0.19072280795634405</v>
      </c>
      <c r="E62" s="65">
        <f>IF(9238.03645="","-",9238.03645/4722022.55771*100)</f>
        <v>0.19563727909169695</v>
      </c>
      <c r="F62" s="65">
        <f>IF(OR(3275429.97191="",4842.81695="",7447.14657=""),"-",(7447.14657-4842.81695)/3275429.97191*100)</f>
        <v>0.07951107617426295</v>
      </c>
      <c r="G62" s="65">
        <f>IF(OR(3904696.37575="",9238.03645="",7447.14657=""),"-",(9238.03645-7447.14657)/3904696.37575*100)</f>
        <v>0.04586502272295146</v>
      </c>
    </row>
    <row r="63" spans="1:7" s="11" customFormat="1" ht="15.75">
      <c r="A63" s="22" t="s">
        <v>108</v>
      </c>
      <c r="B63" s="65">
        <f>IF(8092.48446="","-",8092.48446)</f>
        <v>8092.48446</v>
      </c>
      <c r="C63" s="65">
        <f>IF(OR(7382.70331="",8092.48446=""),"-",8092.48446/7382.70331*100)</f>
        <v>109.6141090898044</v>
      </c>
      <c r="D63" s="65">
        <f>IF(7382.70331="","-",7382.70331/3904696.37575*100)</f>
        <v>0.18907240408883155</v>
      </c>
      <c r="E63" s="65">
        <f>IF(8092.48446="","-",8092.48446/4722022.55771*100)</f>
        <v>0.17137750531891877</v>
      </c>
      <c r="F63" s="65">
        <f>IF(OR(3275429.97191="",5132.22506="",7382.70331=""),"-",(7382.70331-5132.22506)/3275429.97191*100)</f>
        <v>0.06870787253276796</v>
      </c>
      <c r="G63" s="65">
        <f>IF(OR(3904696.37575="",8092.48446="",7382.70331=""),"-",(8092.48446-7382.70331)/3904696.37575*100)</f>
        <v>0.018177627187816046</v>
      </c>
    </row>
    <row r="64" spans="1:7" s="11" customFormat="1" ht="15.75">
      <c r="A64" s="22" t="s">
        <v>132</v>
      </c>
      <c r="B64" s="65">
        <f>IF(7959.11977="","-",7959.11977)</f>
        <v>7959.11977</v>
      </c>
      <c r="C64" s="65">
        <f>IF(OR(6126.01462="",7959.11977=""),"-",7959.11977/6126.01462*100)</f>
        <v>129.92329048669492</v>
      </c>
      <c r="D64" s="65">
        <f>IF(6126.01462="","-",6126.01462/3904696.37575*100)</f>
        <v>0.15688837314074996</v>
      </c>
      <c r="E64" s="65">
        <f>IF(7959.11977="","-",7959.11977/4722022.55771*100)</f>
        <v>0.16855319246632036</v>
      </c>
      <c r="F64" s="65">
        <f>IF(OR(3275429.97191="",4104.90728="",6126.01462=""),"-",(6126.01462-4104.90728)/3275429.97191*100)</f>
        <v>0.06170510001230258</v>
      </c>
      <c r="G64" s="65">
        <f>IF(OR(3904696.37575="",7959.11977="",6126.01462=""),"-",(7959.11977-6126.01462)/3904696.37575*100)</f>
        <v>0.04694616363475647</v>
      </c>
    </row>
    <row r="65" spans="1:7" s="11" customFormat="1" ht="15.75">
      <c r="A65" s="22" t="s">
        <v>116</v>
      </c>
      <c r="B65" s="65">
        <f>IF(7076.08494="","-",7076.08494)</f>
        <v>7076.08494</v>
      </c>
      <c r="C65" s="65">
        <f>IF(OR(4953.81424="",7076.08494=""),"-",7076.08494/4953.81424*100)</f>
        <v>142.84114416046413</v>
      </c>
      <c r="D65" s="65">
        <f>IF(4953.81424="","-",4953.81424/3904696.37575*100)</f>
        <v>0.1268681035167168</v>
      </c>
      <c r="E65" s="65">
        <f>IF(7076.08494="","-",7076.08494/4722022.55771*100)</f>
        <v>0.14985284067409516</v>
      </c>
      <c r="F65" s="65">
        <f>IF(OR(3275429.97191="",3160.11503="",4953.81424=""),"-",(4953.81424-3160.11503)/3275429.97191*100)</f>
        <v>0.054762251838162204</v>
      </c>
      <c r="G65" s="65">
        <f>IF(OR(3904696.37575="",7076.08494="",4953.81424=""),"-",(7076.08494-4953.81424)/3904696.37575*100)</f>
        <v>0.05435174712124351</v>
      </c>
    </row>
    <row r="66" spans="1:7" s="11" customFormat="1" ht="15.75">
      <c r="A66" s="22" t="s">
        <v>126</v>
      </c>
      <c r="B66" s="65">
        <f>IF(6616.313="","-",6616.313)</f>
        <v>6616.313</v>
      </c>
      <c r="C66" s="65">
        <f>IF(OR(5923.97744="",6616.313=""),"-",6616.313/5923.97744*100)</f>
        <v>111.6870053441662</v>
      </c>
      <c r="D66" s="65">
        <f>IF(5923.97744="","-",5923.97744/3904696.37575*100)</f>
        <v>0.15171416340565386</v>
      </c>
      <c r="E66" s="65">
        <f>IF(6616.313="","-",6616.313/4722022.55771*100)</f>
        <v>0.14011608202076567</v>
      </c>
      <c r="F66" s="65">
        <f>IF(OR(3275429.97191="",4891.95291="",5923.97744=""),"-",(5923.97744-4891.95291)/3275429.97191*100)</f>
        <v>0.03150806272308108</v>
      </c>
      <c r="G66" s="65">
        <f>IF(OR(3904696.37575="",6616.313="",5923.97744=""),"-",(6616.313-5923.97744)/3904696.37575*100)</f>
        <v>0.01773084238507582</v>
      </c>
    </row>
    <row r="67" spans="1:7" s="11" customFormat="1" ht="15.75">
      <c r="A67" s="22" t="s">
        <v>110</v>
      </c>
      <c r="B67" s="65">
        <f>IF(6406.62611="","-",6406.62611)</f>
        <v>6406.62611</v>
      </c>
      <c r="C67" s="65">
        <f>IF(OR(7700.96159="",6406.62611=""),"-",6406.62611/7700.96159*100)</f>
        <v>83.19254725694587</v>
      </c>
      <c r="D67" s="65">
        <f>IF(7700.96159="","-",7700.96159/3904696.37575*100)</f>
        <v>0.19722305779846525</v>
      </c>
      <c r="E67" s="65">
        <f>IF(6406.62611="","-",6406.62611/4722022.55771*100)</f>
        <v>0.13567546600427438</v>
      </c>
      <c r="F67" s="65">
        <f>IF(OR(3275429.97191="",4438.88383="",7700.96159=""),"-",(7700.96159-4438.88383)/3275429.97191*100)</f>
        <v>0.09959235239267797</v>
      </c>
      <c r="G67" s="65">
        <f>IF(OR(3904696.37575="",6406.62611="",7700.96159=""),"-",(6406.62611-7700.96159)/3904696.37575*100)</f>
        <v>-0.033148172237883376</v>
      </c>
    </row>
    <row r="68" spans="1:7" s="11" customFormat="1" ht="15.75">
      <c r="A68" s="22" t="s">
        <v>130</v>
      </c>
      <c r="B68" s="65">
        <f>IF(5553.28023="","-",5553.28023)</f>
        <v>5553.28023</v>
      </c>
      <c r="C68" s="65">
        <f>IF(OR(6421.90492="",5553.28023=""),"-",5553.28023/6421.90492*100)</f>
        <v>86.4740337824871</v>
      </c>
      <c r="D68" s="65">
        <f>IF(6421.90492="","-",6421.90492/3904696.37575*100)</f>
        <v>0.16446617872475433</v>
      </c>
      <c r="E68" s="65">
        <f>IF(5553.28023="","-",5553.28023/4722022.55771*100)</f>
        <v>0.11760384797257573</v>
      </c>
      <c r="F68" s="65">
        <f>IF(OR(3275429.97191="",4741.57517="",6421.90492=""),"-",(6421.90492-4741.57517)/3275429.97191*100)</f>
        <v>0.05130104335645894</v>
      </c>
      <c r="G68" s="65">
        <f>IF(OR(3904696.37575="",5553.28023="",6421.90492=""),"-",(5553.28023-6421.90492)/3904696.37575*100)</f>
        <v>-0.022245639773544677</v>
      </c>
    </row>
    <row r="69" spans="1:7" s="11" customFormat="1" ht="15.75">
      <c r="A69" s="22" t="s">
        <v>135</v>
      </c>
      <c r="B69" s="65">
        <f>IF(5082.68518="","-",5082.68518)</f>
        <v>5082.68518</v>
      </c>
      <c r="C69" s="71" t="s">
        <v>203</v>
      </c>
      <c r="D69" s="65">
        <f>IF(3277.25564="","-",3277.25564/3904696.37575*100)</f>
        <v>0.08393112612681738</v>
      </c>
      <c r="E69" s="65">
        <f>IF(5082.68518="","-",5082.68518/4722022.55771*100)</f>
        <v>0.10763788435743746</v>
      </c>
      <c r="F69" s="65">
        <f>IF(OR(3275429.97191="",2611.53294="",3277.25564=""),"-",(3277.25564-2611.53294)/3275429.97191*100)</f>
        <v>0.020324742269235488</v>
      </c>
      <c r="G69" s="65">
        <f>IF(OR(3904696.37575="",5082.68518="",3277.25564=""),"-",(5082.68518-3277.25564)/3904696.37575*100)</f>
        <v>0.04623738611822846</v>
      </c>
    </row>
    <row r="70" spans="1:7" s="11" customFormat="1" ht="15.75">
      <c r="A70" s="22" t="s">
        <v>134</v>
      </c>
      <c r="B70" s="65">
        <f>IF(4857.54936="","-",4857.54936)</f>
        <v>4857.54936</v>
      </c>
      <c r="C70" s="65">
        <f>IF(OR(3350.07815="",4857.54936=""),"-",4857.54936/3350.07815*100)</f>
        <v>144.9980908654325</v>
      </c>
      <c r="D70" s="65">
        <f>IF(3350.07815="","-",3350.07815/3904696.37575*100)</f>
        <v>0.08579612414439083</v>
      </c>
      <c r="E70" s="65">
        <f>IF(4857.54936="","-",4857.54936/4722022.55771*100)</f>
        <v>0.10287010069591292</v>
      </c>
      <c r="F70" s="65">
        <f>IF(OR(3275429.97191="",2781.1154="",3350.07815=""),"-",(3350.07815-2781.1154)/3275429.97191*100)</f>
        <v>0.01737062782228315</v>
      </c>
      <c r="G70" s="65">
        <f>IF(OR(3904696.37575="",4857.54936="",3350.07815=""),"-",(4857.54936-3350.07815)/3904696.37575*100)</f>
        <v>0.03860661790151227</v>
      </c>
    </row>
    <row r="71" spans="1:7" s="11" customFormat="1" ht="15.75">
      <c r="A71" s="22" t="s">
        <v>113</v>
      </c>
      <c r="B71" s="65">
        <f>IF(4685.39125="","-",4685.39125)</f>
        <v>4685.39125</v>
      </c>
      <c r="C71" s="65">
        <f>IF(OR(4570.84182="",4685.39125=""),"-",4685.39125/4570.84182*100)</f>
        <v>102.50609044265724</v>
      </c>
      <c r="D71" s="65">
        <f>IF(4570.84182="","-",4570.84182/3904696.37575*100)</f>
        <v>0.11706010865241855</v>
      </c>
      <c r="E71" s="65">
        <f>IF(4685.39125="","-",4685.39125/4722022.55771*100)</f>
        <v>0.09922424538929425</v>
      </c>
      <c r="F71" s="65">
        <f>IF(OR(3275429.97191="",4004.54498="",4570.84182=""),"-",(4570.84182-4004.54498)/3275429.97191*100)</f>
        <v>0.017289236675995096</v>
      </c>
      <c r="G71" s="65">
        <f>IF(OR(3904696.37575="",4685.39125="",4570.84182=""),"-",(4685.39125-4570.84182)/3904696.37575*100)</f>
        <v>0.002933632195102437</v>
      </c>
    </row>
    <row r="72" spans="1:7" s="11" customFormat="1" ht="15.75">
      <c r="A72" s="22" t="s">
        <v>131</v>
      </c>
      <c r="B72" s="65">
        <f>IF(4394.17682="","-",4394.17682)</f>
        <v>4394.17682</v>
      </c>
      <c r="C72" s="65">
        <f>IF(OR(4748.72215="",4394.17682=""),"-",4394.17682/4748.72215*100)</f>
        <v>92.53387924580932</v>
      </c>
      <c r="D72" s="65">
        <f>IF(4748.72215="","-",4748.72215/3904696.37575*100)</f>
        <v>0.12161565696866461</v>
      </c>
      <c r="E72" s="65">
        <f>IF(4394.17682="","-",4394.17682/4722022.55771*100)</f>
        <v>0.09305709081853702</v>
      </c>
      <c r="F72" s="65">
        <f>IF(OR(3275429.97191="",5125.50097="",4748.72215=""),"-",(4748.72215-5125.50097)/3275429.97191*100)</f>
        <v>-0.01150318655050621</v>
      </c>
      <c r="G72" s="65">
        <f>IF(OR(3904696.37575="",4394.17682="",4748.72215=""),"-",(4394.17682-4748.72215)/3904696.37575*100)</f>
        <v>-0.009079971805282814</v>
      </c>
    </row>
    <row r="73" spans="1:7" s="11" customFormat="1" ht="15.75">
      <c r="A73" s="22" t="s">
        <v>123</v>
      </c>
      <c r="B73" s="65">
        <f>IF(4064.3796="","-",4064.3796)</f>
        <v>4064.3796</v>
      </c>
      <c r="C73" s="71" t="s">
        <v>165</v>
      </c>
      <c r="D73" s="65">
        <f>IF(1393.03457="","-",1393.03457/3904696.37575*100)</f>
        <v>0.03567587427927558</v>
      </c>
      <c r="E73" s="65">
        <f>IF(4064.3796="","-",4064.3796/4722022.55771*100)</f>
        <v>0.0860728543823617</v>
      </c>
      <c r="F73" s="65">
        <f>IF(OR(3275429.97191="",808.96656="",1393.03457=""),"-",(1393.03457-808.96656)/3275429.97191*100)</f>
        <v>0.017831796588812822</v>
      </c>
      <c r="G73" s="65">
        <f>IF(OR(3904696.37575="",4064.3796="",1393.03457=""),"-",(4064.3796-1393.03457)/3904696.37575*100)</f>
        <v>0.06841364277617867</v>
      </c>
    </row>
    <row r="74" spans="1:7" s="11" customFormat="1" ht="15.75">
      <c r="A74" s="22" t="s">
        <v>86</v>
      </c>
      <c r="B74" s="65">
        <f>IF(3902.26905="","-",3902.26905)</f>
        <v>3902.26905</v>
      </c>
      <c r="C74" s="71" t="s">
        <v>157</v>
      </c>
      <c r="D74" s="65">
        <f>IF(2255.22414="","-",2255.22414/3904696.37575*100)</f>
        <v>0.057756709433440245</v>
      </c>
      <c r="E74" s="65">
        <f>IF(3902.26905="","-",3902.26905/4722022.55771*100)</f>
        <v>0.08263977993134473</v>
      </c>
      <c r="F74" s="65">
        <f>IF(OR(3275429.97191="",2652.5535="",2255.22414=""),"-",(2255.22414-2652.5535)/3275429.97191*100)</f>
        <v>-0.012130601582310907</v>
      </c>
      <c r="G74" s="65">
        <f>IF(OR(3904696.37575="",3902.26905="",2255.22414=""),"-",(3902.26905-2255.22414)/3904696.37575*100)</f>
        <v>0.04218112630290343</v>
      </c>
    </row>
    <row r="75" spans="1:7" s="11" customFormat="1" ht="15.75">
      <c r="A75" s="22" t="s">
        <v>138</v>
      </c>
      <c r="B75" s="65">
        <f>IF(3840.02526="","-",3840.02526)</f>
        <v>3840.02526</v>
      </c>
      <c r="C75" s="71" t="s">
        <v>166</v>
      </c>
      <c r="D75" s="65">
        <f>IF(1689.63705="","-",1689.63705/3904696.37575*100)</f>
        <v>0.04327191892546218</v>
      </c>
      <c r="E75" s="65">
        <f>IF(3840.02526="","-",3840.02526/4722022.55771*100)</f>
        <v>0.08132162040882465</v>
      </c>
      <c r="F75" s="65">
        <f>IF(OR(3275429.97191="",1230.5254="",1689.63705=""),"-",(1689.63705-1230.5254)/3275429.97191*100)</f>
        <v>0.014016836077624292</v>
      </c>
      <c r="G75" s="65">
        <f>IF(OR(3904696.37575="",3840.02526="",1689.63705=""),"-",(3840.02526-1689.63705)/3904696.37575*100)</f>
        <v>0.05507184177891324</v>
      </c>
    </row>
    <row r="76" spans="1:7" s="11" customFormat="1" ht="15.75">
      <c r="A76" s="22" t="s">
        <v>112</v>
      </c>
      <c r="B76" s="65">
        <f>IF(3823.45189="","-",3823.45189)</f>
        <v>3823.45189</v>
      </c>
      <c r="C76" s="65">
        <f>IF(OR(6390.51933="",3823.45189=""),"-",3823.45189/6390.51933*100)</f>
        <v>59.83006532897851</v>
      </c>
      <c r="D76" s="65">
        <f>IF(6390.51933="","-",6390.51933/3904696.37575*100)</f>
        <v>0.16366238793080376</v>
      </c>
      <c r="E76" s="65">
        <f>IF(3823.45189="","-",3823.45189/4722022.55771*100)</f>
        <v>0.08097064008635797</v>
      </c>
      <c r="F76" s="65">
        <f>IF(OR(3275429.97191="",4983.23765="",6390.51933=""),"-",(6390.51933-4983.23765)/3275429.97191*100)</f>
        <v>0.04296479216679368</v>
      </c>
      <c r="G76" s="65">
        <f>IF(OR(3904696.37575="",3823.45189="",6390.51933=""),"-",(3823.45189-6390.51933)/3904696.37575*100)</f>
        <v>-0.06574307431283763</v>
      </c>
    </row>
    <row r="77" spans="1:7" s="11" customFormat="1" ht="15.75">
      <c r="A77" s="22" t="s">
        <v>122</v>
      </c>
      <c r="B77" s="65">
        <f>IF(3809.12145="","-",3809.12145)</f>
        <v>3809.12145</v>
      </c>
      <c r="C77" s="71" t="s">
        <v>203</v>
      </c>
      <c r="D77" s="65">
        <f>IF(2360.074="","-",2360.074/3904696.37575*100)</f>
        <v>0.06044193383785661</v>
      </c>
      <c r="E77" s="65">
        <f>IF(3809.12145="","-",3809.12145/4722022.55771*100)</f>
        <v>0.08066715911343036</v>
      </c>
      <c r="F77" s="65">
        <f>IF(OR(3275429.97191="",1688.32043="",2360.074=""),"-",(2360.074-1688.32043)/3275429.97191*100)</f>
        <v>0.020508866797975863</v>
      </c>
      <c r="G77" s="65">
        <f>IF(OR(3904696.37575="",3809.12145="",2360.074=""),"-",(3809.12145-2360.074)/3904696.37575*100)</f>
        <v>0.03711037454792301</v>
      </c>
    </row>
    <row r="78" spans="1:7" s="11" customFormat="1" ht="15.75">
      <c r="A78" s="22" t="s">
        <v>137</v>
      </c>
      <c r="B78" s="65">
        <f>IF(2394.40091="","-",2394.40091)</f>
        <v>2394.40091</v>
      </c>
      <c r="C78" s="65">
        <f>IF(OR(3158.79171="",2394.40091=""),"-",2394.40091/3158.79171*100)</f>
        <v>75.80116480677987</v>
      </c>
      <c r="D78" s="65">
        <f>IF(3158.79171="","-",3158.79171/3904696.37575*100)</f>
        <v>0.08089724285907558</v>
      </c>
      <c r="E78" s="65">
        <f>IF(2394.40091="","-",2394.40091/4722022.55771*100)</f>
        <v>0.05070710443961098</v>
      </c>
      <c r="F78" s="65">
        <f>IF(OR(3275429.97191="",1543.03086="",3158.79171=""),"-",(3158.79171-1543.03086)/3275429.97191*100)</f>
        <v>0.04932973270247638</v>
      </c>
      <c r="G78" s="65">
        <f>IF(OR(3904696.37575="",2394.40091="",3158.79171=""),"-",(2394.40091-3158.79171)/3904696.37575*100)</f>
        <v>-0.019576190475326744</v>
      </c>
    </row>
    <row r="79" spans="1:7" s="11" customFormat="1" ht="15.75">
      <c r="A79" s="22" t="s">
        <v>105</v>
      </c>
      <c r="B79" s="65">
        <f>IF(2387.35738="","-",2387.35738)</f>
        <v>2387.35738</v>
      </c>
      <c r="C79" s="65">
        <f>IF(OR(1667.30334="",2387.35738=""),"-",2387.35738/1667.30334*100)</f>
        <v>143.18674489070477</v>
      </c>
      <c r="D79" s="65">
        <f>IF(1667.30334="","-",1667.30334/3904696.37575*100)</f>
        <v>0.04269994846090307</v>
      </c>
      <c r="E79" s="65">
        <f>IF(2387.35738="","-",2387.35738/4722022.55771*100)</f>
        <v>0.05055794102681663</v>
      </c>
      <c r="F79" s="65">
        <f>IF(OR(3275429.97191="",1184.26911="",1667.30334=""),"-",(1667.30334-1184.26911)/3275429.97191*100)</f>
        <v>0.014747200646708637</v>
      </c>
      <c r="G79" s="65">
        <f>IF(OR(3904696.37575="",2387.35738="",1667.30334=""),"-",(2387.35738-1667.30334)/3904696.37575*100)</f>
        <v>0.018440717810272626</v>
      </c>
    </row>
    <row r="80" spans="1:7" s="11" customFormat="1" ht="15.75">
      <c r="A80" s="22" t="s">
        <v>265</v>
      </c>
      <c r="B80" s="65">
        <f>IF(2056.64784="","-",2056.64784)</f>
        <v>2056.64784</v>
      </c>
      <c r="C80" s="71" t="s">
        <v>157</v>
      </c>
      <c r="D80" s="65">
        <f>IF(1193.10098="","-",1193.10098/3904696.37575*100)</f>
        <v>0.030555537875101325</v>
      </c>
      <c r="E80" s="65">
        <f>IF(2056.64784="","-",2056.64784/4722022.55771*100)</f>
        <v>0.043554384056085395</v>
      </c>
      <c r="F80" s="65">
        <f>IF(OR(3275429.97191="",1254.3768="",1193.10098=""),"-",(1193.10098-1254.3768)/3275429.97191*100)</f>
        <v>-0.0018707717925737955</v>
      </c>
      <c r="G80" s="65">
        <f>IF(OR(3904696.37575="",2056.64784="",1193.10098=""),"-",(2056.64784-1193.10098)/3904696.37575*100)</f>
        <v>0.022115595603361942</v>
      </c>
    </row>
    <row r="81" spans="1:7" s="11" customFormat="1" ht="15.75">
      <c r="A81" s="22" t="s">
        <v>85</v>
      </c>
      <c r="B81" s="65">
        <f>IF(1990.63271="","-",1990.63271)</f>
        <v>1990.63271</v>
      </c>
      <c r="C81" s="71" t="s">
        <v>254</v>
      </c>
      <c r="D81" s="65">
        <f>IF(731.16433="","-",731.16433/3904696.37575*100)</f>
        <v>0.018725254402387703</v>
      </c>
      <c r="E81" s="65">
        <f>IF(1990.63271="","-",1990.63271/4722022.55771*100)</f>
        <v>0.04215635748604684</v>
      </c>
      <c r="F81" s="65">
        <f>IF(OR(3275429.97191="",3032.24109="",731.16433=""),"-",(731.16433-3032.24109)/3275429.97191*100)</f>
        <v>-0.07025266239040288</v>
      </c>
      <c r="G81" s="65">
        <f>IF(OR(3904696.37575="",1990.63271="",731.16433=""),"-",(1990.63271-731.16433)/3904696.37575*100)</f>
        <v>0.032255219325678965</v>
      </c>
    </row>
    <row r="82" spans="1:7" s="11" customFormat="1" ht="15.75">
      <c r="A82" s="22" t="s">
        <v>121</v>
      </c>
      <c r="B82" s="65">
        <f>IF(1954.09974="","-",1954.09974)</f>
        <v>1954.09974</v>
      </c>
      <c r="C82" s="65">
        <f>IF(OR(1361.54188="",1954.09974=""),"-",1954.09974/1361.54188*100)</f>
        <v>143.52108948716293</v>
      </c>
      <c r="D82" s="65">
        <f>IF(1361.54188="","-",1361.54188/3904696.37575*100)</f>
        <v>0.034869340634416934</v>
      </c>
      <c r="E82" s="65">
        <f>IF(1954.09974="","-",1954.09974/4722022.55771*100)</f>
        <v>0.04138268540901811</v>
      </c>
      <c r="F82" s="65">
        <f>IF(OR(3275429.97191="",1149.83468="",1361.54188=""),"-",(1361.54188-1149.83468)/3275429.97191*100)</f>
        <v>0.006463493398289549</v>
      </c>
      <c r="G82" s="65">
        <f>IF(OR(3904696.37575="",1954.09974="",1361.54188=""),"-",(1954.09974-1361.54188)/3904696.37575*100)</f>
        <v>0.015175516941088249</v>
      </c>
    </row>
    <row r="83" spans="1:7" s="11" customFormat="1" ht="15.75">
      <c r="A83" s="22" t="s">
        <v>141</v>
      </c>
      <c r="B83" s="65">
        <f>IF(1588.60191="","-",1588.60191)</f>
        <v>1588.60191</v>
      </c>
      <c r="C83" s="65">
        <f>IF(OR(1670.48995="",1588.60191=""),"-",1588.60191/1670.48995*100)</f>
        <v>95.09796272644444</v>
      </c>
      <c r="D83" s="65">
        <f>IF(1670.48995="","-",1670.48995/3904696.37575*100)</f>
        <v>0.042781558135339987</v>
      </c>
      <c r="E83" s="65">
        <f>IF(1588.60191="","-",1588.60191/4722022.55771*100)</f>
        <v>0.033642404088184</v>
      </c>
      <c r="F83" s="65">
        <f>IF(OR(3275429.97191="",741.28721="",1670.48995=""),"-",(1670.48995-741.28721)/3275429.97191*100)</f>
        <v>0.02836887822267055</v>
      </c>
      <c r="G83" s="65">
        <f>IF(OR(3904696.37575="",1588.60191="",1670.48995=""),"-",(1588.60191-1670.48995)/3904696.37575*100)</f>
        <v>-0.002097167926002212</v>
      </c>
    </row>
    <row r="84" spans="1:7" s="11" customFormat="1" ht="15.75">
      <c r="A84" s="22" t="s">
        <v>136</v>
      </c>
      <c r="B84" s="65">
        <f>IF(1481.3646="","-",1481.3646)</f>
        <v>1481.3646</v>
      </c>
      <c r="C84" s="65">
        <f>IF(OR(1263.79789="",1481.3646=""),"-",1481.3646/1263.79789*100)</f>
        <v>117.21530884974021</v>
      </c>
      <c r="D84" s="65">
        <f>IF(1263.79789="","-",1263.79789/3904696.37575*100)</f>
        <v>0.032366098881561674</v>
      </c>
      <c r="E84" s="65">
        <f>IF(1481.3646="","-",1481.3646/4722022.55771*100)</f>
        <v>0.031371400324660986</v>
      </c>
      <c r="F84" s="65">
        <f>IF(OR(3275429.97191="",1577.4987="",1263.79789=""),"-",(1263.79789-1577.4987)/3275429.97191*100)</f>
        <v>-0.009577393279364537</v>
      </c>
      <c r="G84" s="65">
        <f>IF(OR(3904696.37575="",1481.3646="",1263.79789=""),"-",(1481.3646-1263.79789)/3904696.37575*100)</f>
        <v>0.005571923885073155</v>
      </c>
    </row>
    <row r="85" spans="1:7" s="11" customFormat="1" ht="15.75">
      <c r="A85" s="22" t="s">
        <v>115</v>
      </c>
      <c r="B85" s="65">
        <f>IF(1458.17288="","-",1458.17288)</f>
        <v>1458.17288</v>
      </c>
      <c r="C85" s="65">
        <f>IF(OR(1182.51726="",1458.17288=""),"-",1458.17288/1182.51726*100)</f>
        <v>123.31091725460313</v>
      </c>
      <c r="D85" s="65">
        <f>IF(1182.51726="","-",1182.51726/3904696.37575*100)</f>
        <v>0.030284486838566712</v>
      </c>
      <c r="E85" s="65">
        <f>IF(1458.17288="","-",1458.17288/4722022.55771*100)</f>
        <v>0.03088026078187898</v>
      </c>
      <c r="F85" s="65">
        <f>IF(OR(3275429.97191="",1613.71593="",1182.51726=""),"-",(1182.51726-1613.71593)/3275429.97191*100)</f>
        <v>-0.013164643228460029</v>
      </c>
      <c r="G85" s="65">
        <f>IF(OR(3904696.37575="",1458.17288="",1182.51726=""),"-",(1458.17288-1182.51726)/3904696.37575*100)</f>
        <v>0.0070595916679194555</v>
      </c>
    </row>
    <row r="86" spans="1:7" s="11" customFormat="1" ht="15.75">
      <c r="A86" s="22" t="s">
        <v>154</v>
      </c>
      <c r="B86" s="65">
        <f>IF(1409.25294="","-",1409.25294)</f>
        <v>1409.25294</v>
      </c>
      <c r="C86" s="65">
        <f>IF(OR(1291.98007="",1409.25294=""),"-",1409.25294/1291.98007*100)</f>
        <v>109.07698754207561</v>
      </c>
      <c r="D86" s="65">
        <f>IF(1291.98007="","-",1291.98007/3904696.37575*100)</f>
        <v>0.03308784974995248</v>
      </c>
      <c r="E86" s="65">
        <f>IF(1409.25294="","-",1409.25294/4722022.55771*100)</f>
        <v>0.029844265307437112</v>
      </c>
      <c r="F86" s="65">
        <f>IF(OR(3275429.97191="",334.4017="",1291.98007=""),"-",(1291.98007-334.4017)/3275429.97191*100)</f>
        <v>0.029235195934951035</v>
      </c>
      <c r="G86" s="65">
        <f>IF(OR(3904696.37575="",1409.25294="",1291.98007=""),"-",(1409.25294-1291.98007)/3904696.37575*100)</f>
        <v>0.0030033799997438893</v>
      </c>
    </row>
    <row r="87" spans="1:7" s="11" customFormat="1" ht="15.75">
      <c r="A87" s="22" t="s">
        <v>211</v>
      </c>
      <c r="B87" s="65">
        <f>IF(1349.07155="","-",1349.07155)</f>
        <v>1349.07155</v>
      </c>
      <c r="C87" s="71" t="s">
        <v>166</v>
      </c>
      <c r="D87" s="65">
        <f>IF(589.79759="","-",589.79759/3904696.37575*100)</f>
        <v>0.015104825913300719</v>
      </c>
      <c r="E87" s="65">
        <f>IF(1349.07155="","-",1349.07155/4722022.55771*100)</f>
        <v>0.028569781984570778</v>
      </c>
      <c r="F87" s="65">
        <f>IF(OR(3275429.97191="",322.97902="",589.79759=""),"-",(589.79759-322.97902)/3275429.97191*100)</f>
        <v>0.008146062418926034</v>
      </c>
      <c r="G87" s="65">
        <f>IF(OR(3904696.37575="",1349.07155="",589.79759=""),"-",(1349.07155-589.79759)/3904696.37575*100)</f>
        <v>0.019445147251792687</v>
      </c>
    </row>
    <row r="88" spans="1:7" ht="15.75">
      <c r="A88" s="22" t="s">
        <v>187</v>
      </c>
      <c r="B88" s="65">
        <f>IF(1291.82775="","-",1291.82775)</f>
        <v>1291.82775</v>
      </c>
      <c r="C88" s="65">
        <f>IF(OR(885.41578="",1291.82775=""),"-",1291.82775/885.41578*100)</f>
        <v>145.90069198902236</v>
      </c>
      <c r="D88" s="65">
        <f>IF(885.41578="","-",885.41578/3904696.37575*100)</f>
        <v>0.02267566270962445</v>
      </c>
      <c r="E88" s="65">
        <f>IF(1291.82775="","-",1291.82775/4722022.55771*100)</f>
        <v>0.027357509080314237</v>
      </c>
      <c r="F88" s="65">
        <f>IF(OR(3275429.97191="",553.07398="",885.41578=""),"-",(885.41578-553.07398)/3275429.97191*100)</f>
        <v>0.010146509094993771</v>
      </c>
      <c r="G88" s="65">
        <f>IF(OR(3904696.37575="",1291.82775="",885.41578=""),"-",(1291.82775-885.41578)/3904696.37575*100)</f>
        <v>0.01040828609681432</v>
      </c>
    </row>
    <row r="89" spans="1:7" ht="15.75">
      <c r="A89" s="22" t="s">
        <v>147</v>
      </c>
      <c r="B89" s="65">
        <f>IF(1177.80119="","-",1177.80119)</f>
        <v>1177.80119</v>
      </c>
      <c r="C89" s="71" t="s">
        <v>149</v>
      </c>
      <c r="D89" s="65">
        <f>IF(538.81645="","-",538.81645/3904696.37575*100)</f>
        <v>0.013799189441368693</v>
      </c>
      <c r="E89" s="65">
        <f>IF(1177.80119="","-",1177.80119/4722022.55771*100)</f>
        <v>0.024942726884625226</v>
      </c>
      <c r="F89" s="65">
        <f>IF(OR(3275429.97191="",346.12979="",538.81645=""),"-",(538.81645-346.12979)/3275429.97191*100)</f>
        <v>0.005882789791034328</v>
      </c>
      <c r="G89" s="65">
        <f>IF(OR(3904696.37575="",1177.80119="",538.81645=""),"-",(1177.80119-538.81645)/3904696.37575*100)</f>
        <v>0.01636451796786033</v>
      </c>
    </row>
    <row r="90" spans="1:7" ht="15.75">
      <c r="A90" s="22" t="s">
        <v>139</v>
      </c>
      <c r="B90" s="65">
        <f>IF(1033.50329="","-",1033.50329)</f>
        <v>1033.50329</v>
      </c>
      <c r="C90" s="65">
        <f>IF(OR(935.66358="",1033.50329=""),"-",1033.50329/935.66358*100)</f>
        <v>110.45671885615127</v>
      </c>
      <c r="D90" s="65">
        <f>IF(935.66358="","-",935.66358/3904696.37575*100)</f>
        <v>0.023962518207840965</v>
      </c>
      <c r="E90" s="65">
        <f>IF(1033.50329="","-",1033.50329/4722022.55771*100)</f>
        <v>0.02188687744222064</v>
      </c>
      <c r="F90" s="65">
        <f>IF(OR(3275429.97191="",992.1913="",935.66358=""),"-",(935.66358-992.1913)/3275429.97191*100)</f>
        <v>-0.0017258106717218853</v>
      </c>
      <c r="G90" s="65">
        <f>IF(OR(3904696.37575="",1033.50329="",935.66358=""),"-",(1033.50329-935.66358)/3904696.37575*100)</f>
        <v>0.002505693159847989</v>
      </c>
    </row>
    <row r="91" spans="1:7" ht="15.75">
      <c r="A91" s="22" t="s">
        <v>140</v>
      </c>
      <c r="B91" s="65">
        <f>IF(1031.97892="","-",1031.97892)</f>
        <v>1031.97892</v>
      </c>
      <c r="C91" s="71" t="s">
        <v>19</v>
      </c>
      <c r="D91" s="65">
        <f>IF(516.0244="","-",516.0244/3904696.37575*100)</f>
        <v>0.013215480804211924</v>
      </c>
      <c r="E91" s="65">
        <f>IF(1031.97892="","-",1031.97892/4722022.55771*100)</f>
        <v>0.02185459530079988</v>
      </c>
      <c r="F91" s="65">
        <f>IF(OR(3275429.97191="",680.27048="",516.0244=""),"-",(516.0244-680.27048)/3275429.97191*100)</f>
        <v>-0.005014489132986204</v>
      </c>
      <c r="G91" s="65">
        <f>IF(OR(3904696.37575="",1031.97892="",516.0244=""),"-",(1031.97892-516.0244)/3904696.37575*100)</f>
        <v>0.013213691164422415</v>
      </c>
    </row>
    <row r="92" spans="1:7" ht="15.75">
      <c r="A92" s="22" t="s">
        <v>240</v>
      </c>
      <c r="B92" s="65">
        <f>IF(1004.06519="","-",1004.06519)</f>
        <v>1004.06519</v>
      </c>
      <c r="C92" s="71" t="s">
        <v>19</v>
      </c>
      <c r="D92" s="65">
        <f>IF(494.50077="","-",494.50077/3904696.37575*100)</f>
        <v>0.012664256639032992</v>
      </c>
      <c r="E92" s="65">
        <f>IF(1004.06519="","-",1004.06519/4722022.55771*100)</f>
        <v>0.021263456023957097</v>
      </c>
      <c r="F92" s="65">
        <f>IF(OR(3275429.97191="",928.93666="",494.50077=""),"-",(494.50077-928.93666)/3275429.97191*100)</f>
        <v>-0.013263476664917602</v>
      </c>
      <c r="G92" s="65">
        <f>IF(OR(3904696.37575="",1004.06519="",494.50077=""),"-",(1004.06519-494.50077)/3904696.37575*100)</f>
        <v>0.013050039515610857</v>
      </c>
    </row>
    <row r="93" spans="1:7" ht="15.75">
      <c r="A93" s="22" t="s">
        <v>142</v>
      </c>
      <c r="B93" s="65">
        <f>IF(986.70031="","-",986.70031)</f>
        <v>986.70031</v>
      </c>
      <c r="C93" s="65">
        <f>IF(OR(846.56047="",986.70031=""),"-",986.70031/846.56047*100)</f>
        <v>116.55402596343767</v>
      </c>
      <c r="D93" s="65">
        <f>IF(846.56047="","-",846.56047/3904696.37575*100)</f>
        <v>0.021680570997979213</v>
      </c>
      <c r="E93" s="65">
        <f>IF(986.70031="","-",986.70031/4722022.55771*100)</f>
        <v>0.020895713604521866</v>
      </c>
      <c r="F93" s="65">
        <f>IF(OR(3275429.97191="",668.98925="",846.56047=""),"-",(846.56047-668.98925)/3275429.97191*100)</f>
        <v>0.005421310225614533</v>
      </c>
      <c r="G93" s="65">
        <f>IF(OR(3904696.37575="",986.70031="",846.56047=""),"-",(986.70031-846.56047)/3904696.37575*100)</f>
        <v>0.0035890073520270156</v>
      </c>
    </row>
    <row r="94" spans="1:7" ht="15.75">
      <c r="A94" s="22" t="s">
        <v>128</v>
      </c>
      <c r="B94" s="65">
        <f>IF(943.48934="","-",943.48934)</f>
        <v>943.48934</v>
      </c>
      <c r="C94" s="71" t="s">
        <v>286</v>
      </c>
      <c r="D94" s="65">
        <f>IF(615.93789="","-",615.93789/3904696.37575*100)</f>
        <v>0.015774283855340555</v>
      </c>
      <c r="E94" s="65">
        <f>IF(943.48934="","-",943.48934/4722022.55771*100)</f>
        <v>0.019980619077295474</v>
      </c>
      <c r="F94" s="65">
        <f>IF(OR(3275429.97191="",758.90722="",615.93789=""),"-",(615.93789-758.90722)/3275429.97191*100)</f>
        <v>-0.004364902660905627</v>
      </c>
      <c r="G94" s="65">
        <f>IF(OR(3904696.37575="",943.48934="",615.93789=""),"-",(943.48934-615.93789)/3904696.37575*100)</f>
        <v>0.008388653520776888</v>
      </c>
    </row>
    <row r="95" spans="1:7" ht="15.75">
      <c r="A95" s="22" t="s">
        <v>153</v>
      </c>
      <c r="B95" s="65">
        <f>IF(874.95651="","-",874.95651)</f>
        <v>874.95651</v>
      </c>
      <c r="C95" s="71" t="s">
        <v>268</v>
      </c>
      <c r="D95" s="65">
        <f>IF(96.34637="","-",96.34637/3904696.37575*100)</f>
        <v>0.0024674484448613276</v>
      </c>
      <c r="E95" s="65">
        <f>IF(874.95651="","-",874.95651/4722022.55771*100)</f>
        <v>0.01852927425285999</v>
      </c>
      <c r="F95" s="65">
        <f>IF(OR(3275429.97191="",12.15472="",96.34637=""),"-",(96.34637-12.15472)/3275429.97191*100)</f>
        <v>0.002570399939001149</v>
      </c>
      <c r="G95" s="65">
        <f>IF(OR(3904696.37575="",874.95651="",96.34637=""),"-",(874.95651-96.34637)/3904696.37575*100)</f>
        <v>0.01994035041586165</v>
      </c>
    </row>
    <row r="96" spans="1:7" ht="15.75">
      <c r="A96" s="22" t="s">
        <v>143</v>
      </c>
      <c r="B96" s="65">
        <f>IF(670.03728="","-",670.03728)</f>
        <v>670.03728</v>
      </c>
      <c r="C96" s="65">
        <f>IF(OR(725.29719="",670.03728=""),"-",670.03728/725.29719*100)</f>
        <v>92.38106658044546</v>
      </c>
      <c r="D96" s="65">
        <f>IF(725.29719="","-",725.29719/3904696.37575*100)</f>
        <v>0.018574995856385567</v>
      </c>
      <c r="E96" s="65">
        <f>IF(670.03728="","-",670.03728/4722022.55771*100)</f>
        <v>0.014189624717187764</v>
      </c>
      <c r="F96" s="65">
        <f>IF(OR(3275429.97191="",639.42784="",725.29719=""),"-",(725.29719-639.42784)/3275429.97191*100)</f>
        <v>0.002621620695188519</v>
      </c>
      <c r="G96" s="65">
        <f>IF(OR(3904696.37575="",670.03728="",725.29719=""),"-",(670.03728-725.29719)/3904696.37575*100)</f>
        <v>-0.0014152165669830312</v>
      </c>
    </row>
    <row r="97" spans="1:7" ht="15.75">
      <c r="A97" s="22" t="s">
        <v>198</v>
      </c>
      <c r="B97" s="65">
        <f>IF(631.62479="","-",631.62479)</f>
        <v>631.62479</v>
      </c>
      <c r="C97" s="71" t="str">
        <f>IF(OR(""="",631.62479=""),"-",631.62479/""*100)</f>
        <v>-</v>
      </c>
      <c r="D97" s="65" t="str">
        <f>IF(""="","-",""/3904696.37575*100)</f>
        <v>-</v>
      </c>
      <c r="E97" s="65">
        <f>IF(631.62479="","-",631.62479/4722022.55771*100)</f>
        <v>0.013376149357200736</v>
      </c>
      <c r="F97" s="65" t="str">
        <f>IF(OR(3275429.97191="",""="",""=""),"-",(""-"")/3275429.97191*100)</f>
        <v>-</v>
      </c>
      <c r="G97" s="65" t="str">
        <f>IF(OR(3904696.37575="",631.62479="",""=""),"-",(631.62479-"")/3904696.37575*100)</f>
        <v>-</v>
      </c>
    </row>
    <row r="98" spans="1:7" ht="15.75">
      <c r="A98" s="22" t="s">
        <v>155</v>
      </c>
      <c r="B98" s="65">
        <f>IF(599.44748="","-",599.44748)</f>
        <v>599.44748</v>
      </c>
      <c r="C98" s="71" t="s">
        <v>203</v>
      </c>
      <c r="D98" s="65">
        <f>IF(371.98434="","-",371.98434/3904696.37575*100)</f>
        <v>0.009526588092999947</v>
      </c>
      <c r="E98" s="65">
        <f>IF(599.44748="","-",599.44748/4722022.55771*100)</f>
        <v>0.012694718686195964</v>
      </c>
      <c r="F98" s="65">
        <f>IF(OR(3275429.97191="",218.47965="",371.98434=""),"-",(371.98434-218.47965)/3275429.97191*100)</f>
        <v>0.004686550813677964</v>
      </c>
      <c r="G98" s="65">
        <f>IF(OR(3904696.37575="",599.44748="",371.98434=""),"-",(599.44748-371.98434)/3904696.37575*100)</f>
        <v>0.00582537329695218</v>
      </c>
    </row>
    <row r="99" spans="1:7" ht="15.75">
      <c r="A99" s="22" t="s">
        <v>148</v>
      </c>
      <c r="B99" s="65">
        <f>IF(599.43859="","-",599.43859)</f>
        <v>599.43859</v>
      </c>
      <c r="C99" s="71" t="s">
        <v>152</v>
      </c>
      <c r="D99" s="65">
        <f>IF(231.83033="","-",231.83033/3904696.37575*100)</f>
        <v>0.005937217844638966</v>
      </c>
      <c r="E99" s="65">
        <f>IF(599.43859="","-",599.43859/4722022.55771*100)</f>
        <v>0.012694530419412159</v>
      </c>
      <c r="F99" s="65">
        <f>IF(OR(3275429.97191="",63.26912="",231.83033=""),"-",(231.83033-63.26912)/3275429.97191*100)</f>
        <v>0.005146231531297462</v>
      </c>
      <c r="G99" s="65">
        <f>IF(OR(3904696.37575="",599.43859="",231.83033=""),"-",(599.43859-231.83033)/3904696.37575*100)</f>
        <v>0.009414515870760658</v>
      </c>
    </row>
    <row r="100" spans="1:7" ht="15.75">
      <c r="A100" s="22" t="s">
        <v>214</v>
      </c>
      <c r="B100" s="65">
        <f>IF(487.86208="","-",487.86208)</f>
        <v>487.86208</v>
      </c>
      <c r="C100" s="65">
        <f>IF(OR(635.7847="",487.86208=""),"-",487.86208/635.7847*100)</f>
        <v>76.73385031127675</v>
      </c>
      <c r="D100" s="65">
        <f>IF(635.7847="","-",635.7847/3904696.37575*100)</f>
        <v>0.016282564348626998</v>
      </c>
      <c r="E100" s="65">
        <f>IF(487.86208="","-",487.86208/4722022.55771*100)</f>
        <v>0.010331633829309668</v>
      </c>
      <c r="F100" s="65">
        <f>IF(OR(3275429.97191="",933.04373="",635.7847=""),"-",(635.7847-933.04373)/3275429.97191*100)</f>
        <v>-0.009075420099018615</v>
      </c>
      <c r="G100" s="65">
        <f>IF(OR(3904696.37575="",487.86208="",635.7847=""),"-",(487.86208-635.7847)/3904696.37575*100)</f>
        <v>-0.0037883257945142434</v>
      </c>
    </row>
    <row r="101" spans="1:7" ht="15.75">
      <c r="A101" s="22" t="s">
        <v>107</v>
      </c>
      <c r="B101" s="65">
        <f>IF(481.03435="","-",481.03435)</f>
        <v>481.03435</v>
      </c>
      <c r="C101" s="65">
        <f>IF(OR(570.71835="",481.03435=""),"-",481.03435/570.71835*100)</f>
        <v>84.28576897869151</v>
      </c>
      <c r="D101" s="65">
        <f>IF(570.71835="","-",570.71835/3904696.37575*100)</f>
        <v>0.01461620303039256</v>
      </c>
      <c r="E101" s="65">
        <f>IF(481.03435="","-",481.03435/4722022.55771*100)</f>
        <v>0.010187040492099708</v>
      </c>
      <c r="F101" s="65">
        <f>IF(OR(3275429.97191="",883.69847="",570.71835=""),"-",(570.71835-883.69847)/3275429.97191*100)</f>
        <v>-0.009555390366581158</v>
      </c>
      <c r="G101" s="65">
        <f>IF(OR(3904696.37575="",481.03435="",570.71835=""),"-",(481.03435-570.71835)/3904696.37575*100)</f>
        <v>-0.0022968239107393792</v>
      </c>
    </row>
    <row r="102" spans="1:7" ht="15.75">
      <c r="A102" s="22" t="s">
        <v>111</v>
      </c>
      <c r="B102" s="65">
        <f>IF(422.63222="","-",422.63222)</f>
        <v>422.63222</v>
      </c>
      <c r="C102" s="71" t="s">
        <v>254</v>
      </c>
      <c r="D102" s="65">
        <f>IF(156.31024="","-",156.31024/3904696.37575*100)</f>
        <v>0.004003134301830997</v>
      </c>
      <c r="E102" s="65">
        <f>IF(422.63222="","-",422.63222/4722022.55771*100)</f>
        <v>0.008950237209475773</v>
      </c>
      <c r="F102" s="65">
        <f>IF(OR(3275429.97191="",66.36699="",156.31024=""),"-",(156.31024-66.36699)/3275429.97191*100)</f>
        <v>0.002745998258895806</v>
      </c>
      <c r="G102" s="65">
        <f>IF(OR(3904696.37575="",422.63222="",156.31024=""),"-",(422.63222-156.31024)/3904696.37575*100)</f>
        <v>0.006820555412553578</v>
      </c>
    </row>
    <row r="103" spans="1:7" ht="15.75">
      <c r="A103" s="22" t="s">
        <v>213</v>
      </c>
      <c r="B103" s="65">
        <f>IF(408.71217="","-",408.71217)</f>
        <v>408.71217</v>
      </c>
      <c r="C103" s="65">
        <f>IF(OR(461.55518="",408.71217=""),"-",408.71217/461.55518*100)</f>
        <v>88.55109588413676</v>
      </c>
      <c r="D103" s="65">
        <f>IF(461.55518="","-",461.55518/3904696.37575*100)</f>
        <v>0.011820513955104797</v>
      </c>
      <c r="E103" s="65">
        <f>IF(408.71217="","-",408.71217/4722022.55771*100)</f>
        <v>0.008655447215783943</v>
      </c>
      <c r="F103" s="65">
        <f>IF(OR(3275429.97191="",441.6806="",461.55518=""),"-",(461.55518-441.6806)/3275429.97191*100)</f>
        <v>0.0006067777412566853</v>
      </c>
      <c r="G103" s="65">
        <f>IF(OR(3904696.37575="",408.71217="",461.55518=""),"-",(408.71217-461.55518)/3904696.37575*100)</f>
        <v>-0.001353319308722182</v>
      </c>
    </row>
    <row r="104" spans="1:7" ht="15.75">
      <c r="A104" s="22" t="s">
        <v>241</v>
      </c>
      <c r="B104" s="65">
        <f>IF(358.01051="","-",358.01051)</f>
        <v>358.01051</v>
      </c>
      <c r="C104" s="71" t="s">
        <v>269</v>
      </c>
      <c r="D104" s="65">
        <f>IF(34.10485="","-",34.10485/3904696.37575*100)</f>
        <v>0.0008734315480150301</v>
      </c>
      <c r="E104" s="65">
        <f>IF(358.01051="","-",358.01051/4722022.55771*100)</f>
        <v>0.0075817196047793</v>
      </c>
      <c r="F104" s="65">
        <f>IF(OR(3275429.97191="",18.46659="",34.10485=""),"-",(34.10485-18.46659)/3275429.97191*100)</f>
        <v>0.000477441439264869</v>
      </c>
      <c r="G104" s="65">
        <f>IF(OR(3904696.37575="",358.01051="",34.10485=""),"-",(358.01051-34.10485)/3904696.37575*100)</f>
        <v>0.008295284161186165</v>
      </c>
    </row>
    <row r="105" spans="1:7" ht="15.75">
      <c r="A105" s="22" t="s">
        <v>167</v>
      </c>
      <c r="B105" s="65">
        <f>IF(262.83598="","-",262.83598)</f>
        <v>262.83598</v>
      </c>
      <c r="C105" s="71" t="s">
        <v>270</v>
      </c>
      <c r="D105" s="65">
        <f>IF(33.02418="","-",33.02418/3904696.37575*100)</f>
        <v>0.0008457553884367471</v>
      </c>
      <c r="E105" s="65">
        <f>IF(262.83598="","-",262.83598/4722022.55771*100)</f>
        <v>0.005566173748383476</v>
      </c>
      <c r="F105" s="65">
        <f>IF(OR(3275429.97191="",14.79039="",33.02418=""),"-",(33.02418-14.79039)/3275429.97191*100)</f>
        <v>0.0005566838600236456</v>
      </c>
      <c r="G105" s="65">
        <f>IF(OR(3904696.37575="",262.83598="",33.02418=""),"-",(262.83598-33.02418)/3904696.37575*100)</f>
        <v>0.005885522916128366</v>
      </c>
    </row>
    <row r="106" spans="1:7" ht="15.75">
      <c r="A106" s="22" t="s">
        <v>127</v>
      </c>
      <c r="B106" s="65">
        <f>IF(223.60574="","-",223.60574)</f>
        <v>223.60574</v>
      </c>
      <c r="C106" s="65">
        <f>IF(OR(488.72726="",223.60574=""),"-",223.60574/488.72726*100)</f>
        <v>45.75266376588038</v>
      </c>
      <c r="D106" s="65">
        <f>IF(488.72726="","-",488.72726/3904696.37575*100)</f>
        <v>0.012516395974735093</v>
      </c>
      <c r="E106" s="65">
        <f>IF(223.60574="","-",223.60574/4722022.55771*100)</f>
        <v>0.004735380597343868</v>
      </c>
      <c r="F106" s="65">
        <f>IF(OR(3275429.97191="",1015.49727="",488.72726=""),"-",(488.72726-1015.49727)/3275429.97191*100)</f>
        <v>-0.016082469004605977</v>
      </c>
      <c r="G106" s="65">
        <f>IF(OR(3904696.37575="",223.60574="",488.72726=""),"-",(223.60574-488.72726)/3904696.37575*100)</f>
        <v>-0.006789811408808359</v>
      </c>
    </row>
    <row r="107" spans="1:7" ht="15.75">
      <c r="A107" s="22" t="s">
        <v>164</v>
      </c>
      <c r="B107" s="65">
        <f>IF(206.52197="","-",206.52197)</f>
        <v>206.52197</v>
      </c>
      <c r="C107" s="71" t="s">
        <v>271</v>
      </c>
      <c r="D107" s="65">
        <f>IF(38.4312="","-",38.4312/3904696.37575*100)</f>
        <v>0.0009842301757103527</v>
      </c>
      <c r="E107" s="65">
        <f>IF(206.52197="","-",206.52197/4722022.55771*100)</f>
        <v>0.004373591347266991</v>
      </c>
      <c r="F107" s="65">
        <f>IF(OR(3275429.97191="",17.75461="",38.4312=""),"-",(38.4312-17.75461)/3275429.97191*100)</f>
        <v>0.0006312633815200411</v>
      </c>
      <c r="G107" s="65">
        <f>IF(OR(3904696.37575="",206.52197="",38.4312=""),"-",(206.52197-38.4312)/3904696.37575*100)</f>
        <v>0.00430483586493236</v>
      </c>
    </row>
    <row r="108" spans="1:7" ht="15.75">
      <c r="A108" s="41" t="s">
        <v>249</v>
      </c>
      <c r="B108" s="37">
        <f>IF(175.46073="","-",175.46073)</f>
        <v>175.46073</v>
      </c>
      <c r="C108" s="72" t="s">
        <v>250</v>
      </c>
      <c r="D108" s="37">
        <f>IF(54.8964="","-",54.8964/3904696.37575*100)</f>
        <v>0.0014059070083126681</v>
      </c>
      <c r="E108" s="37">
        <f>IF(175.46073="","-",175.46073/4722022.55771*100)</f>
        <v>0.0037157960991421385</v>
      </c>
      <c r="F108" s="37">
        <f>IF(OR(3275429.97191="",0.03228="",54.8964=""),"-",(54.8964-0.03228)/3275429.97191*100)</f>
        <v>0.001675020393368603</v>
      </c>
      <c r="G108" s="37">
        <f>IF(OR(3904696.37575="",175.46073="",54.8964=""),"-",(175.46073-54.8964)/3904696.37575*100)</f>
        <v>0.003087674902170657</v>
      </c>
    </row>
    <row r="109" spans="1:7" ht="15.75">
      <c r="A109" s="66" t="s">
        <v>182</v>
      </c>
      <c r="B109" s="67">
        <f>IF(172.49037="","-",172.49037)</f>
        <v>172.49037</v>
      </c>
      <c r="C109" s="73" t="s">
        <v>158</v>
      </c>
      <c r="D109" s="67">
        <f>IF(91.33173="","-",91.33173/3904696.37575*100)</f>
        <v>0.0023390225823245302</v>
      </c>
      <c r="E109" s="67">
        <f>IF(172.49037="","-",172.49037/4722022.55771*100)</f>
        <v>0.0036528916982482866</v>
      </c>
      <c r="F109" s="67">
        <f>IF(OR(3275429.97191="",46.57751="",91.33173=""),"-",(91.33173-46.57751)/3275429.97191*100)</f>
        <v>0.0013663616802621638</v>
      </c>
      <c r="G109" s="67">
        <f>IF(OR(3904696.37575="",172.49037="",91.33173=""),"-",(172.49037-91.33173)/3904696.37575*100)</f>
        <v>0.002078487856419089</v>
      </c>
    </row>
    <row r="110" ht="15.75">
      <c r="A110" s="35" t="s">
        <v>20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2"/>
  <sheetViews>
    <sheetView zoomScalePageLayoutView="0" workbookViewId="0" topLeftCell="A1">
      <selection activeCell="G79" sqref="G79"/>
    </sheetView>
  </sheetViews>
  <sheetFormatPr defaultColWidth="9.00390625" defaultRowHeight="15.75"/>
  <cols>
    <col min="1" max="1" width="42.75390625" style="0" customWidth="1"/>
    <col min="2" max="2" width="14.50390625" style="0" customWidth="1"/>
    <col min="3" max="3" width="14.375" style="0" customWidth="1"/>
    <col min="4" max="4" width="17.125" style="0" customWidth="1"/>
  </cols>
  <sheetData>
    <row r="1" spans="1:4" ht="15.75">
      <c r="A1" s="105" t="s">
        <v>193</v>
      </c>
      <c r="B1" s="105"/>
      <c r="C1" s="105"/>
      <c r="D1" s="105"/>
    </row>
    <row r="2" ht="15.75">
      <c r="A2" s="4"/>
    </row>
    <row r="3" spans="1:5" ht="28.5" customHeight="1">
      <c r="A3" s="106"/>
      <c r="B3" s="110" t="s">
        <v>258</v>
      </c>
      <c r="C3" s="111"/>
      <c r="D3" s="108" t="s">
        <v>261</v>
      </c>
      <c r="E3" s="1"/>
    </row>
    <row r="4" spans="1:5" ht="25.5" customHeight="1">
      <c r="A4" s="107"/>
      <c r="B4" s="26">
        <v>2017</v>
      </c>
      <c r="C4" s="25">
        <v>2018</v>
      </c>
      <c r="D4" s="109"/>
      <c r="E4" s="1"/>
    </row>
    <row r="5" spans="1:4" ht="17.25" customHeight="1">
      <c r="A5" s="57" t="s">
        <v>220</v>
      </c>
      <c r="B5" s="62">
        <f>IF(-1984914.17452="","-",-1984914.17452)</f>
        <v>-1984914.17452</v>
      </c>
      <c r="C5" s="62">
        <f>IF(-2502990.75299="","-",-2502990.75299)</f>
        <v>-2502990.75299</v>
      </c>
      <c r="D5" s="62">
        <f>IF(-1984914.17452="","-",-2502990.75299/-1984914.17452*100)</f>
        <v>126.10070425817194</v>
      </c>
    </row>
    <row r="6" spans="1:4" ht="15.75">
      <c r="A6" s="55" t="s">
        <v>21</v>
      </c>
      <c r="B6" s="49"/>
      <c r="C6" s="49"/>
      <c r="D6" s="49"/>
    </row>
    <row r="7" spans="1:4" ht="15.75">
      <c r="A7" s="58" t="s">
        <v>246</v>
      </c>
      <c r="B7" s="63">
        <f>IF(-690709.54339="","-",-690709.54339)</f>
        <v>-690709.54339</v>
      </c>
      <c r="C7" s="63">
        <f>IF(-834459.6801="","-",-834459.6801)</f>
        <v>-834459.6801</v>
      </c>
      <c r="D7" s="63">
        <f>IF(-690709.54339="","-",-834459.6801/-690709.54339*100)</f>
        <v>120.81195172206176</v>
      </c>
    </row>
    <row r="8" spans="1:4" ht="15.75">
      <c r="A8" s="22" t="s">
        <v>4</v>
      </c>
      <c r="B8" s="65">
        <f>IF(-191262.11681="","-",-191262.11681)</f>
        <v>-191262.11681</v>
      </c>
      <c r="C8" s="65">
        <f>IF(-218496.99179="","-",-218496.99179)</f>
        <v>-218496.99179</v>
      </c>
      <c r="D8" s="65">
        <f>IF(OR(-191262.11681="",-218496.99179="",-191262.11681=0),"-",-218496.99179/-191262.11681*100)</f>
        <v>114.23955534647521</v>
      </c>
    </row>
    <row r="9" spans="1:4" ht="15.75">
      <c r="A9" s="22" t="s">
        <v>89</v>
      </c>
      <c r="B9" s="65">
        <f>IF(-73317.60933="","-",-73317.60933)</f>
        <v>-73317.60933</v>
      </c>
      <c r="C9" s="65">
        <f>IF(-87169.87908="","-",-87169.87908)</f>
        <v>-87169.87908</v>
      </c>
      <c r="D9" s="65">
        <f>IF(OR(-73317.60933="",-87169.87908="",-73317.60933=0),"-",-87169.87908/-73317.60933*100)</f>
        <v>118.89350986289176</v>
      </c>
    </row>
    <row r="10" spans="1:4" ht="15.75">
      <c r="A10" s="22" t="s">
        <v>5</v>
      </c>
      <c r="B10" s="65">
        <f>IF(-57033.28867="","-",-57033.28867)</f>
        <v>-57033.28867</v>
      </c>
      <c r="C10" s="65">
        <f>IF(-86415.78559="","-",-86415.78559)</f>
        <v>-86415.78559</v>
      </c>
      <c r="D10" s="71" t="s">
        <v>286</v>
      </c>
    </row>
    <row r="11" spans="1:4" ht="15.75">
      <c r="A11" s="22" t="s">
        <v>206</v>
      </c>
      <c r="B11" s="65">
        <f>IF(-60032.56842="","-",-60032.56842)</f>
        <v>-60032.56842</v>
      </c>
      <c r="C11" s="65">
        <f>IF(-69749.77581="","-",-69749.77581)</f>
        <v>-69749.77581</v>
      </c>
      <c r="D11" s="65">
        <f>IF(OR(-60032.56842="",-69749.77581="",-60032.56842=0),"-",-69749.77581/-60032.56842*100)</f>
        <v>116.18655947221256</v>
      </c>
    </row>
    <row r="12" spans="1:4" ht="15.75">
      <c r="A12" s="22" t="s">
        <v>3</v>
      </c>
      <c r="B12" s="65">
        <f>IF(-89444.65181="","-",-89444.65181)</f>
        <v>-89444.65181</v>
      </c>
      <c r="C12" s="65">
        <f>IF(-66392.16834="","-",-66392.16834)</f>
        <v>-66392.16834</v>
      </c>
      <c r="D12" s="65">
        <f>IF(OR(-89444.65181="",-66392.16834="",-89444.65181=0),"-",-66392.16834/-89444.65181*100)</f>
        <v>74.22709686548</v>
      </c>
    </row>
    <row r="13" spans="1:4" ht="15.75">
      <c r="A13" s="22" t="s">
        <v>204</v>
      </c>
      <c r="B13" s="65">
        <f>IF(-82570.0084="","-",-82570.0084)</f>
        <v>-82570.0084</v>
      </c>
      <c r="C13" s="65">
        <f>IF(-58116.94884="","-",-58116.94884)</f>
        <v>-58116.94884</v>
      </c>
      <c r="D13" s="65">
        <f>IF(OR(-82570.0084="",-58116.94884="",-82570.0084=0),"-",-58116.94884/-82570.0084*100)</f>
        <v>70.38505865042396</v>
      </c>
    </row>
    <row r="14" spans="1:4" ht="15.75">
      <c r="A14" s="22" t="s">
        <v>7</v>
      </c>
      <c r="B14" s="65">
        <f>IF(-34294.35346="","-",-34294.35346)</f>
        <v>-34294.35346</v>
      </c>
      <c r="C14" s="65">
        <f>IF(-54284.94946="","-",-54284.94946)</f>
        <v>-54284.94946</v>
      </c>
      <c r="D14" s="71" t="s">
        <v>203</v>
      </c>
    </row>
    <row r="15" spans="1:4" ht="15.75">
      <c r="A15" s="22" t="s">
        <v>87</v>
      </c>
      <c r="B15" s="65">
        <f>IF(-27302.20515="","-",-27302.20515)</f>
        <v>-27302.20515</v>
      </c>
      <c r="C15" s="65">
        <f>IF(-42862.63182="","-",-42862.63182)</f>
        <v>-42862.63182</v>
      </c>
      <c r="D15" s="71" t="s">
        <v>203</v>
      </c>
    </row>
    <row r="16" spans="1:4" ht="15.75">
      <c r="A16" s="22" t="s">
        <v>207</v>
      </c>
      <c r="B16" s="65">
        <f>IF(-29057.06411="","-",-29057.06411)</f>
        <v>-29057.06411</v>
      </c>
      <c r="C16" s="65">
        <f>IF(-36266.158="","-",-36266.158)</f>
        <v>-36266.158</v>
      </c>
      <c r="D16" s="65">
        <f>IF(OR(-29057.06411="",-36266.158="",-29057.06411=0),"-",-36266.158/-29057.06411*100)</f>
        <v>124.81012487259162</v>
      </c>
    </row>
    <row r="17" spans="1:4" ht="15.75">
      <c r="A17" s="22" t="s">
        <v>88</v>
      </c>
      <c r="B17" s="65">
        <f>IF(-21336.89159="","-",-21336.89159)</f>
        <v>-21336.89159</v>
      </c>
      <c r="C17" s="65">
        <f>IF(-26313.92066="","-",-26313.92066)</f>
        <v>-26313.92066</v>
      </c>
      <c r="D17" s="65">
        <f>IF(OR(-21336.89159="",-26313.92066="",-21336.89159=0),"-",-26313.92066/-21336.89159*100)</f>
        <v>123.32593315669558</v>
      </c>
    </row>
    <row r="18" spans="1:4" ht="15.75">
      <c r="A18" s="22" t="s">
        <v>97</v>
      </c>
      <c r="B18" s="65">
        <f>IF(-15135.25991="","-",-15135.25991)</f>
        <v>-15135.25991</v>
      </c>
      <c r="C18" s="65">
        <f>IF(-20422.59844="","-",-20422.59844)</f>
        <v>-20422.59844</v>
      </c>
      <c r="D18" s="65">
        <f>IF(OR(-15135.25991="",-20422.59844="",-15135.25991=0),"-",-20422.59844/-15135.25991*100)</f>
        <v>134.93391300473544</v>
      </c>
    </row>
    <row r="19" spans="1:4" ht="15.75">
      <c r="A19" s="22" t="s">
        <v>99</v>
      </c>
      <c r="B19" s="65">
        <f>IF(-12988.31918="","-",-12988.31918)</f>
        <v>-12988.31918</v>
      </c>
      <c r="C19" s="65">
        <f>IF(-18620.6367="","-",-18620.6367)</f>
        <v>-18620.6367</v>
      </c>
      <c r="D19" s="65">
        <f>IF(OR(-12988.31918="",-18620.6367="",-12988.31918=0),"-",-18620.6367/-12988.31918*100)</f>
        <v>143.36448344042003</v>
      </c>
    </row>
    <row r="20" spans="1:4" ht="15.75">
      <c r="A20" s="22" t="s">
        <v>9</v>
      </c>
      <c r="B20" s="65">
        <f>IF(-19277.32368="","-",-19277.32368)</f>
        <v>-19277.32368</v>
      </c>
      <c r="C20" s="65">
        <f>IF(-18123.25555="","-",-18123.25555)</f>
        <v>-18123.25555</v>
      </c>
      <c r="D20" s="65">
        <f>IF(OR(-19277.32368="",-18123.25555="",-19277.32368=0),"-",-18123.25555/-19277.32368*100)</f>
        <v>94.0133384220895</v>
      </c>
    </row>
    <row r="21" spans="1:4" ht="15.75">
      <c r="A21" s="22" t="s">
        <v>6</v>
      </c>
      <c r="B21" s="65">
        <f>IF(4288.93769="","-",4288.93769)</f>
        <v>4288.93769</v>
      </c>
      <c r="C21" s="65">
        <f>IF(-12145.8841="","-",-12145.8841)</f>
        <v>-12145.8841</v>
      </c>
      <c r="D21" s="71" t="s">
        <v>22</v>
      </c>
    </row>
    <row r="22" spans="1:6" ht="15.75">
      <c r="A22" s="22" t="s">
        <v>95</v>
      </c>
      <c r="B22" s="65">
        <f>IF(-10814.29="","-",-10814.29)</f>
        <v>-10814.29</v>
      </c>
      <c r="C22" s="65">
        <f>IF(-11644.11764="","-",-11644.11764)</f>
        <v>-11644.11764</v>
      </c>
      <c r="D22" s="65">
        <f>IF(OR(-10814.29="",-11644.11764="",-10814.29=0),"-",-11644.11764/-10814.29*100)</f>
        <v>107.67343616640575</v>
      </c>
      <c r="F22" t="s">
        <v>162</v>
      </c>
    </row>
    <row r="23" spans="1:4" ht="15.75">
      <c r="A23" s="22" t="s">
        <v>96</v>
      </c>
      <c r="B23" s="65">
        <f>IF(-10995.49988="","-",-10995.49988)</f>
        <v>-10995.49988</v>
      </c>
      <c r="C23" s="65">
        <f>IF(-11041.73375="","-",-11041.73375)</f>
        <v>-11041.73375</v>
      </c>
      <c r="D23" s="65">
        <f>IF(OR(-10995.49988="",-11041.73375="",-10995.49988=0),"-",-11041.73375/-10995.49988*100)</f>
        <v>100.42047992819406</v>
      </c>
    </row>
    <row r="24" spans="1:4" ht="15.75">
      <c r="A24" s="22" t="s">
        <v>91</v>
      </c>
      <c r="B24" s="65">
        <f>IF(-10962.75168="","-",-10962.75168)</f>
        <v>-10962.75168</v>
      </c>
      <c r="C24" s="65">
        <f>IF(-10792.52856="","-",-10792.52856)</f>
        <v>-10792.52856</v>
      </c>
      <c r="D24" s="65">
        <f>IF(OR(-10962.75168="",-10792.52856="",-10962.75168=0),"-",-10792.52856/-10962.75168*100)</f>
        <v>98.44725918301563</v>
      </c>
    </row>
    <row r="25" spans="1:4" ht="15.75">
      <c r="A25" s="22" t="s">
        <v>100</v>
      </c>
      <c r="B25" s="65">
        <f>IF(-5003.0511="","-",-5003.0511)</f>
        <v>-5003.0511</v>
      </c>
      <c r="C25" s="65">
        <f>IF(-5121.62057="","-",-5121.62057)</f>
        <v>-5121.62057</v>
      </c>
      <c r="D25" s="65">
        <f>IF(OR(-5003.0511="",-5121.62057="",-5003.0511=0),"-",-5121.62057/-5003.0511*100)</f>
        <v>102.36994321325241</v>
      </c>
    </row>
    <row r="26" spans="1:4" ht="15.75">
      <c r="A26" s="22" t="s">
        <v>98</v>
      </c>
      <c r="B26" s="65">
        <f>IF(-10257.58497="","-",-10257.58497)</f>
        <v>-10257.58497</v>
      </c>
      <c r="C26" s="65">
        <f>IF(-4910.0044="","-",-4910.0044)</f>
        <v>-4910.0044</v>
      </c>
      <c r="D26" s="65">
        <f>IF(OR(-10257.58497="",-4910.0044="",-10257.58497=0),"-",-4910.0044/-10257.58497*100)</f>
        <v>47.86706046657296</v>
      </c>
    </row>
    <row r="27" spans="1:4" ht="15.75">
      <c r="A27" s="22" t="s">
        <v>92</v>
      </c>
      <c r="B27" s="65">
        <f>IF(-2087.06017="","-",-2087.06017)</f>
        <v>-2087.06017</v>
      </c>
      <c r="C27" s="65">
        <f>IF(-4744.81794="","-",-4744.81794)</f>
        <v>-4744.81794</v>
      </c>
      <c r="D27" s="71" t="s">
        <v>166</v>
      </c>
    </row>
    <row r="28" spans="1:4" ht="15.75">
      <c r="A28" s="22" t="s">
        <v>90</v>
      </c>
      <c r="B28" s="65">
        <f>IF(-2604.64424="","-",-2604.64424)</f>
        <v>-2604.64424</v>
      </c>
      <c r="C28" s="65">
        <f>IF(-4145.60278="","-",-4145.60278)</f>
        <v>-4145.60278</v>
      </c>
      <c r="D28" s="71" t="s">
        <v>203</v>
      </c>
    </row>
    <row r="29" spans="1:4" ht="15.75">
      <c r="A29" s="22" t="s">
        <v>208</v>
      </c>
      <c r="B29" s="65">
        <f>IF(-1067.10227="","-",-1067.10227)</f>
        <v>-1067.10227</v>
      </c>
      <c r="C29" s="65">
        <f>IF(-1843.90827="","-",-1843.90827)</f>
        <v>-1843.90827</v>
      </c>
      <c r="D29" s="71" t="s">
        <v>157</v>
      </c>
    </row>
    <row r="30" spans="1:4" ht="15.75">
      <c r="A30" s="22" t="s">
        <v>93</v>
      </c>
      <c r="B30" s="65">
        <f>IF(-1474.43056="","-",-1474.43056)</f>
        <v>-1474.43056</v>
      </c>
      <c r="C30" s="65">
        <f>IF(-1483.55999="","-",-1483.55999)</f>
        <v>-1483.55999</v>
      </c>
      <c r="D30" s="65">
        <f>IF(OR(-1474.43056="",-1483.55999="",-1474.43056=0),"-",-1483.55999/-1474.43056*100)</f>
        <v>100.6191834493718</v>
      </c>
    </row>
    <row r="31" spans="1:4" ht="15.75">
      <c r="A31" s="22" t="s">
        <v>101</v>
      </c>
      <c r="B31" s="65">
        <f>IF(-1979.3251="","-",-1979.3251)</f>
        <v>-1979.3251</v>
      </c>
      <c r="C31" s="65">
        <f>IF(-755.8495="","-",-755.8495)</f>
        <v>-755.8495</v>
      </c>
      <c r="D31" s="65">
        <f>IF(OR(-1979.3251="",-755.8495="",-1979.3251=0),"-",-755.8495/-1979.3251*100)</f>
        <v>38.18723361816611</v>
      </c>
    </row>
    <row r="32" spans="1:4" ht="15.75">
      <c r="A32" s="22" t="s">
        <v>102</v>
      </c>
      <c r="B32" s="65">
        <f>IF(-219.10595="","-",-219.10595)</f>
        <v>-219.10595</v>
      </c>
      <c r="C32" s="65">
        <f>IF(510.87091="","-",510.87091)</f>
        <v>510.87091</v>
      </c>
      <c r="D32" s="71" t="s">
        <v>22</v>
      </c>
    </row>
    <row r="33" spans="1:4" ht="15.75">
      <c r="A33" s="22" t="s">
        <v>94</v>
      </c>
      <c r="B33" s="65">
        <f>IF(5860.32855="","-",5860.32855)</f>
        <v>5860.32855</v>
      </c>
      <c r="C33" s="65">
        <f>IF(6142.82872="","-",6142.82872)</f>
        <v>6142.82872</v>
      </c>
      <c r="D33" s="65">
        <f>IF(OR(5860.32855="",6142.82872="",5860.32855=0),"-",6142.82872/5860.32855*100)</f>
        <v>104.82055174193263</v>
      </c>
    </row>
    <row r="34" spans="1:4" ht="15.75">
      <c r="A34" s="22" t="s">
        <v>8</v>
      </c>
      <c r="B34" s="65">
        <f>IF(4556.45379="","-",4556.45379)</f>
        <v>4556.45379</v>
      </c>
      <c r="C34" s="65">
        <f>IF(10785.14016="","-",10785.14016)</f>
        <v>10785.14016</v>
      </c>
      <c r="D34" s="71" t="s">
        <v>230</v>
      </c>
    </row>
    <row r="35" spans="1:4" ht="15.75">
      <c r="A35" s="22" t="s">
        <v>205</v>
      </c>
      <c r="B35" s="65">
        <f>IF(65101.24302="","-",65101.24302)</f>
        <v>65101.24302</v>
      </c>
      <c r="C35" s="65">
        <f>IF(19966.80769="","-",19966.80769)</f>
        <v>19966.80769</v>
      </c>
      <c r="D35" s="80">
        <f>IF(OR(65101.24302="",19966.80769="",65101.24302=0),"-",19966.80769/65101.24302*100)</f>
        <v>30.670393933747043</v>
      </c>
    </row>
    <row r="36" spans="1:4" ht="15.75">
      <c r="A36" s="58" t="s">
        <v>216</v>
      </c>
      <c r="B36" s="63">
        <f>IF(-584436.64623="","-",-584436.64623)</f>
        <v>-584436.64623</v>
      </c>
      <c r="C36" s="63">
        <f>IF(-796844.17701="","-",-796844.17701)</f>
        <v>-796844.17701</v>
      </c>
      <c r="D36" s="63">
        <f>IF(-584436.64623="","-",-796844.17701/-584436.64623*100)</f>
        <v>136.34397879567751</v>
      </c>
    </row>
    <row r="37" spans="1:4" ht="15.75">
      <c r="A37" s="22" t="s">
        <v>11</v>
      </c>
      <c r="B37" s="65">
        <f>IF(-364731.47676="","-",-364731.47676)</f>
        <v>-364731.47676</v>
      </c>
      <c r="C37" s="65">
        <f>IF(-409266.69513="","-",-409266.69513)</f>
        <v>-409266.69513</v>
      </c>
      <c r="D37" s="65">
        <f>IF(OR(-364731.47676="",-409266.69513="",-364731.47676=0),"-",-409266.69513/-364731.47676*100)</f>
        <v>112.21041264812605</v>
      </c>
    </row>
    <row r="38" spans="1:4" ht="15.75">
      <c r="A38" s="22" t="s">
        <v>209</v>
      </c>
      <c r="B38" s="65">
        <f>IF(-234143.83117="","-",-234143.83117)</f>
        <v>-234143.83117</v>
      </c>
      <c r="C38" s="65">
        <f>IF(-362836.04895="","-",-362836.04895)</f>
        <v>-362836.04895</v>
      </c>
      <c r="D38" s="71" t="s">
        <v>203</v>
      </c>
    </row>
    <row r="39" spans="1:4" ht="15.75">
      <c r="A39" s="22" t="s">
        <v>10</v>
      </c>
      <c r="B39" s="65">
        <f>IF(-3734.06408="","-",-3734.06408)</f>
        <v>-3734.06408</v>
      </c>
      <c r="C39" s="65">
        <f>IF(-28879.8045="","-",-28879.8045)</f>
        <v>-28879.8045</v>
      </c>
      <c r="D39" s="71" t="s">
        <v>256</v>
      </c>
    </row>
    <row r="40" spans="1:4" ht="15.75">
      <c r="A40" s="22" t="s">
        <v>15</v>
      </c>
      <c r="B40" s="65">
        <f>IF(503.44108="","-",503.44108)</f>
        <v>503.44108</v>
      </c>
      <c r="C40" s="65">
        <f>IF(-10401.57414="","-",-10401.57414)</f>
        <v>-10401.57414</v>
      </c>
      <c r="D40" s="71" t="s">
        <v>22</v>
      </c>
    </row>
    <row r="41" spans="1:4" ht="15.75">
      <c r="A41" s="22" t="s">
        <v>14</v>
      </c>
      <c r="B41" s="65">
        <f>IF(-316.13708="","-",-316.13708)</f>
        <v>-316.13708</v>
      </c>
      <c r="C41" s="65">
        <f>IF(-436.9096="","-",-436.9096)</f>
        <v>-436.9096</v>
      </c>
      <c r="D41" s="65">
        <f>IF(OR(-316.13708="",-436.9096="",-316.13708=0),"-",-436.9096/-316.13708*100)</f>
        <v>138.2025797163686</v>
      </c>
    </row>
    <row r="42" spans="1:4" ht="15.75">
      <c r="A42" s="22" t="s">
        <v>17</v>
      </c>
      <c r="B42" s="65">
        <f>IF(369.92825="","-",369.92825)</f>
        <v>369.92825</v>
      </c>
      <c r="C42" s="65">
        <f>IF(304.32466="","-",304.32466)</f>
        <v>304.32466</v>
      </c>
      <c r="D42" s="65">
        <f>IF(OR(369.92825="",304.32466="",369.92825=0),"-",304.32466/369.92825*100)</f>
        <v>82.26586101494006</v>
      </c>
    </row>
    <row r="43" spans="1:4" ht="15.75">
      <c r="A43" s="22" t="s">
        <v>263</v>
      </c>
      <c r="B43" s="65">
        <f>IF(771.45314="","-",771.45314)</f>
        <v>771.45314</v>
      </c>
      <c r="C43" s="65">
        <f>IF(657.90887="","-",657.90887)</f>
        <v>657.90887</v>
      </c>
      <c r="D43" s="65">
        <f>IF(OR(771.45314="",657.90887="",771.45314=0),"-",657.90887/771.45314*100)</f>
        <v>85.28176708179579</v>
      </c>
    </row>
    <row r="44" spans="1:4" ht="15.75">
      <c r="A44" s="22" t="s">
        <v>16</v>
      </c>
      <c r="B44" s="65">
        <f>IF(376.5026="","-",376.5026)</f>
        <v>376.5026</v>
      </c>
      <c r="C44" s="65">
        <f>IF(795.95359="","-",795.95359)</f>
        <v>795.95359</v>
      </c>
      <c r="D44" s="71" t="s">
        <v>144</v>
      </c>
    </row>
    <row r="45" spans="1:4" ht="15.75">
      <c r="A45" s="22" t="s">
        <v>13</v>
      </c>
      <c r="B45" s="65">
        <f>IF(4158.58594="","-",4158.58594)</f>
        <v>4158.58594</v>
      </c>
      <c r="C45" s="65">
        <f>IF(3074.2771="","-",3074.2771)</f>
        <v>3074.2771</v>
      </c>
      <c r="D45" s="65">
        <f>IF(OR(4158.58594="",3074.2771="",4158.58594=0),"-",3074.2771/4158.58594*100)</f>
        <v>73.92602063190739</v>
      </c>
    </row>
    <row r="46" spans="1:4" ht="15.75">
      <c r="A46" s="22" t="s">
        <v>12</v>
      </c>
      <c r="B46" s="65">
        <f>IF(12308.95185="","-",12308.95185)</f>
        <v>12308.95185</v>
      </c>
      <c r="C46" s="65">
        <f>IF(10144.39109="","-",10144.39109)</f>
        <v>10144.39109</v>
      </c>
      <c r="D46" s="65">
        <f>IF(OR(12308.95185="",10144.39109="",12308.95185=0),"-",10144.39109/12308.95185*100)</f>
        <v>82.41474346168638</v>
      </c>
    </row>
    <row r="47" spans="1:4" ht="15.75">
      <c r="A47" s="58" t="s">
        <v>215</v>
      </c>
      <c r="B47" s="63">
        <f>IF(-709767.9849="","-",-709767.9849)</f>
        <v>-709767.9849</v>
      </c>
      <c r="C47" s="63">
        <f>IF(-871686.89588="","-",-871686.89588)</f>
        <v>-871686.89588</v>
      </c>
      <c r="D47" s="63">
        <f>IF(-709767.9849="","-",-871686.89588/-709767.9849*100)</f>
        <v>122.8129352724768</v>
      </c>
    </row>
    <row r="48" spans="1:4" ht="15.75">
      <c r="A48" s="22" t="s">
        <v>106</v>
      </c>
      <c r="B48" s="65">
        <f>IF(-389800.54187="","-",-389800.54187)</f>
        <v>-389800.54187</v>
      </c>
      <c r="C48" s="65">
        <f>IF(-480329.08334="","-",-480329.08334)</f>
        <v>-480329.08334</v>
      </c>
      <c r="D48" s="65">
        <f>IF(OR(-389800.54187="",-480329.08334="",-389800.54187=0),"-",-480329.08334/-389800.54187*100)</f>
        <v>123.22432417248707</v>
      </c>
    </row>
    <row r="49" spans="1:4" ht="15.75">
      <c r="A49" s="22" t="s">
        <v>103</v>
      </c>
      <c r="B49" s="65">
        <f>IF(-169511.92958="","-",-169511.92958)</f>
        <v>-169511.92958</v>
      </c>
      <c r="C49" s="65">
        <f>IF(-201820.70166="","-",-201820.70166)</f>
        <v>-201820.70166</v>
      </c>
      <c r="D49" s="65">
        <f>IF(OR(-169511.92958="",-201820.70166="",-169511.92958=0),"-",-201820.70166/-169511.92958*100)</f>
        <v>119.05988101253493</v>
      </c>
    </row>
    <row r="50" spans="1:4" ht="15.75">
      <c r="A50" s="22" t="s">
        <v>18</v>
      </c>
      <c r="B50" s="65">
        <f>IF(-44455.47165="","-",-44455.47165)</f>
        <v>-44455.47165</v>
      </c>
      <c r="C50" s="65">
        <f>IF(-46213.17998="","-",-46213.17998)</f>
        <v>-46213.17998</v>
      </c>
      <c r="D50" s="65">
        <f>IF(OR(-44455.47165="",-46213.17998="",-44455.47165=0),"-",-46213.17998/-44455.47165*100)</f>
        <v>103.95386274121333</v>
      </c>
    </row>
    <row r="51" spans="1:4" ht="15.75">
      <c r="A51" s="22" t="s">
        <v>124</v>
      </c>
      <c r="B51" s="65">
        <f>IF(-28389.31257="","-",-28389.31257)</f>
        <v>-28389.31257</v>
      </c>
      <c r="C51" s="65">
        <f>IF(-43810.02192="","-",-43810.02192)</f>
        <v>-43810.02192</v>
      </c>
      <c r="D51" s="71" t="s">
        <v>286</v>
      </c>
    </row>
    <row r="52" spans="1:4" ht="15.75">
      <c r="A52" s="22" t="s">
        <v>84</v>
      </c>
      <c r="B52" s="65">
        <f>IF(-22220.49515="","-",-22220.49515)</f>
        <v>-22220.49515</v>
      </c>
      <c r="C52" s="65">
        <f>IF(-32853.53527="","-",-32853.53527)</f>
        <v>-32853.53527</v>
      </c>
      <c r="D52" s="65">
        <f>IF(OR(-22220.49515="",-32853.53527="",-22220.49515=0),"-",-32853.53527/-22220.49515*100)</f>
        <v>147.85239954475094</v>
      </c>
    </row>
    <row r="53" spans="1:4" ht="15.75">
      <c r="A53" s="22" t="s">
        <v>120</v>
      </c>
      <c r="B53" s="65">
        <f>IF(-26860.94316="","-",-26860.94316)</f>
        <v>-26860.94316</v>
      </c>
      <c r="C53" s="65">
        <f>IF(-29756.0461="","-",-29756.0461)</f>
        <v>-29756.0461</v>
      </c>
      <c r="D53" s="65">
        <f>IF(OR(-26860.94316="",-29756.0461="",-26860.94316=0),"-",-29756.0461/-26860.94316*100)</f>
        <v>110.7781134964436</v>
      </c>
    </row>
    <row r="54" spans="1:4" ht="15.75">
      <c r="A54" s="22" t="s">
        <v>117</v>
      </c>
      <c r="B54" s="65">
        <f>IF(-21849.13027="","-",-21849.13027)</f>
        <v>-21849.13027</v>
      </c>
      <c r="C54" s="65">
        <f>IF(-24710.08686="","-",-24710.08686)</f>
        <v>-24710.08686</v>
      </c>
      <c r="D54" s="65">
        <f>IF(OR(-21849.13027="",-24710.08686="",-21849.13027=0),"-",-24710.08686/-21849.13027*100)</f>
        <v>113.094144044389</v>
      </c>
    </row>
    <row r="55" spans="1:4" ht="15.75">
      <c r="A55" s="22" t="s">
        <v>118</v>
      </c>
      <c r="B55" s="65">
        <f>IF(-14584.27056="","-",-14584.27056)</f>
        <v>-14584.27056</v>
      </c>
      <c r="C55" s="65">
        <f>IF(-15301.45485="","-",-15301.45485)</f>
        <v>-15301.45485</v>
      </c>
      <c r="D55" s="65">
        <f>IF(OR(-14584.27056="",-15301.45485="",-14584.27056=0),"-",-15301.45485/-14584.27056*100)</f>
        <v>104.91751909736924</v>
      </c>
    </row>
    <row r="56" spans="1:4" ht="15.75">
      <c r="A56" s="22" t="s">
        <v>129</v>
      </c>
      <c r="B56" s="65">
        <f>IF(-9982.6264="","-",-9982.6264)</f>
        <v>-9982.6264</v>
      </c>
      <c r="C56" s="65">
        <f>IF(-12085.10942="","-",-12085.10942)</f>
        <v>-12085.10942</v>
      </c>
      <c r="D56" s="65">
        <f>IF(OR(-9982.6264="",-12085.10942="",-9982.6264=0),"-",-12085.10942/-9982.6264*100)</f>
        <v>121.06142147120724</v>
      </c>
    </row>
    <row r="57" spans="1:4" ht="15.75">
      <c r="A57" s="22" t="s">
        <v>133</v>
      </c>
      <c r="B57" s="65">
        <f>IF(-4178.45052="","-",-4178.45052)</f>
        <v>-4178.45052</v>
      </c>
      <c r="C57" s="65">
        <f>IF(-9406.19766="","-",-9406.19766)</f>
        <v>-9406.19766</v>
      </c>
      <c r="D57" s="71" t="s">
        <v>166</v>
      </c>
    </row>
    <row r="58" spans="1:4" ht="15.75">
      <c r="A58" s="22" t="s">
        <v>119</v>
      </c>
      <c r="B58" s="65">
        <f>IF(-7163.48392="","-",-7163.48392)</f>
        <v>-7163.48392</v>
      </c>
      <c r="C58" s="65">
        <f>IF(-7385.09272="","-",-7385.09272)</f>
        <v>-7385.09272</v>
      </c>
      <c r="D58" s="65">
        <f>IF(OR(-7163.48392="",-7385.09272="",-7163.48392=0),"-",-7385.09272/-7163.48392*100)</f>
        <v>103.09358969008477</v>
      </c>
    </row>
    <row r="59" spans="1:4" ht="15.75">
      <c r="A59" s="22" t="s">
        <v>109</v>
      </c>
      <c r="B59" s="65">
        <f>IF(-4292.86299="","-",-4292.86299)</f>
        <v>-4292.86299</v>
      </c>
      <c r="C59" s="65">
        <f>IF(-7059.54791="","-",-7059.54791)</f>
        <v>-7059.54791</v>
      </c>
      <c r="D59" s="71" t="s">
        <v>203</v>
      </c>
    </row>
    <row r="60" spans="1:4" ht="15.75">
      <c r="A60" s="22" t="s">
        <v>132</v>
      </c>
      <c r="B60" s="65">
        <f>IF(-5620.63765="","-",-5620.63765)</f>
        <v>-5620.63765</v>
      </c>
      <c r="C60" s="65">
        <f>IF(-6481.79298="","-",-6481.79298)</f>
        <v>-6481.79298</v>
      </c>
      <c r="D60" s="65">
        <f>IF(OR(-5620.63765="",-6481.79298="",-5620.63765=0),"-",-6481.79298/-5620.63765*100)</f>
        <v>115.3213102075705</v>
      </c>
    </row>
    <row r="61" spans="1:7" ht="15.75">
      <c r="A61" s="22" t="s">
        <v>126</v>
      </c>
      <c r="B61" s="65">
        <f>IF(-5819.01417="","-",-5819.01417)</f>
        <v>-5819.01417</v>
      </c>
      <c r="C61" s="65">
        <f>IF(-6304.09708="","-",-6304.09708)</f>
        <v>-6304.09708</v>
      </c>
      <c r="D61" s="65">
        <f>IF(OR(-5819.01417="",-6304.09708="",-5819.01417=0),"-",-6304.09708/-5819.01417*100)</f>
        <v>108.3361699392459</v>
      </c>
      <c r="E61" s="1"/>
      <c r="F61" s="1"/>
      <c r="G61" s="1"/>
    </row>
    <row r="62" spans="1:4" ht="15.75">
      <c r="A62" s="22" t="s">
        <v>130</v>
      </c>
      <c r="B62" s="65">
        <f>IF(-6302.20664="","-",-6302.20664)</f>
        <v>-6302.20664</v>
      </c>
      <c r="C62" s="65">
        <f>IF(-5547.31086="","-",-5547.31086)</f>
        <v>-5547.31086</v>
      </c>
      <c r="D62" s="65">
        <f>IF(OR(-6302.20664="",-5547.31086="",-6302.20664=0),"-",-5547.31086/-6302.20664*100)</f>
        <v>88.02172281675612</v>
      </c>
    </row>
    <row r="63" spans="1:4" ht="15.75">
      <c r="A63" s="22" t="s">
        <v>114</v>
      </c>
      <c r="B63" s="65">
        <f>IF(-7135.2142="","-",-7135.2142)</f>
        <v>-7135.2142</v>
      </c>
      <c r="C63" s="65">
        <f>IF(-5349.66158="","-",-5349.66158)</f>
        <v>-5349.66158</v>
      </c>
      <c r="D63" s="65">
        <f>IF(OR(-7135.2142="",-5349.66158="",-7135.2142=0),"-",-5349.66158/-7135.2142*100)</f>
        <v>74.97548679057175</v>
      </c>
    </row>
    <row r="64" spans="1:4" ht="15.75">
      <c r="A64" s="22" t="s">
        <v>110</v>
      </c>
      <c r="B64" s="65">
        <f>IF(-6471.1919="","-",-6471.1919)</f>
        <v>-6471.1919</v>
      </c>
      <c r="C64" s="65">
        <f>IF(-5132.1257="","-",-5132.1257)</f>
        <v>-5132.1257</v>
      </c>
      <c r="D64" s="65">
        <f>IF(OR(-6471.1919="",-5132.1257="",-6471.1919=0),"-",-5132.1257/-6471.1919*100)</f>
        <v>79.30727104538501</v>
      </c>
    </row>
    <row r="65" spans="1:4" ht="15.75">
      <c r="A65" s="22" t="s">
        <v>134</v>
      </c>
      <c r="B65" s="65">
        <f>IF(-3340.64853="","-",-3340.64853)</f>
        <v>-3340.64853</v>
      </c>
      <c r="C65" s="65">
        <f>IF(-4532.75653="","-",-4532.75653)</f>
        <v>-4532.75653</v>
      </c>
      <c r="D65" s="65">
        <f>IF(OR(-3340.64853="",-4532.75653="",-3340.64853=0),"-",-4532.75653/-3340.64853*100)</f>
        <v>135.68492732158205</v>
      </c>
    </row>
    <row r="66" spans="1:4" ht="15.75">
      <c r="A66" s="22" t="s">
        <v>131</v>
      </c>
      <c r="B66" s="65">
        <f>IF(-4697.73648="","-",-4697.73648)</f>
        <v>-4697.73648</v>
      </c>
      <c r="C66" s="65">
        <f>IF(-4394.15268="","-",-4394.15268)</f>
        <v>-4394.15268</v>
      </c>
      <c r="D66" s="65">
        <f>IF(OR(-4697.73648="",-4394.15268="",-4697.73648=0),"-",-4394.15268/-4697.73648*100)</f>
        <v>93.53765794883412</v>
      </c>
    </row>
    <row r="67" spans="1:4" ht="15.75">
      <c r="A67" s="22" t="s">
        <v>138</v>
      </c>
      <c r="B67" s="65">
        <f>IF(-1679.8977="","-",-1679.8977)</f>
        <v>-1679.8977</v>
      </c>
      <c r="C67" s="65">
        <f>IF(-3834.26826="","-",-3834.26826)</f>
        <v>-3834.26826</v>
      </c>
      <c r="D67" s="71" t="s">
        <v>166</v>
      </c>
    </row>
    <row r="68" spans="1:7" ht="15.75">
      <c r="A68" s="22" t="s">
        <v>116</v>
      </c>
      <c r="B68" s="65">
        <f>IF(-865.41532="","-",-865.41532)</f>
        <v>-865.41532</v>
      </c>
      <c r="C68" s="65">
        <f>IF(-3500.98078="","-",-3500.98078)</f>
        <v>-3500.98078</v>
      </c>
      <c r="D68" s="71" t="s">
        <v>298</v>
      </c>
      <c r="E68" s="1"/>
      <c r="F68" s="1"/>
      <c r="G68" s="1"/>
    </row>
    <row r="69" spans="1:4" ht="15.75">
      <c r="A69" s="22" t="s">
        <v>135</v>
      </c>
      <c r="B69" s="65">
        <f>IF(-2560.98253="","-",-2560.98253)</f>
        <v>-2560.98253</v>
      </c>
      <c r="C69" s="65">
        <f>IF(-3424.89772="","-",-3424.89772)</f>
        <v>-3424.89772</v>
      </c>
      <c r="D69" s="65">
        <f>IF(OR(-2560.98253="",-3424.89772="",-2560.98253=0),"-",-3424.89772/-2560.98253*100)</f>
        <v>133.73374007358026</v>
      </c>
    </row>
    <row r="70" spans="1:4" ht="15.75">
      <c r="A70" s="22" t="s">
        <v>122</v>
      </c>
      <c r="B70" s="65">
        <f>IF(-1734.82627="","-",-1734.82627)</f>
        <v>-1734.82627</v>
      </c>
      <c r="C70" s="65">
        <f>IF(-3412.28283999999="","-",-3412.28283999999)</f>
        <v>-3412.28283999999</v>
      </c>
      <c r="D70" s="71" t="s">
        <v>19</v>
      </c>
    </row>
    <row r="71" spans="1:4" ht="15.75">
      <c r="A71" s="22" t="s">
        <v>86</v>
      </c>
      <c r="B71" s="65">
        <f>IF(-2123.79242="","-",-2123.79242)</f>
        <v>-2123.79242</v>
      </c>
      <c r="C71" s="65">
        <f>IF(-2759.78453="","-",-2759.78453)</f>
        <v>-2759.78453</v>
      </c>
      <c r="D71" s="65">
        <f>IF(OR(-2123.79242="",-2759.78453="",-2123.79242=0),"-",-2759.78453/-2123.79242*100)</f>
        <v>129.9460580050474</v>
      </c>
    </row>
    <row r="72" spans="1:4" ht="15.75">
      <c r="A72" s="22" t="s">
        <v>137</v>
      </c>
      <c r="B72" s="65">
        <f>IF(-3121.20506="","-",-3121.20506)</f>
        <v>-3121.20506</v>
      </c>
      <c r="C72" s="65">
        <f>IF(-2122.08102="","-",-2122.08102)</f>
        <v>-2122.08102</v>
      </c>
      <c r="D72" s="65">
        <f>IF(OR(-3121.20506="",-2122.08102="",-3121.20506=0),"-",-2122.08102/-3121.20506*100)</f>
        <v>67.98915736731506</v>
      </c>
    </row>
    <row r="73" spans="1:4" ht="15.75">
      <c r="A73" s="22" t="s">
        <v>112</v>
      </c>
      <c r="B73" s="65">
        <f>IF(-2951.65338="","-",-2951.65338)</f>
        <v>-2951.65338</v>
      </c>
      <c r="C73" s="65">
        <f>IF(-2020.08101="","-",-2020.08101)</f>
        <v>-2020.08101</v>
      </c>
      <c r="D73" s="65">
        <f>IF(OR(-2951.65338="",-2020.08101="",-2951.65338=0),"-",-2020.08101/-2951.65338*100)</f>
        <v>68.4389645372249</v>
      </c>
    </row>
    <row r="74" spans="1:4" ht="15.75">
      <c r="A74" s="22" t="s">
        <v>121</v>
      </c>
      <c r="B74" s="65">
        <f>IF(-1332.09967="","-",-1332.09967)</f>
        <v>-1332.09967</v>
      </c>
      <c r="C74" s="65">
        <f>IF(-1761.66924="","-",-1761.66924)</f>
        <v>-1761.66924</v>
      </c>
      <c r="D74" s="65">
        <f>IF(OR(-1332.09967="",-1761.66924="",-1332.09967=0),"-",-1761.66924/-1332.09967*100)</f>
        <v>132.24755471938522</v>
      </c>
    </row>
    <row r="75" spans="1:4" ht="15.75">
      <c r="A75" s="22" t="s">
        <v>85</v>
      </c>
      <c r="B75" s="65">
        <f>IF(20.0969="","-",20.0969)</f>
        <v>20.0969</v>
      </c>
      <c r="C75" s="65">
        <f>IF(-1468.89732="","-",-1468.89732)</f>
        <v>-1468.89732</v>
      </c>
      <c r="D75" s="71" t="s">
        <v>22</v>
      </c>
    </row>
    <row r="76" spans="1:7" ht="15.75">
      <c r="A76" s="22" t="s">
        <v>115</v>
      </c>
      <c r="B76" s="65">
        <f>IF(236.7754="","-",236.7754)</f>
        <v>236.7754</v>
      </c>
      <c r="C76" s="65">
        <f>IF(-1433.71208="","-",-1433.71208)</f>
        <v>-1433.71208</v>
      </c>
      <c r="D76" s="71" t="s">
        <v>22</v>
      </c>
      <c r="E76" s="16"/>
      <c r="F76" s="16"/>
      <c r="G76" s="16"/>
    </row>
    <row r="77" spans="1:4" ht="15.75">
      <c r="A77" s="22" t="s">
        <v>187</v>
      </c>
      <c r="B77" s="65">
        <f>IF(10671.29234="","-",10671.29234)</f>
        <v>10671.29234</v>
      </c>
      <c r="C77" s="65">
        <f>IF(-1291.82775="","-",-1291.82775)</f>
        <v>-1291.82775</v>
      </c>
      <c r="D77" s="71" t="s">
        <v>22</v>
      </c>
    </row>
    <row r="78" spans="1:4" ht="15.75">
      <c r="A78" s="22" t="s">
        <v>136</v>
      </c>
      <c r="B78" s="65">
        <f>IF(-976.59371="","-",-976.59371)</f>
        <v>-976.59371</v>
      </c>
      <c r="C78" s="65">
        <f>IF(-1206.70875="","-",-1206.70875)</f>
        <v>-1206.70875</v>
      </c>
      <c r="D78" s="65">
        <f>IF(OR(-976.59371="",-1206.70875="",-976.59371=0),"-",-1206.70875/-976.59371*100)</f>
        <v>123.56302704427617</v>
      </c>
    </row>
    <row r="79" spans="1:4" ht="15.75">
      <c r="A79" s="22" t="s">
        <v>147</v>
      </c>
      <c r="B79" s="65">
        <f>IF(-536.97645="","-",-536.97645)</f>
        <v>-536.97645</v>
      </c>
      <c r="C79" s="65">
        <f>IF(-1177.80119="","-",-1177.80119)</f>
        <v>-1177.80119</v>
      </c>
      <c r="D79" s="71" t="s">
        <v>149</v>
      </c>
    </row>
    <row r="80" spans="1:4" ht="15.75">
      <c r="A80" s="22" t="s">
        <v>139</v>
      </c>
      <c r="B80" s="65">
        <f>IF(-933.11358="","-",-933.11358)</f>
        <v>-933.11358</v>
      </c>
      <c r="C80" s="65">
        <f>IF(-1033.50329="","-",-1033.50329)</f>
        <v>-1033.50329</v>
      </c>
      <c r="D80" s="65">
        <f>IF(OR(-933.11358="",-1033.50329="",-933.11358=0),"-",-1033.50329/-933.11358*100)</f>
        <v>110.75857346326481</v>
      </c>
    </row>
    <row r="81" spans="1:4" ht="15.75">
      <c r="A81" s="22" t="s">
        <v>240</v>
      </c>
      <c r="B81" s="65">
        <f>IF(-494.50077="","-",-494.50077)</f>
        <v>-494.50077</v>
      </c>
      <c r="C81" s="65">
        <f>IF(-1004.06519="","-",-1004.06519)</f>
        <v>-1004.06519</v>
      </c>
      <c r="D81" s="71" t="s">
        <v>19</v>
      </c>
    </row>
    <row r="82" spans="1:4" ht="15.75">
      <c r="A82" s="22" t="s">
        <v>142</v>
      </c>
      <c r="B82" s="65">
        <f>IF(-846.21326="","-",-846.21326)</f>
        <v>-846.21326</v>
      </c>
      <c r="C82" s="65">
        <f>IF(-986.42047="","-",-986.42047)</f>
        <v>-986.42047</v>
      </c>
      <c r="D82" s="65">
        <f>IF(OR(-846.21326="",-986.42047="",-846.21326=0),"-",-986.42047/-846.21326*100)</f>
        <v>116.56877960054656</v>
      </c>
    </row>
    <row r="83" spans="1:4" ht="15.75">
      <c r="A83" s="22" t="s">
        <v>108</v>
      </c>
      <c r="B83" s="65">
        <f>IF(-1476.76697="","-",-1476.76697)</f>
        <v>-1476.76697</v>
      </c>
      <c r="C83" s="65">
        <f>IF(-945.22441="","-",-945.22441)</f>
        <v>-945.22441</v>
      </c>
      <c r="D83" s="65">
        <f>IF(OR(-1476.76697="",-945.22441="",-1476.76697=0),"-",-945.22441/-1476.76697*100)</f>
        <v>64.00633472998113</v>
      </c>
    </row>
    <row r="84" spans="1:4" ht="15.75">
      <c r="A84" s="22" t="s">
        <v>128</v>
      </c>
      <c r="B84" s="65">
        <f>IF(-613.38789="","-",-613.38789)</f>
        <v>-613.38789</v>
      </c>
      <c r="C84" s="65">
        <f>IF(-943.48934="","-",-943.48934)</f>
        <v>-943.48934</v>
      </c>
      <c r="D84" s="71" t="s">
        <v>286</v>
      </c>
    </row>
    <row r="85" spans="1:4" ht="15.75">
      <c r="A85" s="22" t="s">
        <v>140</v>
      </c>
      <c r="B85" s="65">
        <f>IF(-435.06662="","-",-435.06662)</f>
        <v>-435.06662</v>
      </c>
      <c r="C85" s="65">
        <f>IF(-901.57249="","-",-901.57249)</f>
        <v>-901.57249</v>
      </c>
      <c r="D85" s="71" t="s">
        <v>144</v>
      </c>
    </row>
    <row r="86" spans="1:4" ht="15.75">
      <c r="A86" s="41" t="s">
        <v>299</v>
      </c>
      <c r="B86" s="37">
        <f>IF(83.52727="","-",83.52727)</f>
        <v>83.52727</v>
      </c>
      <c r="C86" s="37">
        <f>IF(-797.78782="","-",-797.78782)</f>
        <v>-797.78782</v>
      </c>
      <c r="D86" s="72" t="s">
        <v>22</v>
      </c>
    </row>
    <row r="87" spans="1:4" ht="15.75">
      <c r="A87" s="81" t="s">
        <v>198</v>
      </c>
      <c r="B87" s="82" t="str">
        <f>IF(OR(0="",-631.62479="",0=0),"-",-631.62479/0*100)</f>
        <v>-</v>
      </c>
      <c r="C87" s="83">
        <f>IF(-631.62479="","-",-631.62479)</f>
        <v>-631.62479</v>
      </c>
      <c r="D87" s="82" t="s">
        <v>22</v>
      </c>
    </row>
    <row r="88" spans="1:4" ht="15.75">
      <c r="A88" s="41" t="s">
        <v>154</v>
      </c>
      <c r="B88" s="37">
        <f>IF(-843.45849="","-",-843.45849)</f>
        <v>-843.45849</v>
      </c>
      <c r="C88" s="37">
        <f>IF(-540.86238="","-",-540.86238)</f>
        <v>-540.86238</v>
      </c>
      <c r="D88" s="37">
        <f>IF(OR(-843.45849="",-540.86238="",-843.45849=0),"-",-540.86238/-843.45849*100)</f>
        <v>64.12436253976173</v>
      </c>
    </row>
    <row r="89" spans="1:4" ht="15.75">
      <c r="A89" s="22" t="s">
        <v>148</v>
      </c>
      <c r="B89" s="65">
        <f>IF(-211.08594="","-",-211.08594)</f>
        <v>-211.08594</v>
      </c>
      <c r="C89" s="65">
        <f>IF(-513.75703="","-",-513.75703)</f>
        <v>-513.75703</v>
      </c>
      <c r="D89" s="71" t="s">
        <v>230</v>
      </c>
    </row>
    <row r="90" spans="1:4" ht="15.75">
      <c r="A90" s="22" t="s">
        <v>155</v>
      </c>
      <c r="B90" s="65">
        <f>IF(-282.22634="","-",-282.22634)</f>
        <v>-282.22634</v>
      </c>
      <c r="C90" s="65">
        <f>IF(-467.01363="","-",-467.01363)</f>
        <v>-467.01363</v>
      </c>
      <c r="D90" s="71" t="s">
        <v>157</v>
      </c>
    </row>
    <row r="91" spans="1:4" ht="15.75">
      <c r="A91" s="22" t="s">
        <v>141</v>
      </c>
      <c r="B91" s="65">
        <f>IF(-1652.7182="","-",-1652.7182)</f>
        <v>-1652.7182</v>
      </c>
      <c r="C91" s="65">
        <f>IF(-465.23418="","-",-465.23418)</f>
        <v>-465.23418</v>
      </c>
      <c r="D91" s="65">
        <f>IF(OR(-1652.7182="",-465.23418="",-1652.7182=0),"-",-465.23418/-1652.7182*100)</f>
        <v>28.149637367096215</v>
      </c>
    </row>
    <row r="92" spans="1:4" ht="15.75">
      <c r="A92" s="22" t="s">
        <v>153</v>
      </c>
      <c r="B92" s="65">
        <f>IF(685.93243="","-",685.93243)</f>
        <v>685.93243</v>
      </c>
      <c r="C92" s="65">
        <f>IF(-430.09942="","-",-430.09942)</f>
        <v>-430.09942</v>
      </c>
      <c r="D92" s="71" t="s">
        <v>22</v>
      </c>
    </row>
    <row r="93" spans="1:4" ht="15.75">
      <c r="A93" s="22" t="s">
        <v>143</v>
      </c>
      <c r="B93" s="65">
        <f>IF(-379.27935="","-",-379.27935)</f>
        <v>-379.27935</v>
      </c>
      <c r="C93" s="65">
        <f>IF(-412.60945="","-",-412.60945)</f>
        <v>-412.60945</v>
      </c>
      <c r="D93" s="65">
        <f>IF(OR(-379.27935="",-412.60945="",-379.27935=0),"-",-412.60945/-379.27935*100)</f>
        <v>108.78774444219015</v>
      </c>
    </row>
    <row r="94" spans="1:4" ht="15.75">
      <c r="A94" s="22" t="s">
        <v>300</v>
      </c>
      <c r="B94" s="65">
        <f>IF(-461.39318="","-",-461.39318)</f>
        <v>-461.39318</v>
      </c>
      <c r="C94" s="65">
        <f>IF(-385.06217="","-",-385.06217)</f>
        <v>-385.06217</v>
      </c>
      <c r="D94" s="65">
        <f>IF(OR(-461.39318="",-385.06217="",-461.39318=0),"-",-385.06217/-461.39318*100)</f>
        <v>83.4564069629291</v>
      </c>
    </row>
    <row r="95" spans="1:4" ht="15.75">
      <c r="A95" s="22" t="s">
        <v>241</v>
      </c>
      <c r="B95" s="65">
        <f>IF(-34.10485="","-",-34.10485)</f>
        <v>-34.10485</v>
      </c>
      <c r="C95" s="65">
        <f>IF(-358.01051="","-",-358.01051)</f>
        <v>-358.01051</v>
      </c>
      <c r="D95" s="71" t="s">
        <v>269</v>
      </c>
    </row>
    <row r="96" spans="1:7" ht="15.75">
      <c r="A96" s="22" t="s">
        <v>167</v>
      </c>
      <c r="B96" s="65">
        <f>IF(-33.02418="","-",-33.02418)</f>
        <v>-33.02418</v>
      </c>
      <c r="C96" s="65">
        <f>IF(-262.83598="","-",-262.83598)</f>
        <v>-262.83598</v>
      </c>
      <c r="D96" s="71" t="s">
        <v>270</v>
      </c>
      <c r="E96" s="16"/>
      <c r="F96" s="16"/>
      <c r="G96" s="16"/>
    </row>
    <row r="97" spans="1:7" ht="15.75">
      <c r="A97" s="22" t="s">
        <v>301</v>
      </c>
      <c r="B97" s="65">
        <f>IF(-635.7847="","-",-635.7847)</f>
        <v>-635.7847</v>
      </c>
      <c r="C97" s="65">
        <f>IF(-247.43642="","-",-247.43642)</f>
        <v>-247.43642</v>
      </c>
      <c r="D97" s="65">
        <f>IF(OR(-635.7847="",-247.43642="",-635.7847=0),"-",-247.43642/-635.7847*100)</f>
        <v>38.91827217609986</v>
      </c>
      <c r="E97" s="16"/>
      <c r="F97" s="16"/>
      <c r="G97" s="16"/>
    </row>
    <row r="98" spans="1:4" ht="15.75">
      <c r="A98" s="22" t="s">
        <v>302</v>
      </c>
      <c r="B98" s="65">
        <f>IF(-13.19034="","-",-13.19034)</f>
        <v>-13.19034</v>
      </c>
      <c r="C98" s="65">
        <f>IF(-130.621="","-",-130.621)</f>
        <v>-130.621</v>
      </c>
      <c r="D98" s="71" t="s">
        <v>303</v>
      </c>
    </row>
    <row r="99" spans="1:4" ht="15.75">
      <c r="A99" s="22" t="s">
        <v>249</v>
      </c>
      <c r="B99" s="65">
        <f>IF(1196.2642="","-",1196.2642)</f>
        <v>1196.2642</v>
      </c>
      <c r="C99" s="65">
        <f>IF(-114.11718="","-",-114.11718)</f>
        <v>-114.11718</v>
      </c>
      <c r="D99" s="71" t="s">
        <v>22</v>
      </c>
    </row>
    <row r="100" spans="1:7" ht="15.75">
      <c r="A100" s="22" t="s">
        <v>188</v>
      </c>
      <c r="B100" s="65">
        <f>IF(-226.39566="","-",-226.39566)</f>
        <v>-226.39566</v>
      </c>
      <c r="C100" s="65">
        <f>IF(-99.91526="","-",-99.91526)</f>
        <v>-99.91526</v>
      </c>
      <c r="D100" s="65">
        <f>IF(OR(-226.39566="",-99.91526="",-226.39566=0),"-",-99.91526/-226.39566*100)</f>
        <v>44.13302799179101</v>
      </c>
      <c r="E100" s="15"/>
      <c r="F100" s="15"/>
      <c r="G100" s="15"/>
    </row>
    <row r="101" spans="1:4" ht="15.75">
      <c r="A101" s="22" t="s">
        <v>199</v>
      </c>
      <c r="B101" s="65">
        <f>IF(-85.59839="","-",-85.59839)</f>
        <v>-85.59839</v>
      </c>
      <c r="C101" s="65">
        <f>IF(-87.51132="","-",-87.51132)</f>
        <v>-87.51132</v>
      </c>
      <c r="D101" s="65">
        <f>IF(OR(-85.59839="",-87.51132="",-85.59839=0),"-",-87.51132/-85.59839*100)</f>
        <v>102.2347733409472</v>
      </c>
    </row>
    <row r="102" spans="1:7" ht="15.75">
      <c r="A102" s="22" t="s">
        <v>200</v>
      </c>
      <c r="B102" s="65">
        <f>IF(-74.2607="","-",-74.2607)</f>
        <v>-74.2607</v>
      </c>
      <c r="C102" s="65">
        <f>IF(-86.35776="","-",-86.35776)</f>
        <v>-86.35776</v>
      </c>
      <c r="D102" s="65">
        <f>IF(OR(-74.2607="",-86.35776="",-74.2607=0),"-",-86.35776/-74.2607*100)</f>
        <v>116.28998918674344</v>
      </c>
      <c r="E102" s="15"/>
      <c r="F102" s="15"/>
      <c r="G102" s="15"/>
    </row>
    <row r="103" spans="1:7" ht="15.75">
      <c r="A103" s="22" t="s">
        <v>311</v>
      </c>
      <c r="B103" s="65">
        <f>IF(-79.07775="","-",-79.07775)</f>
        <v>-79.07775</v>
      </c>
      <c r="C103" s="65">
        <f>IF(-83.79891="","-",-83.79891)</f>
        <v>-83.79891</v>
      </c>
      <c r="D103" s="65">
        <f>IF(OR(-79.07775="",-83.79891="",-79.07775=0),"-",-83.79891/-79.07775*100)</f>
        <v>105.97027608903898</v>
      </c>
      <c r="E103" s="1"/>
      <c r="F103" s="1"/>
      <c r="G103" s="1"/>
    </row>
    <row r="104" spans="1:4" ht="15.75">
      <c r="A104" s="22" t="s">
        <v>304</v>
      </c>
      <c r="B104" s="65">
        <f>IF(-50.48336="","-",-50.48336)</f>
        <v>-50.48336</v>
      </c>
      <c r="C104" s="65">
        <f>IF(-82.81713="","-",-82.81713)</f>
        <v>-82.81713</v>
      </c>
      <c r="D104" s="71" t="s">
        <v>203</v>
      </c>
    </row>
    <row r="105" spans="1:4" ht="15.75">
      <c r="A105" s="22" t="s">
        <v>197</v>
      </c>
      <c r="B105" s="65">
        <f>IF(390.32609="","-",390.32609)</f>
        <v>390.32609</v>
      </c>
      <c r="C105" s="65">
        <f>IF(108.96629="","-",108.96629)</f>
        <v>108.96629</v>
      </c>
      <c r="D105" s="65">
        <f>IF(OR(390.32609="",108.96629="",390.32609=0),"-",108.96629/390.32609*100)</f>
        <v>27.916732391626702</v>
      </c>
    </row>
    <row r="106" spans="1:7" ht="15.75">
      <c r="A106" s="22" t="s">
        <v>264</v>
      </c>
      <c r="B106" s="65">
        <f>IF(25.98037="","-",25.98037)</f>
        <v>25.98037</v>
      </c>
      <c r="C106" s="65">
        <f>IF(122.30547="","-",122.30547)</f>
        <v>122.30547</v>
      </c>
      <c r="D106" s="71" t="s">
        <v>285</v>
      </c>
      <c r="E106" s="16"/>
      <c r="F106" s="16"/>
      <c r="G106" s="16"/>
    </row>
    <row r="107" spans="1:7" ht="15.75">
      <c r="A107" s="22" t="s">
        <v>231</v>
      </c>
      <c r="B107" s="65">
        <f>IF(174.27736="","-",174.27736)</f>
        <v>174.27736</v>
      </c>
      <c r="C107" s="65">
        <f>IF(134.90109="","-",134.90109)</f>
        <v>134.90109</v>
      </c>
      <c r="D107" s="65">
        <f>IF(OR(174.27736="",134.90109="",174.27736=0),"-",134.90109/174.27736*100)</f>
        <v>77.40597516510465</v>
      </c>
      <c r="E107" s="12"/>
      <c r="F107" s="12"/>
      <c r="G107" s="12"/>
    </row>
    <row r="108" spans="1:7" ht="15.75">
      <c r="A108" s="22" t="s">
        <v>239</v>
      </c>
      <c r="B108" s="65">
        <f>IF(664.13443="","-",664.13443)</f>
        <v>664.13443</v>
      </c>
      <c r="C108" s="65">
        <f>IF(203.26985="","-",203.26985)</f>
        <v>203.26985</v>
      </c>
      <c r="D108" s="65">
        <f>IF(OR(664.13443="",203.26985="",664.13443=0),"-",203.26985/664.13443*100)</f>
        <v>30.606732736322677</v>
      </c>
      <c r="E108" s="16"/>
      <c r="F108" s="16"/>
      <c r="G108" s="16"/>
    </row>
    <row r="109" spans="1:7" ht="15.75">
      <c r="A109" s="22" t="s">
        <v>184</v>
      </c>
      <c r="B109" s="65">
        <f>IF(15.92876="","-",15.92876)</f>
        <v>15.92876</v>
      </c>
      <c r="C109" s="65">
        <f>IF(309.22991="","-",309.22991)</f>
        <v>309.22991</v>
      </c>
      <c r="D109" s="71" t="s">
        <v>305</v>
      </c>
      <c r="E109" s="16"/>
      <c r="F109" s="16"/>
      <c r="G109" s="16"/>
    </row>
    <row r="110" spans="1:4" ht="15.75">
      <c r="A110" s="22" t="s">
        <v>229</v>
      </c>
      <c r="B110" s="65">
        <f>IF(36.94014="","-",36.94014)</f>
        <v>36.94014</v>
      </c>
      <c r="C110" s="65">
        <f>IF(311.86855="","-",311.86855)</f>
        <v>311.86855</v>
      </c>
      <c r="D110" s="71" t="s">
        <v>306</v>
      </c>
    </row>
    <row r="111" spans="1:4" ht="15.75">
      <c r="A111" s="22" t="s">
        <v>186</v>
      </c>
      <c r="B111" s="65">
        <f>IF(6.02674="","-",6.02674)</f>
        <v>6.02674</v>
      </c>
      <c r="C111" s="65">
        <f>IF(323.36313="","-",323.36313)</f>
        <v>323.36313</v>
      </c>
      <c r="D111" s="71" t="s">
        <v>307</v>
      </c>
    </row>
    <row r="112" spans="1:4" ht="15.75">
      <c r="A112" s="22" t="s">
        <v>170</v>
      </c>
      <c r="B112" s="65">
        <f>IF(-0.03953="","-",-0.03953)</f>
        <v>-0.03953</v>
      </c>
      <c r="C112" s="65">
        <f>IF(335.59473="","-",335.59473)</f>
        <v>335.59473</v>
      </c>
      <c r="D112" s="71" t="s">
        <v>22</v>
      </c>
    </row>
    <row r="113" spans="1:4" ht="15.75">
      <c r="A113" s="22" t="s">
        <v>164</v>
      </c>
      <c r="B113" s="65">
        <f>IF(136.94315="","-",136.94315)</f>
        <v>136.94315</v>
      </c>
      <c r="C113" s="65">
        <f>IF(339.05068="","-",339.05068)</f>
        <v>339.05068</v>
      </c>
      <c r="D113" s="71" t="s">
        <v>274</v>
      </c>
    </row>
    <row r="114" spans="1:4" ht="15.75">
      <c r="A114" s="22" t="s">
        <v>161</v>
      </c>
      <c r="B114" s="65">
        <f>IF(675.49302="","-",675.49302)</f>
        <v>675.49302</v>
      </c>
      <c r="C114" s="65">
        <f>IF(358.56037="","-",358.56037)</f>
        <v>358.56037</v>
      </c>
      <c r="D114" s="65">
        <f>IF(OR(675.49302="",358.56037="",675.49302=0),"-",358.56037/675.49302*100)</f>
        <v>53.081284244802404</v>
      </c>
    </row>
    <row r="115" spans="1:4" ht="15.75">
      <c r="A115" s="22" t="s">
        <v>183</v>
      </c>
      <c r="B115" s="65">
        <f>IF(232.84947="","-",232.84947)</f>
        <v>232.84947</v>
      </c>
      <c r="C115" s="65">
        <f>IF(426.13004="","-",426.13004)</f>
        <v>426.13004</v>
      </c>
      <c r="D115" s="71" t="s">
        <v>156</v>
      </c>
    </row>
    <row r="116" spans="1:4" ht="15.75">
      <c r="A116" s="22" t="s">
        <v>127</v>
      </c>
      <c r="B116" s="65">
        <f>IF(35.25113="","-",35.25113)</f>
        <v>35.25113</v>
      </c>
      <c r="C116" s="65">
        <f>IF(435.19628="","-",435.19628)</f>
        <v>435.19628</v>
      </c>
      <c r="D116" s="71" t="s">
        <v>308</v>
      </c>
    </row>
    <row r="117" spans="1:4" ht="15.75">
      <c r="A117" s="22" t="s">
        <v>146</v>
      </c>
      <c r="B117" s="65">
        <f>IF(291.30845="","-",291.30845)</f>
        <v>291.30845</v>
      </c>
      <c r="C117" s="65">
        <f>IF(482.3859="","-",482.3859)</f>
        <v>482.3859</v>
      </c>
      <c r="D117" s="71" t="s">
        <v>157</v>
      </c>
    </row>
    <row r="118" spans="1:4" ht="15.75">
      <c r="A118" s="22" t="s">
        <v>190</v>
      </c>
      <c r="B118" s="65">
        <f>IF(0.53598="","-",0.53598)</f>
        <v>0.53598</v>
      </c>
      <c r="C118" s="65">
        <f>IF(516.95587="","-",516.95587)</f>
        <v>516.95587</v>
      </c>
      <c r="D118" s="71" t="s">
        <v>255</v>
      </c>
    </row>
    <row r="119" spans="1:4" ht="15.75">
      <c r="A119" s="22" t="s">
        <v>113</v>
      </c>
      <c r="B119" s="65">
        <f>IF(-274.02105="","-",-274.02105)</f>
        <v>-274.02105</v>
      </c>
      <c r="C119" s="65">
        <f>IF(883.18098="","-",883.18098)</f>
        <v>883.18098</v>
      </c>
      <c r="D119" s="71" t="s">
        <v>22</v>
      </c>
    </row>
    <row r="120" spans="1:4" ht="15.75">
      <c r="A120" s="22" t="s">
        <v>160</v>
      </c>
      <c r="B120" s="65">
        <f>IF(1514.10672="","-",1514.10672)</f>
        <v>1514.10672</v>
      </c>
      <c r="C120" s="65">
        <f>IF(929.14436="","-",929.14436)</f>
        <v>929.14436</v>
      </c>
      <c r="D120" s="65">
        <f>IF(OR(1514.10672="",929.14436="",1514.10672=0),"-",929.14436/1514.10672*100)</f>
        <v>61.36584348558998</v>
      </c>
    </row>
    <row r="121" spans="1:7" ht="15.75">
      <c r="A121" s="22" t="s">
        <v>125</v>
      </c>
      <c r="B121" s="65">
        <f>IF(773.56499="","-",773.56499)</f>
        <v>773.56499</v>
      </c>
      <c r="C121" s="65">
        <f>IF(1232.08434="","-",1232.08434)</f>
        <v>1232.08434</v>
      </c>
      <c r="D121" s="71" t="s">
        <v>203</v>
      </c>
      <c r="E121" s="1"/>
      <c r="F121" s="1"/>
      <c r="G121" s="1"/>
    </row>
    <row r="122" spans="1:7" ht="15.75">
      <c r="A122" s="22" t="s">
        <v>182</v>
      </c>
      <c r="B122" s="65">
        <f>IF(-91.33173="","-",-91.33173)</f>
        <v>-91.33173</v>
      </c>
      <c r="C122" s="65">
        <f>IF(1566.59315="","-",1566.59315)</f>
        <v>1566.59315</v>
      </c>
      <c r="D122" s="71" t="s">
        <v>22</v>
      </c>
      <c r="E122" s="16"/>
      <c r="F122" s="16"/>
      <c r="G122" s="16"/>
    </row>
    <row r="123" spans="1:4" ht="15.75">
      <c r="A123" s="22" t="s">
        <v>171</v>
      </c>
      <c r="B123" s="71" t="str">
        <f>IF(OR(0="",1732.39958="",0=0),"-",1732.39958/0*100)</f>
        <v>-</v>
      </c>
      <c r="C123" s="65">
        <f>IF(1732.39958="","-",1732.39958)</f>
        <v>1732.39958</v>
      </c>
      <c r="D123" s="71" t="s">
        <v>22</v>
      </c>
    </row>
    <row r="124" spans="1:4" ht="15.75">
      <c r="A124" s="22" t="s">
        <v>111</v>
      </c>
      <c r="B124" s="65">
        <f>IF(3271.01536="","-",3271.01536)</f>
        <v>3271.01536</v>
      </c>
      <c r="C124" s="65">
        <f>IF(2013.03903="","-",2013.03903)</f>
        <v>2013.03903</v>
      </c>
      <c r="D124" s="65">
        <f>IF(OR(3271.01536="",2013.03903="",3271.01536=0),"-",2013.03903/3271.01536*100)</f>
        <v>61.541717431739606</v>
      </c>
    </row>
    <row r="125" spans="1:4" ht="15.75">
      <c r="A125" s="22" t="s">
        <v>185</v>
      </c>
      <c r="B125" s="65">
        <f>IF(4994.29033="","-",4994.29033)</f>
        <v>4994.29033</v>
      </c>
      <c r="C125" s="65">
        <f>IF(2268.72148="","-",2268.72148)</f>
        <v>2268.72148</v>
      </c>
      <c r="D125" s="65">
        <f>IF(OR(4994.29033="",2268.72148="",4994.29033=0),"-",2268.72148/4994.29033*100)</f>
        <v>45.42630344039291</v>
      </c>
    </row>
    <row r="126" spans="1:4" ht="15.75">
      <c r="A126" s="22" t="s">
        <v>252</v>
      </c>
      <c r="B126" s="65">
        <f>IF(2793.03475="","-",2793.03475)</f>
        <v>2793.03475</v>
      </c>
      <c r="C126" s="65">
        <f>IF(4662.11769="","-",4662.11769)</f>
        <v>4662.11769</v>
      </c>
      <c r="D126" s="71" t="s">
        <v>157</v>
      </c>
    </row>
    <row r="127" spans="1:4" ht="15.75">
      <c r="A127" s="22" t="s">
        <v>123</v>
      </c>
      <c r="B127" s="65">
        <f>IF(749.36592="","-",749.36592)</f>
        <v>749.36592</v>
      </c>
      <c r="C127" s="65">
        <f>IF(7358.49204="","-",7358.49204)</f>
        <v>7358.49204</v>
      </c>
      <c r="D127" s="71" t="s">
        <v>309</v>
      </c>
    </row>
    <row r="128" spans="1:4" ht="15.75">
      <c r="A128" s="22" t="s">
        <v>104</v>
      </c>
      <c r="B128" s="65">
        <f>IF(11934.61383="","-",11934.61383)</f>
        <v>11934.61383</v>
      </c>
      <c r="C128" s="65">
        <f>IF(10180.46486="","-",10180.46486)</f>
        <v>10180.46486</v>
      </c>
      <c r="D128" s="65">
        <f>IF(OR(11934.61383="",10180.46486="",11934.61383=0),"-",10180.46486/11934.61383*100)</f>
        <v>85.30200478216898</v>
      </c>
    </row>
    <row r="129" spans="1:4" ht="15.75">
      <c r="A129" s="22" t="s">
        <v>107</v>
      </c>
      <c r="B129" s="65">
        <f>IF(6605.98114="","-",6605.98114)</f>
        <v>6605.98114</v>
      </c>
      <c r="C129" s="65">
        <f>IF(11957.64638="","-",11957.64638)</f>
        <v>11957.64638</v>
      </c>
      <c r="D129" s="71" t="s">
        <v>156</v>
      </c>
    </row>
    <row r="130" spans="1:4" ht="15.75">
      <c r="A130" s="41" t="s">
        <v>105</v>
      </c>
      <c r="B130" s="37">
        <f>IF(12906.10185="","-",12906.10185)</f>
        <v>12906.10185</v>
      </c>
      <c r="C130" s="37">
        <f>IF(15347.14297="","-",15347.14297)</f>
        <v>15347.14297</v>
      </c>
      <c r="D130" s="37">
        <f>IF(OR(12906.10185="",15347.14297="",12906.10185=0),"-",15347.14297/12906.10185*100)</f>
        <v>118.91385290749122</v>
      </c>
    </row>
    <row r="131" spans="1:4" ht="15.75">
      <c r="A131" s="66" t="s">
        <v>253</v>
      </c>
      <c r="B131" s="67">
        <f>IF(4692.58263="","-",4692.58263)</f>
        <v>4692.58263</v>
      </c>
      <c r="C131" s="67">
        <f>IF(17054.5439699999="","-",17054.5439699999)</f>
        <v>17054.5439699999</v>
      </c>
      <c r="D131" s="73" t="s">
        <v>310</v>
      </c>
    </row>
    <row r="132" ht="15.75">
      <c r="A132" s="75" t="s">
        <v>20</v>
      </c>
    </row>
  </sheetData>
  <sheetProtection/>
  <mergeCells count="4">
    <mergeCell ref="A1:D1"/>
    <mergeCell ref="A3:A4"/>
    <mergeCell ref="D3:D4"/>
    <mergeCell ref="B3:C3"/>
  </mergeCells>
  <printOptions/>
  <pageMargins left="0.5905511811023623" right="0.3937007874015748" top="0.3937007874015748" bottom="0.1968503937007874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9"/>
  <sheetViews>
    <sheetView zoomScalePageLayoutView="0" workbookViewId="0" topLeftCell="A1">
      <selection activeCell="J14" sqref="J14"/>
    </sheetView>
  </sheetViews>
  <sheetFormatPr defaultColWidth="9.00390625" defaultRowHeight="15.75"/>
  <cols>
    <col min="1" max="1" width="32.625" style="0" customWidth="1"/>
    <col min="2" max="2" width="14.25390625" style="0" customWidth="1"/>
    <col min="3" max="3" width="14.75390625" style="0" customWidth="1"/>
    <col min="4" max="4" width="11.75390625" style="0" customWidth="1"/>
    <col min="5" max="5" width="11.50390625" style="0" customWidth="1"/>
    <col min="6" max="6" width="10.25390625" style="0" customWidth="1"/>
  </cols>
  <sheetData>
    <row r="1" spans="1:5" ht="15.75">
      <c r="A1" s="92" t="s">
        <v>227</v>
      </c>
      <c r="B1" s="92"/>
      <c r="C1" s="92"/>
      <c r="D1" s="92"/>
      <c r="E1" s="92"/>
    </row>
    <row r="2" spans="1:5" ht="15.75">
      <c r="A2" s="11"/>
      <c r="B2" s="11"/>
      <c r="C2" s="11"/>
      <c r="D2" s="11"/>
      <c r="E2" s="11"/>
    </row>
    <row r="3" spans="1:6" ht="19.5" customHeight="1">
      <c r="A3" s="93"/>
      <c r="B3" s="96" t="s">
        <v>257</v>
      </c>
      <c r="C3" s="97"/>
      <c r="D3" s="96" t="s">
        <v>163</v>
      </c>
      <c r="E3" s="112"/>
      <c r="F3" s="1"/>
    </row>
    <row r="4" spans="1:6" ht="21.75" customHeight="1">
      <c r="A4" s="94"/>
      <c r="B4" s="100" t="s">
        <v>189</v>
      </c>
      <c r="C4" s="102" t="s">
        <v>259</v>
      </c>
      <c r="D4" s="104" t="s">
        <v>260</v>
      </c>
      <c r="E4" s="96"/>
      <c r="F4" s="1"/>
    </row>
    <row r="5" spans="1:6" ht="20.25" customHeight="1">
      <c r="A5" s="95"/>
      <c r="B5" s="101"/>
      <c r="C5" s="103"/>
      <c r="D5" s="28">
        <v>2017</v>
      </c>
      <c r="E5" s="27">
        <v>2018</v>
      </c>
      <c r="F5" s="1"/>
    </row>
    <row r="6" spans="1:5" ht="15.75" customHeight="1">
      <c r="A6" s="43" t="s">
        <v>238</v>
      </c>
      <c r="B6" s="62">
        <f>IF(2219031.80472="","-",2219031.80472)</f>
        <v>2219031.80472</v>
      </c>
      <c r="C6" s="62">
        <f>IF(1919782.20123="","-",2219031.80472/1919782.20123*100)</f>
        <v>115.58768506647637</v>
      </c>
      <c r="D6" s="84">
        <v>100</v>
      </c>
      <c r="E6" s="84">
        <v>100</v>
      </c>
    </row>
    <row r="7" spans="1:5" ht="15.75" customHeight="1">
      <c r="A7" s="10" t="s">
        <v>201</v>
      </c>
      <c r="B7" s="50"/>
      <c r="C7" s="60"/>
      <c r="D7" s="47"/>
      <c r="E7" s="47"/>
    </row>
    <row r="8" spans="1:5" ht="15.75">
      <c r="A8" s="32" t="s">
        <v>172</v>
      </c>
      <c r="B8" s="65">
        <f>IF(146765.87921="","-",146765.87921)</f>
        <v>146765.87921</v>
      </c>
      <c r="C8" s="85">
        <v>98.38</v>
      </c>
      <c r="D8" s="65">
        <f>IF(149177.31497="","-",149177.31497/1919782.20123*100)</f>
        <v>7.770533286245827</v>
      </c>
      <c r="E8" s="65">
        <f>IF(146765.87921="","-",146765.87921/2219031.80472*100)</f>
        <v>6.613960146845174</v>
      </c>
    </row>
    <row r="9" spans="1:5" ht="15.75">
      <c r="A9" s="32" t="s">
        <v>173</v>
      </c>
      <c r="B9" s="65">
        <f>IF(90290.8283="","-",90290.8283)</f>
        <v>90290.8283</v>
      </c>
      <c r="C9" s="85">
        <v>148.18</v>
      </c>
      <c r="D9" s="65">
        <f>IF(60932.26663="","-",60932.26663/1919782.20123*100)</f>
        <v>3.1739155926625866</v>
      </c>
      <c r="E9" s="65">
        <f>IF(90290.8283="","-",90290.8283/2219031.80472*100)</f>
        <v>4.068928985512805</v>
      </c>
    </row>
    <row r="10" spans="1:5" ht="15.75">
      <c r="A10" s="32" t="s">
        <v>174</v>
      </c>
      <c r="B10" s="65">
        <f>IF(1940694.78801="","-",1940694.78801)</f>
        <v>1940694.78801</v>
      </c>
      <c r="C10" s="85">
        <v>116.98</v>
      </c>
      <c r="D10" s="65">
        <f>IF(1658952.6688="","-",1658952.6688/1919782.20123*100)</f>
        <v>86.41358731928617</v>
      </c>
      <c r="E10" s="65">
        <f>IF(1940694.78801="","-",1940694.78801/2219031.80472*100)</f>
        <v>87.45682616544917</v>
      </c>
    </row>
    <row r="11" spans="1:5" ht="15.75">
      <c r="A11" s="32" t="s">
        <v>175</v>
      </c>
      <c r="B11" s="65">
        <f>IF(40062.53987="","-",40062.53987)</f>
        <v>40062.53987</v>
      </c>
      <c r="C11" s="85">
        <v>81.19</v>
      </c>
      <c r="D11" s="65">
        <f>IF(49344.83634="","-",49344.83634/1919782.20123*100)</f>
        <v>2.570335130119702</v>
      </c>
      <c r="E11" s="65">
        <f>IF(40062.53987="","-",40062.53987/2219031.80472*100)</f>
        <v>1.8054062940776616</v>
      </c>
    </row>
    <row r="12" spans="1:5" ht="15.75">
      <c r="A12" s="32" t="s">
        <v>176</v>
      </c>
      <c r="B12" s="65">
        <f>IF(1125.93118="","-",1125.93118)</f>
        <v>1125.93118</v>
      </c>
      <c r="C12" s="85">
        <v>102.98</v>
      </c>
      <c r="D12" s="65">
        <f>IF(1093.29643="","-",1093.29643/1919782.20123*100)</f>
        <v>0.05694898250955383</v>
      </c>
      <c r="E12" s="65">
        <f>IF(1125.93118="","-",1125.93118/2219031.80472*100)</f>
        <v>0.05073974954325053</v>
      </c>
    </row>
    <row r="13" spans="1:5" ht="15.75">
      <c r="A13" s="32" t="s">
        <v>177</v>
      </c>
      <c r="B13" s="65">
        <f>IF(6.86808="","-",6.86808)</f>
        <v>6.86808</v>
      </c>
      <c r="C13" s="85">
        <v>116.64</v>
      </c>
      <c r="D13" s="65">
        <f>IF(5.88905="","-",5.88905/1919782.20123*100)</f>
        <v>0.00030675615162110054</v>
      </c>
      <c r="E13" s="65">
        <f>IF(6.86808="","-",6.86808/2219031.80472*100)</f>
        <v>0.00030950795682113365</v>
      </c>
    </row>
    <row r="14" spans="1:5" ht="15.75">
      <c r="A14" s="32" t="s">
        <v>178</v>
      </c>
      <c r="B14" s="65">
        <f>IF(84.97007="","-",84.97007)</f>
        <v>84.97007</v>
      </c>
      <c r="C14" s="85">
        <v>30.79</v>
      </c>
      <c r="D14" s="65">
        <f>IF(275.92901="","-",275.92901/1919782.20123*100)</f>
        <v>0.01437293302454898</v>
      </c>
      <c r="E14" s="65">
        <f>IF(84.97007="","-",84.97007/2219031.80472*100)</f>
        <v>0.003829150615113497</v>
      </c>
    </row>
    <row r="15" spans="1:5" ht="15.75">
      <c r="A15" s="31" t="s">
        <v>225</v>
      </c>
      <c r="B15" s="63">
        <f>IF(1541770.13842="","-",1541770.13842)</f>
        <v>1541770.13842</v>
      </c>
      <c r="C15" s="63">
        <f>IF(1254334.60566="","-",1541770.13842/1254334.60566*100)</f>
        <v>122.91537931449787</v>
      </c>
      <c r="D15" s="63">
        <f>IF(1254334.60566="","-",1254334.60566/1919782.20123*100)</f>
        <v>65.33733904066568</v>
      </c>
      <c r="E15" s="63">
        <f>IF(1541770.13842="","-",1541770.13842/2219031.80472*100)</f>
        <v>69.4794069711201</v>
      </c>
    </row>
    <row r="16" spans="1:5" ht="16.5">
      <c r="A16" s="10" t="s">
        <v>201</v>
      </c>
      <c r="B16" s="50"/>
      <c r="C16" s="46"/>
      <c r="D16" s="50"/>
      <c r="E16" s="86"/>
    </row>
    <row r="17" spans="1:5" ht="15.75">
      <c r="A17" s="32" t="s">
        <v>172</v>
      </c>
      <c r="B17" s="65">
        <f>IF(85151.42869="","-",85151.42869)</f>
        <v>85151.42869</v>
      </c>
      <c r="C17" s="85">
        <v>100.95</v>
      </c>
      <c r="D17" s="65">
        <f>IF(84350.57429="","-",84350.57429/1919782.20123*100)</f>
        <v>4.393757491654875</v>
      </c>
      <c r="E17" s="65">
        <f>IF(85151.42869="","-",85151.42869/2219031.80472*100)</f>
        <v>3.837323489860683</v>
      </c>
    </row>
    <row r="18" spans="1:5" ht="15.75">
      <c r="A18" s="32" t="s">
        <v>173</v>
      </c>
      <c r="B18" s="65">
        <f>IF(46029.52804="","-",46029.52804)</f>
        <v>46029.52804</v>
      </c>
      <c r="C18" s="85" t="s">
        <v>156</v>
      </c>
      <c r="D18" s="65">
        <f>IF(25337.8461="","-",25337.8461/1919782.20123*100)</f>
        <v>1.319829201654547</v>
      </c>
      <c r="E18" s="65">
        <f>IF(46029.52804="","-",46029.52804/2219031.80472*100)</f>
        <v>2.0743068189510723</v>
      </c>
    </row>
    <row r="19" spans="1:5" ht="15.75">
      <c r="A19" s="32" t="s">
        <v>174</v>
      </c>
      <c r="B19" s="65">
        <f>IF(1401841.84849="","-",1401841.84849)</f>
        <v>1401841.84849</v>
      </c>
      <c r="C19" s="85">
        <v>122.87</v>
      </c>
      <c r="D19" s="65">
        <f>IF(1140885.47524="","-",1140885.47524/1919782.20123*100)</f>
        <v>59.427859811859776</v>
      </c>
      <c r="E19" s="65">
        <f>IF(1401841.84849="","-",1401841.84849/2219031.80472*100)</f>
        <v>63.17358072598181</v>
      </c>
    </row>
    <row r="20" spans="1:5" ht="15.75">
      <c r="A20" s="32" t="s">
        <v>175</v>
      </c>
      <c r="B20" s="65">
        <f>IF(8043.35529="","-",8043.35529)</f>
        <v>8043.35529</v>
      </c>
      <c r="C20" s="85" t="s">
        <v>152</v>
      </c>
      <c r="D20" s="65">
        <f>IF(3093.31548="","-",3093.31548/1919782.20123*100)</f>
        <v>0.16112845915636265</v>
      </c>
      <c r="E20" s="65">
        <f>IF(8043.35529="","-",8043.35529/2219031.80472*100)</f>
        <v>0.362471383821149</v>
      </c>
    </row>
    <row r="21" spans="1:5" ht="15.75">
      <c r="A21" s="32" t="s">
        <v>176</v>
      </c>
      <c r="B21" s="65">
        <f>IF(621.47533="","-",621.47533)</f>
        <v>621.47533</v>
      </c>
      <c r="C21" s="87">
        <v>121.1</v>
      </c>
      <c r="D21" s="65">
        <f>IF(513.18809="","-",513.18809/1919782.20123*100)</f>
        <v>0.026731578700500587</v>
      </c>
      <c r="E21" s="65">
        <f>IF(621.47533="","-",621.47533/2219031.80472*100)</f>
        <v>0.0280065985840351</v>
      </c>
    </row>
    <row r="22" spans="1:5" ht="15.75">
      <c r="A22" s="32" t="s">
        <v>178</v>
      </c>
      <c r="B22" s="65">
        <f>IF(82.50258="","-",82.50258)</f>
        <v>82.50258</v>
      </c>
      <c r="C22" s="87">
        <v>53.5</v>
      </c>
      <c r="D22" s="65">
        <f>IF(154.20646="","-",154.20646/1919782.20123*100)</f>
        <v>0.00803249763963851</v>
      </c>
      <c r="E22" s="65">
        <f>IF(82.50258="","-",82.50258/2219031.80472*100)</f>
        <v>0.0037179539213684355</v>
      </c>
    </row>
    <row r="23" spans="1:5" ht="15.75">
      <c r="A23" s="31" t="s">
        <v>221</v>
      </c>
      <c r="B23" s="63">
        <f>IF(348663.76009="","-",348663.76009)</f>
        <v>348663.76009</v>
      </c>
      <c r="C23" s="63">
        <f>IF(379972.0228="","-",348663.76009/379972.0228*100)</f>
        <v>91.76037686161983</v>
      </c>
      <c r="D23" s="63">
        <f>IF(379972.0228="","-",379972.0228/1919782.20123*100)</f>
        <v>19.792454714735495</v>
      </c>
      <c r="E23" s="63">
        <f>IF(348663.76009="","-",348663.76009/2219031.80472*100)</f>
        <v>15.712427345492456</v>
      </c>
    </row>
    <row r="24" spans="1:5" ht="15.75">
      <c r="A24" s="32" t="s">
        <v>201</v>
      </c>
      <c r="B24" s="50"/>
      <c r="C24" s="88"/>
      <c r="D24" s="47"/>
      <c r="E24" s="46"/>
    </row>
    <row r="25" spans="1:11" ht="15.75">
      <c r="A25" s="32" t="s">
        <v>172</v>
      </c>
      <c r="B25" s="65">
        <f>IF(3994.68937="","-",3994.68937)</f>
        <v>3994.68937</v>
      </c>
      <c r="C25" s="85" t="s">
        <v>166</v>
      </c>
      <c r="D25" s="65">
        <f>IF(1747.09211="","-",1747.09211/1919782.20123*100)</f>
        <v>0.0910047040169787</v>
      </c>
      <c r="E25" s="65">
        <f>IF(3994.68937="","-",3994.68937/2219031.80472*100)</f>
        <v>0.1800194734254408</v>
      </c>
      <c r="K25" s="30"/>
    </row>
    <row r="26" spans="1:5" ht="15.75">
      <c r="A26" s="32" t="s">
        <v>173</v>
      </c>
      <c r="B26" s="65">
        <f>IF(16065.78184="","-",16065.78184)</f>
        <v>16065.78184</v>
      </c>
      <c r="C26" s="85">
        <v>100.71</v>
      </c>
      <c r="D26" s="65">
        <f>IF(15952.18511="","-",15952.18511/1919782.20123*100)</f>
        <v>0.8309372333892602</v>
      </c>
      <c r="E26" s="65">
        <f>IF(16065.78184="","-",16065.78184/2219031.80472*100)</f>
        <v>0.7239996202770603</v>
      </c>
    </row>
    <row r="27" spans="1:5" ht="15.75">
      <c r="A27" s="32" t="s">
        <v>174</v>
      </c>
      <c r="B27" s="65">
        <f>IF(318693.33599="","-",318693.33599)</f>
        <v>318693.33599</v>
      </c>
      <c r="C27" s="80">
        <v>91.25</v>
      </c>
      <c r="D27" s="65">
        <f>IF(349240.54284="","-",349240.54284/1919782.20123*100)</f>
        <v>18.191675212752905</v>
      </c>
      <c r="E27" s="65">
        <f>IF(318693.33599="","-",318693.33599/2219031.80472*100)</f>
        <v>14.361819209266047</v>
      </c>
    </row>
    <row r="28" spans="1:5" ht="15.75">
      <c r="A28" s="32" t="s">
        <v>175</v>
      </c>
      <c r="B28" s="65">
        <f>IF(9870.43729="","-",9870.43729)</f>
        <v>9870.43729</v>
      </c>
      <c r="C28" s="80">
        <v>77.27</v>
      </c>
      <c r="D28" s="65">
        <f>IF(12774.74668="","-",12774.74668/1919782.20123*100)</f>
        <v>0.6654268735180089</v>
      </c>
      <c r="E28" s="65">
        <f>IF(9870.43729="","-",9870.43729/2219031.80472*100)</f>
        <v>0.44480828391035443</v>
      </c>
    </row>
    <row r="29" spans="1:5" ht="15.75">
      <c r="A29" s="32" t="s">
        <v>176</v>
      </c>
      <c r="B29" s="65">
        <f>IF(30.18003="","-",30.18003)</f>
        <v>30.18003</v>
      </c>
      <c r="C29" s="80">
        <v>17.67</v>
      </c>
      <c r="D29" s="65">
        <f>IF(170.81567="","-",170.81567/1919782.20123*100)</f>
        <v>0.008897658801636916</v>
      </c>
      <c r="E29" s="65">
        <f>IF(30.18003="","-",30.18003/2219031.80472*100)</f>
        <v>0.0013600539629853637</v>
      </c>
    </row>
    <row r="30" spans="1:5" ht="15.75">
      <c r="A30" s="32" t="s">
        <v>177</v>
      </c>
      <c r="B30" s="65">
        <f>IF(6.86808="","-",6.86808)</f>
        <v>6.86808</v>
      </c>
      <c r="C30" s="80">
        <v>116.64</v>
      </c>
      <c r="D30" s="65">
        <f>IF(5.88905="","-",5.88905/1919782.20123*100)</f>
        <v>0.00030675615162110054</v>
      </c>
      <c r="E30" s="65">
        <f>IF(6.86808="","-",6.86808/2219031.80472*100)</f>
        <v>0.00030950795682113365</v>
      </c>
    </row>
    <row r="31" spans="1:5" ht="15.75">
      <c r="A31" s="32" t="s">
        <v>178</v>
      </c>
      <c r="B31" s="65">
        <f>IF(2.46749="","-",2.46749)</f>
        <v>2.46749</v>
      </c>
      <c r="C31" s="80">
        <v>3.06</v>
      </c>
      <c r="D31" s="65">
        <f>IF(80.75134="","-",80.75134/1919782.20123*100)</f>
        <v>0.004206276105084358</v>
      </c>
      <c r="E31" s="65">
        <f>IF(2.46749="","-",2.46749/2219031.80472*100)</f>
        <v>0.00011119669374506108</v>
      </c>
    </row>
    <row r="32" spans="1:5" ht="15.75">
      <c r="A32" s="31" t="s">
        <v>224</v>
      </c>
      <c r="B32" s="63">
        <f>IF(328597.90621="","-",328597.90621)</f>
        <v>328597.90621</v>
      </c>
      <c r="C32" s="63">
        <f>IF(285475.57277="","-",328597.90621/285475.57277*100)</f>
        <v>115.10543722588218</v>
      </c>
      <c r="D32" s="63">
        <f>IF(285475.57277="","-",285475.57277/1919782.20123*100)</f>
        <v>14.870206244598814</v>
      </c>
      <c r="E32" s="63">
        <f>IF(328597.90621="","-",328597.90621/2219031.80472*100)</f>
        <v>14.80816568338744</v>
      </c>
    </row>
    <row r="33" spans="1:5" ht="15.75">
      <c r="A33" s="32" t="s">
        <v>201</v>
      </c>
      <c r="B33" s="50"/>
      <c r="C33" s="46"/>
      <c r="D33" s="47"/>
      <c r="E33" s="50"/>
    </row>
    <row r="34" spans="1:5" ht="15.75">
      <c r="A34" s="32" t="s">
        <v>172</v>
      </c>
      <c r="B34" s="65">
        <f>IF(57619.76115="","-",57619.76115)</f>
        <v>57619.76115</v>
      </c>
      <c r="C34" s="85">
        <v>91.34</v>
      </c>
      <c r="D34" s="37">
        <f>IF(63079.64857="","-",63079.64857/1919782.20123*100)</f>
        <v>3.285771090573973</v>
      </c>
      <c r="E34" s="65">
        <f>IF(57619.76115="","-",57619.76115/2219031.80472*100)</f>
        <v>2.596617183559049</v>
      </c>
    </row>
    <row r="35" spans="1:7" ht="15.75">
      <c r="A35" s="32" t="s">
        <v>173</v>
      </c>
      <c r="B35" s="65">
        <f>IF(28195.51842="","-",28195.51842)</f>
        <v>28195.51842</v>
      </c>
      <c r="C35" s="85">
        <v>143.55</v>
      </c>
      <c r="D35" s="37">
        <f>IF(19642.23542="","-",19642.23542/1919782.20123*100)</f>
        <v>1.0231491576187792</v>
      </c>
      <c r="E35" s="65">
        <f>IF(28195.51842="","-",28195.51842/2219031.80472*100)</f>
        <v>1.2706225462846732</v>
      </c>
      <c r="F35" s="1"/>
      <c r="G35" s="1"/>
    </row>
    <row r="36" spans="1:7" ht="15.75">
      <c r="A36" s="32" t="s">
        <v>174</v>
      </c>
      <c r="B36" s="65">
        <f>IF(220159.60353="","-",220159.60353)</f>
        <v>220159.60353</v>
      </c>
      <c r="C36" s="85">
        <v>130.41</v>
      </c>
      <c r="D36" s="37">
        <f>IF(168826.65072="","-",168826.65072/1919782.20123*100)</f>
        <v>8.794052294673488</v>
      </c>
      <c r="E36" s="65">
        <f>IF(220159.60353="","-",220159.60353/2219031.80472*100)</f>
        <v>9.921426230201329</v>
      </c>
      <c r="F36" s="16"/>
      <c r="G36" s="16"/>
    </row>
    <row r="37" spans="1:5" ht="15.75">
      <c r="A37" s="32" t="s">
        <v>175</v>
      </c>
      <c r="B37" s="65">
        <f>IF(22148.74729="","-",22148.74729)</f>
        <v>22148.74729</v>
      </c>
      <c r="C37" s="87">
        <v>66.16</v>
      </c>
      <c r="D37" s="37">
        <f>IF(33476.77418="","-",33476.77418/1919782.20123*100)</f>
        <v>1.7437797974453304</v>
      </c>
      <c r="E37" s="65">
        <f>IF(22148.74729="","-",22148.74729/2219031.80472*100)</f>
        <v>0.998126626346158</v>
      </c>
    </row>
    <row r="38" spans="1:5" ht="15.75">
      <c r="A38" s="38" t="s">
        <v>176</v>
      </c>
      <c r="B38" s="67">
        <f>IF(474.27582="","-",474.27582)</f>
        <v>474.27582</v>
      </c>
      <c r="C38" s="89">
        <v>115.88</v>
      </c>
      <c r="D38" s="67">
        <f>IF(409.29267="","-",409.29267/1919782.20123*100)</f>
        <v>0.02131974500741632</v>
      </c>
      <c r="E38" s="67">
        <f>IF(474.27582="","-",474.27582/2219031.80472*100)</f>
        <v>0.02137309699623006</v>
      </c>
    </row>
    <row r="39" ht="15.75">
      <c r="A39" s="79" t="s">
        <v>20</v>
      </c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40"/>
  <sheetViews>
    <sheetView zoomScalePageLayoutView="0" workbookViewId="0" topLeftCell="A1">
      <selection activeCell="A39" sqref="A39"/>
    </sheetView>
  </sheetViews>
  <sheetFormatPr defaultColWidth="9.00390625" defaultRowHeight="15.75"/>
  <cols>
    <col min="1" max="1" width="31.50390625" style="0" customWidth="1"/>
    <col min="2" max="2" width="14.875" style="0" customWidth="1"/>
    <col min="3" max="3" width="13.875" style="0" customWidth="1"/>
    <col min="4" max="5" width="11.875" style="0" customWidth="1"/>
    <col min="6" max="6" width="13.625" style="0" customWidth="1"/>
  </cols>
  <sheetData>
    <row r="1" spans="1:5" ht="15.75">
      <c r="A1" s="92" t="s">
        <v>226</v>
      </c>
      <c r="B1" s="92"/>
      <c r="C1" s="92"/>
      <c r="D1" s="92"/>
      <c r="E1" s="92"/>
    </row>
    <row r="2" spans="1:5" ht="15.75">
      <c r="A2" s="11"/>
      <c r="B2" s="11"/>
      <c r="C2" s="11"/>
      <c r="D2" s="11"/>
      <c r="E2" s="11"/>
    </row>
    <row r="3" spans="1:6" ht="19.5" customHeight="1">
      <c r="A3" s="93"/>
      <c r="B3" s="96" t="s">
        <v>257</v>
      </c>
      <c r="C3" s="97"/>
      <c r="D3" s="96" t="s">
        <v>163</v>
      </c>
      <c r="E3" s="112"/>
      <c r="F3" s="1"/>
    </row>
    <row r="4" spans="1:6" ht="21.75" customHeight="1">
      <c r="A4" s="94"/>
      <c r="B4" s="100" t="s">
        <v>189</v>
      </c>
      <c r="C4" s="102" t="s">
        <v>259</v>
      </c>
      <c r="D4" s="104" t="s">
        <v>260</v>
      </c>
      <c r="E4" s="96"/>
      <c r="F4" s="1"/>
    </row>
    <row r="5" spans="1:6" ht="20.25" customHeight="1">
      <c r="A5" s="95"/>
      <c r="B5" s="101"/>
      <c r="C5" s="103"/>
      <c r="D5" s="28">
        <v>2017</v>
      </c>
      <c r="E5" s="27">
        <v>2018</v>
      </c>
      <c r="F5" s="1"/>
    </row>
    <row r="6" spans="1:5" ht="16.5" customHeight="1">
      <c r="A6" s="43" t="s">
        <v>223</v>
      </c>
      <c r="B6" s="62">
        <f>IF(4722022.55771="","-",4722022.55771)</f>
        <v>4722022.55771</v>
      </c>
      <c r="C6" s="62">
        <f>IF(3904696.37575="","-",4722022.55771/3904696.37575*100)</f>
        <v>120.93187544711492</v>
      </c>
      <c r="D6" s="84">
        <v>100</v>
      </c>
      <c r="E6" s="84">
        <v>100</v>
      </c>
    </row>
    <row r="7" spans="1:5" ht="15.75" customHeight="1">
      <c r="A7" s="10" t="s">
        <v>201</v>
      </c>
      <c r="B7" s="50"/>
      <c r="C7" s="51"/>
      <c r="D7" s="47"/>
      <c r="E7" s="47"/>
    </row>
    <row r="8" spans="1:5" ht="15.75" customHeight="1">
      <c r="A8" s="32" t="s">
        <v>172</v>
      </c>
      <c r="B8" s="65">
        <f>IF(139038.59368="","-",139038.59368)</f>
        <v>139038.59368</v>
      </c>
      <c r="C8" s="90">
        <v>132.69</v>
      </c>
      <c r="D8" s="65">
        <f>IF(104781.32882="","-",104781.32882/3904696.37575*100)</f>
        <v>2.6834693081577687</v>
      </c>
      <c r="E8" s="65">
        <f>IF(139038.59368="","-",139038.59368/4722022.55771*100)</f>
        <v>2.9444711875207212</v>
      </c>
    </row>
    <row r="9" spans="1:5" ht="15.75" customHeight="1">
      <c r="A9" s="32" t="s">
        <v>173</v>
      </c>
      <c r="B9" s="65">
        <f>IF(275910.18396="","-",275910.18396)</f>
        <v>275910.18396</v>
      </c>
      <c r="C9" s="90">
        <v>123.28</v>
      </c>
      <c r="D9" s="65">
        <f>IF(223799.40123="","-",223799.40123/3904696.37575*100)</f>
        <v>5.731544266025381</v>
      </c>
      <c r="E9" s="65">
        <f>IF(275910.18396="","-",275910.18396/4722022.55771*100)</f>
        <v>5.843050950900282</v>
      </c>
    </row>
    <row r="10" spans="1:5" ht="15.75" customHeight="1">
      <c r="A10" s="32" t="s">
        <v>174</v>
      </c>
      <c r="B10" s="65">
        <f>IF(3939307.71732="","-",3939307.71732)</f>
        <v>3939307.71732</v>
      </c>
      <c r="C10" s="90">
        <v>120.49</v>
      </c>
      <c r="D10" s="65">
        <f>IF(3269389.34856="","-",3269389.34856/3904696.37575*100)</f>
        <v>83.72966894082839</v>
      </c>
      <c r="E10" s="65">
        <f>IF(3939307.71732="","-",3939307.71732/4722022.55771*100)</f>
        <v>83.42416134560807</v>
      </c>
    </row>
    <row r="11" spans="1:5" ht="15.75" customHeight="1">
      <c r="A11" s="32" t="s">
        <v>175</v>
      </c>
      <c r="B11" s="65">
        <f>IF(122339.71756="","-",122339.71756)</f>
        <v>122339.71756</v>
      </c>
      <c r="C11" s="90">
        <v>120.32</v>
      </c>
      <c r="D11" s="65">
        <f>IF(101675.6885="","-",101675.6885/3904696.37575*100)</f>
        <v>2.603933282276538</v>
      </c>
      <c r="E11" s="65">
        <f>IF(122339.71756="","-",122339.71756/4722022.55771*100)</f>
        <v>2.590832976014627</v>
      </c>
    </row>
    <row r="12" spans="1:5" ht="15.75" customHeight="1">
      <c r="A12" s="32" t="s">
        <v>176</v>
      </c>
      <c r="B12" s="65">
        <f>IF(11161.42823="","-",11161.42823)</f>
        <v>11161.42823</v>
      </c>
      <c r="C12" s="90">
        <v>103.9</v>
      </c>
      <c r="D12" s="65">
        <f>IF(10742.40441="","-",10742.40441/3904696.37575*100)</f>
        <v>0.27511497377146604</v>
      </c>
      <c r="E12" s="65">
        <f>IF(11161.42823="","-",11161.42823/4722022.55771*100)</f>
        <v>0.23636965079245328</v>
      </c>
    </row>
    <row r="13" spans="1:5" ht="15.75" customHeight="1">
      <c r="A13" s="32" t="s">
        <v>177</v>
      </c>
      <c r="B13" s="65">
        <f>IF(204506.57687="","-",204506.57687)</f>
        <v>204506.57687</v>
      </c>
      <c r="C13" s="90">
        <v>120.32</v>
      </c>
      <c r="D13" s="65">
        <f>IF(169970.52752="","-",169970.52752/3904696.37575*100)</f>
        <v>4.352976804434703</v>
      </c>
      <c r="E13" s="65">
        <f>IF(204506.57687="","-",204506.57687/4722022.55771*100)</f>
        <v>4.330910629304106</v>
      </c>
    </row>
    <row r="14" spans="1:5" ht="15.75" customHeight="1">
      <c r="A14" s="32" t="s">
        <v>178</v>
      </c>
      <c r="B14" s="65">
        <f>IF(29758.34009="","-",29758.34009)</f>
        <v>29758.34009</v>
      </c>
      <c r="C14" s="90">
        <v>122.27</v>
      </c>
      <c r="D14" s="65">
        <f>IF(24337.36899="","-",24337.36899/3904696.37575*100)</f>
        <v>0.6232845437393416</v>
      </c>
      <c r="E14" s="65">
        <f>IF(29758.34009="","-",29758.34009/4722022.55771*100)</f>
        <v>0.6302032598597254</v>
      </c>
    </row>
    <row r="15" spans="1:5" ht="15.75">
      <c r="A15" s="31" t="s">
        <v>225</v>
      </c>
      <c r="B15" s="63">
        <f>IF(2376229.81852="","-",2376229.81852)</f>
        <v>2376229.81852</v>
      </c>
      <c r="C15" s="63">
        <f>IF(1945044.14905="","-",2376229.81852/1945044.14905*100)</f>
        <v>122.16842582625182</v>
      </c>
      <c r="D15" s="63">
        <f>IF(1945044.14905="","-",1945044.14905/3904696.37575*100)</f>
        <v>49.81294220799441</v>
      </c>
      <c r="E15" s="63">
        <f>IF(2376229.81852="","-",2376229.81852/4722022.55771*100)</f>
        <v>50.322288584584406</v>
      </c>
    </row>
    <row r="16" spans="1:5" ht="15.75">
      <c r="A16" s="10" t="s">
        <v>201</v>
      </c>
      <c r="B16" s="50"/>
      <c r="C16" s="49"/>
      <c r="D16" s="50"/>
      <c r="E16" s="50"/>
    </row>
    <row r="17" spans="1:5" ht="15.75">
      <c r="A17" s="32" t="s">
        <v>172</v>
      </c>
      <c r="B17" s="65">
        <f>IF(79424.51874="","-",79424.51874)</f>
        <v>79424.51874</v>
      </c>
      <c r="C17" s="90">
        <v>134.77</v>
      </c>
      <c r="D17" s="65">
        <f>IF(58931.34789="","-",58931.34789/3904696.37575*100)</f>
        <v>1.509242773804165</v>
      </c>
      <c r="E17" s="65">
        <f>IF(79424.51874="","-",79424.51874/4722022.55771*100)</f>
        <v>1.6820021033215444</v>
      </c>
    </row>
    <row r="18" spans="1:5" ht="15.75">
      <c r="A18" s="32" t="s">
        <v>173</v>
      </c>
      <c r="B18" s="65">
        <f>IF(46185.39519="","-",46185.39519)</f>
        <v>46185.39519</v>
      </c>
      <c r="C18" s="90" t="s">
        <v>286</v>
      </c>
      <c r="D18" s="65">
        <f>IF(30725.78311="","-",30725.78311/3904696.37575*100)</f>
        <v>0.7868930168507225</v>
      </c>
      <c r="E18" s="65">
        <f>IF(46185.39519="","-",46185.39519/4722022.55771*100)</f>
        <v>0.9780850181367653</v>
      </c>
    </row>
    <row r="19" spans="1:5" ht="15.75">
      <c r="A19" s="32" t="s">
        <v>174</v>
      </c>
      <c r="B19" s="65">
        <f>IF(2185663.05907="","-",2185663.05907)</f>
        <v>2185663.05907</v>
      </c>
      <c r="C19" s="90">
        <v>121.48</v>
      </c>
      <c r="D19" s="65">
        <f>IF(1799249.3711="","-",1799249.3711/3904696.37575*100)</f>
        <v>46.079110843910534</v>
      </c>
      <c r="E19" s="65">
        <f>IF(2185663.05907="","-",2185663.05907/4722022.55771*100)</f>
        <v>46.286586570860486</v>
      </c>
    </row>
    <row r="20" spans="1:5" ht="15.75">
      <c r="A20" s="32" t="s">
        <v>175</v>
      </c>
      <c r="B20" s="65">
        <f>IF(33501.627="","-",33501.627)</f>
        <v>33501.627</v>
      </c>
      <c r="C20" s="90">
        <v>114.55</v>
      </c>
      <c r="D20" s="65">
        <f>IF(29247.14361="","-",29247.14361/3904696.37575*100)</f>
        <v>0.7490247844016377</v>
      </c>
      <c r="E20" s="65">
        <f>IF(33501.627="","-",33501.627/4722022.55771*100)</f>
        <v>0.7094762168236444</v>
      </c>
    </row>
    <row r="21" spans="1:5" ht="15.75">
      <c r="A21" s="32" t="s">
        <v>176</v>
      </c>
      <c r="B21" s="65">
        <f>IF(4941.90271="","-",4941.90271)</f>
        <v>4941.90271</v>
      </c>
      <c r="C21" s="90">
        <v>109.42</v>
      </c>
      <c r="D21" s="65">
        <f>IF(4516.45339="","-",4516.45339/3904696.37575*100)</f>
        <v>0.11566721085022892</v>
      </c>
      <c r="E21" s="65">
        <f>IF(4941.90271="","-",4941.90271/4722022.55771*100)</f>
        <v>0.10465648246281639</v>
      </c>
    </row>
    <row r="22" spans="1:5" ht="15.75">
      <c r="A22" s="32" t="s">
        <v>178</v>
      </c>
      <c r="B22" s="65">
        <f>IF(26513.31581="","-",26513.31581)</f>
        <v>26513.31581</v>
      </c>
      <c r="C22" s="90">
        <v>118.5</v>
      </c>
      <c r="D22" s="65">
        <f>IF(22374.04995="","-",22374.04995/3904696.37575*100)</f>
        <v>0.5730035781771246</v>
      </c>
      <c r="E22" s="65">
        <f>IF(26513.31581="","-",26513.31581/4722022.55771*100)</f>
        <v>0.5614821929791445</v>
      </c>
    </row>
    <row r="23" spans="1:5" ht="15.75">
      <c r="A23" s="31" t="s">
        <v>221</v>
      </c>
      <c r="B23" s="69">
        <f>IF(1145507.9371="","-",1145507.9371)</f>
        <v>1145507.9371</v>
      </c>
      <c r="C23" s="69">
        <f>IF(964408.66903="","-",1145507.9371/964408.66903*100)</f>
        <v>118.77827044546885</v>
      </c>
      <c r="D23" s="69">
        <f>IF(964408.66903="","-",964408.66903/3904696.37575*100)</f>
        <v>24.698685281125343</v>
      </c>
      <c r="E23" s="69">
        <f>IF(1145507.9371="","-",1145507.9371/4722022.55771*100)</f>
        <v>24.258840848391188</v>
      </c>
    </row>
    <row r="24" spans="1:5" ht="15.75">
      <c r="A24" s="32" t="s">
        <v>201</v>
      </c>
      <c r="B24" s="50"/>
      <c r="C24" s="49"/>
      <c r="D24" s="47"/>
      <c r="E24" s="50"/>
    </row>
    <row r="25" spans="1:5" ht="15.75">
      <c r="A25" s="32" t="s">
        <v>172</v>
      </c>
      <c r="B25" s="65">
        <f>IF(39698.30537="","-",39698.30537)</f>
        <v>39698.30537</v>
      </c>
      <c r="C25" s="90">
        <v>100.26</v>
      </c>
      <c r="D25" s="65">
        <f>IF(39596.27969="","-",39596.27969/3904696.37575*100)</f>
        <v>1.01406808313987</v>
      </c>
      <c r="E25" s="65">
        <f>IF(39698.30537="","-",39698.30537/4722022.55771*100)</f>
        <v>0.8407055426955046</v>
      </c>
    </row>
    <row r="26" spans="1:5" ht="15.75">
      <c r="A26" s="32" t="s">
        <v>173</v>
      </c>
      <c r="B26" s="65">
        <f>IF(229009.57219="","-",229009.57219)</f>
        <v>229009.57219</v>
      </c>
      <c r="C26" s="90">
        <v>119.14</v>
      </c>
      <c r="D26" s="65">
        <f>IF(192219.15284="","-",192219.15284/3904696.37575*100)</f>
        <v>4.922768234523208</v>
      </c>
      <c r="E26" s="65">
        <f>IF(229009.57219="","-",229009.57219/4722022.55771*100)</f>
        <v>4.84981952947427</v>
      </c>
    </row>
    <row r="27" spans="1:5" ht="15.75">
      <c r="A27" s="32" t="s">
        <v>174</v>
      </c>
      <c r="B27" s="65">
        <f>IF(657724.73385="","-",657724.73385)</f>
        <v>657724.73385</v>
      </c>
      <c r="C27" s="90">
        <v>119.64</v>
      </c>
      <c r="D27" s="65">
        <f>IF(549738.88968="","-",549738.88968/3904696.37575*100)</f>
        <v>14.078915151870373</v>
      </c>
      <c r="E27" s="65">
        <f>IF(657724.73385="","-",657724.73385/4722022.55771*100)</f>
        <v>13.92887742088575</v>
      </c>
    </row>
    <row r="28" spans="1:5" ht="15.75">
      <c r="A28" s="32" t="s">
        <v>175</v>
      </c>
      <c r="B28" s="65">
        <f>IF(12473.07943="","-",12473.07943)</f>
        <v>12473.07943</v>
      </c>
      <c r="C28" s="90">
        <v>112.46</v>
      </c>
      <c r="D28" s="65">
        <f>IF(11091.2621="","-",11091.2621/3904696.37575*100)</f>
        <v>0.2840492840591128</v>
      </c>
      <c r="E28" s="65">
        <f>IF(12473.07943="","-",12473.07943/4722022.55771*100)</f>
        <v>0.2641469683289477</v>
      </c>
    </row>
    <row r="29" spans="1:5" ht="15.75">
      <c r="A29" s="32" t="s">
        <v>176</v>
      </c>
      <c r="B29" s="65">
        <f>IF(405.51942="","-",405.51942)</f>
        <v>405.51942</v>
      </c>
      <c r="C29" s="90">
        <v>57.82</v>
      </c>
      <c r="D29" s="65">
        <f>IF(701.32882="","-",701.32882/3904696.37575*100)</f>
        <v>0.0179611614453708</v>
      </c>
      <c r="E29" s="65">
        <f>IF(405.51942="","-",405.51942/4722022.55771*100)</f>
        <v>0.008587833180463699</v>
      </c>
    </row>
    <row r="30" spans="1:5" ht="15.75">
      <c r="A30" s="32" t="s">
        <v>177</v>
      </c>
      <c r="B30" s="65">
        <f>IF(204506.57687="","-",204506.57687)</f>
        <v>204506.57687</v>
      </c>
      <c r="C30" s="90">
        <v>120.32</v>
      </c>
      <c r="D30" s="65">
        <f>IF(169970.52752="","-",169970.52752/3904696.37575*100)</f>
        <v>4.352976804434703</v>
      </c>
      <c r="E30" s="65">
        <f>IF(204506.57687="","-",204506.57687/4722022.55771*100)</f>
        <v>4.330910629304106</v>
      </c>
    </row>
    <row r="31" spans="1:5" ht="15.75">
      <c r="A31" s="32" t="s">
        <v>178</v>
      </c>
      <c r="B31" s="65">
        <f>IF(1690.14997="","-",1690.14997)</f>
        <v>1690.14997</v>
      </c>
      <c r="C31" s="90" t="s">
        <v>286</v>
      </c>
      <c r="D31" s="65">
        <f>IF(1090.92066="","-",1090.92066/3904696.37575*100)</f>
        <v>0.02793868088630732</v>
      </c>
      <c r="E31" s="65">
        <f>IF(1690.14997="","-",1690.14997/4722022.55771*100)</f>
        <v>0.03579292452214921</v>
      </c>
    </row>
    <row r="32" spans="1:5" ht="15.75">
      <c r="A32" s="31" t="s">
        <v>222</v>
      </c>
      <c r="B32" s="63">
        <f>IF(1200284.80209="","-",1200284.80209)</f>
        <v>1200284.80209</v>
      </c>
      <c r="C32" s="63">
        <f>IF(995243.55767="","-",1200284.80209/995243.55767*100)</f>
        <v>120.60211722445399</v>
      </c>
      <c r="D32" s="63">
        <f>IF(995243.55767="","-",995243.55767/3904696.37575*100)</f>
        <v>25.488372510880243</v>
      </c>
      <c r="E32" s="63">
        <f>IF(1200284.80209="","-",1200284.80209/4722022.55771*100)</f>
        <v>25.4188705670244</v>
      </c>
    </row>
    <row r="33" spans="1:5" ht="15.75">
      <c r="A33" s="32" t="s">
        <v>201</v>
      </c>
      <c r="B33" s="50"/>
      <c r="C33" s="49"/>
      <c r="D33" s="47"/>
      <c r="E33" s="50"/>
    </row>
    <row r="34" spans="1:5" ht="15.75">
      <c r="A34" s="32" t="s">
        <v>172</v>
      </c>
      <c r="B34" s="37">
        <f>IF(19915.76957="","-",19915.76957)</f>
        <v>19915.76957</v>
      </c>
      <c r="C34" s="90" t="s">
        <v>250</v>
      </c>
      <c r="D34" s="65">
        <f>IF(6253.70124="","-",6253.70124/3904696.37575*100)</f>
        <v>0.1601584512137339</v>
      </c>
      <c r="E34" s="37">
        <f>IF(19915.76957="","-",19915.76957/4722022.55771*100)</f>
        <v>0.4217635415036726</v>
      </c>
    </row>
    <row r="35" spans="1:7" ht="15.75">
      <c r="A35" s="32" t="s">
        <v>173</v>
      </c>
      <c r="B35" s="37">
        <f>IF(715.21658="","-",715.21658)</f>
        <v>715.21658</v>
      </c>
      <c r="C35" s="90">
        <v>83.7</v>
      </c>
      <c r="D35" s="65">
        <f>IF(854.46528="","-",854.46528/3904696.37575*100)</f>
        <v>0.02188301465144975</v>
      </c>
      <c r="E35" s="37">
        <f>IF(715.21658="","-",715.21658/4722022.55771*100)</f>
        <v>0.015146403289247577</v>
      </c>
      <c r="F35" s="1"/>
      <c r="G35" s="1"/>
    </row>
    <row r="36" spans="1:7" ht="15.75">
      <c r="A36" s="32" t="s">
        <v>174</v>
      </c>
      <c r="B36" s="37">
        <f>IF(1095919.9244="","-",1095919.9244)</f>
        <v>1095919.9244</v>
      </c>
      <c r="C36" s="90">
        <v>119.07</v>
      </c>
      <c r="D36" s="65">
        <f>IF(920401.08778="","-",920401.08778/3904696.37575*100)</f>
        <v>23.57164294504749</v>
      </c>
      <c r="E36" s="37">
        <f>IF(1095919.9244="","-",1095919.9244/4722022.55771*100)</f>
        <v>23.208697353861837</v>
      </c>
      <c r="F36" s="1"/>
      <c r="G36" s="1"/>
    </row>
    <row r="37" spans="1:7" ht="15.75">
      <c r="A37" s="32" t="s">
        <v>175</v>
      </c>
      <c r="B37" s="37">
        <f>IF(76365.01113="","-",76365.01113)</f>
        <v>76365.01113</v>
      </c>
      <c r="C37" s="90">
        <v>124.5</v>
      </c>
      <c r="D37" s="65">
        <f>IF(61337.28279="","-",61337.28279/3904696.37575*100)</f>
        <v>1.5708592138157875</v>
      </c>
      <c r="E37" s="37">
        <f>IF(76365.01113="","-",76365.01113/4722022.55771*100)</f>
        <v>1.6172097908620349</v>
      </c>
      <c r="F37" s="16"/>
      <c r="G37" s="16"/>
    </row>
    <row r="38" spans="1:5" ht="15.75">
      <c r="A38" s="32" t="s">
        <v>176</v>
      </c>
      <c r="B38" s="37">
        <f>IF(5814.0061="","-",5814.0061)</f>
        <v>5814.0061</v>
      </c>
      <c r="C38" s="90">
        <v>105.24</v>
      </c>
      <c r="D38" s="65">
        <f>IF(5524.6222="","-",5524.6222/3904696.37575*100)</f>
        <v>0.14148660147586636</v>
      </c>
      <c r="E38" s="37">
        <f>IF(5814.0061="","-",5814.0061/4722022.55771*100)</f>
        <v>0.12312533514917323</v>
      </c>
    </row>
    <row r="39" spans="1:5" ht="15.75">
      <c r="A39" s="38" t="s">
        <v>178</v>
      </c>
      <c r="B39" s="67">
        <f>IF(1554.87431="","-",1554.87431)</f>
        <v>1554.87431</v>
      </c>
      <c r="C39" s="91" t="s">
        <v>156</v>
      </c>
      <c r="D39" s="67">
        <f>IF(872.39838="","-",872.39838/3904696.37575*100)</f>
        <v>0.02234228467590986</v>
      </c>
      <c r="E39" s="67">
        <f>IF(1554.87431="","-",1554.87431/4722022.55771*100)</f>
        <v>0.032928142358431556</v>
      </c>
    </row>
    <row r="40" ht="15.75">
      <c r="A40" s="36" t="s">
        <v>20</v>
      </c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78"/>
  <sheetViews>
    <sheetView zoomScalePageLayoutView="0" workbookViewId="0" topLeftCell="A1">
      <selection activeCell="J20" sqref="J20"/>
    </sheetView>
  </sheetViews>
  <sheetFormatPr defaultColWidth="9.00390625" defaultRowHeight="15.75"/>
  <cols>
    <col min="1" max="1" width="27.375" style="0" customWidth="1"/>
    <col min="2" max="2" width="11.125" style="0" customWidth="1"/>
    <col min="3" max="3" width="11.25390625" style="0" customWidth="1"/>
    <col min="4" max="4" width="8.25390625" style="0" customWidth="1"/>
    <col min="5" max="5" width="8.375" style="0" customWidth="1"/>
    <col min="6" max="6" width="9.625" style="0" customWidth="1"/>
    <col min="7" max="7" width="9.875" style="0" customWidth="1"/>
    <col min="8" max="8" width="11.00390625" style="0" customWidth="1"/>
  </cols>
  <sheetData>
    <row r="1" spans="1:7" ht="15.75">
      <c r="A1" s="105" t="s">
        <v>194</v>
      </c>
      <c r="B1" s="105"/>
      <c r="C1" s="105"/>
      <c r="D1" s="105"/>
      <c r="E1" s="105"/>
      <c r="F1" s="105"/>
      <c r="G1" s="105"/>
    </row>
    <row r="2" spans="1:7" ht="15.75">
      <c r="A2" s="105" t="s">
        <v>23</v>
      </c>
      <c r="B2" s="105"/>
      <c r="C2" s="105"/>
      <c r="D2" s="105"/>
      <c r="E2" s="105"/>
      <c r="F2" s="105"/>
      <c r="G2" s="105"/>
    </row>
    <row r="3" ht="15.75">
      <c r="A3" s="6"/>
    </row>
    <row r="4" spans="1:7" ht="57" customHeight="1">
      <c r="A4" s="113"/>
      <c r="B4" s="116" t="s">
        <v>257</v>
      </c>
      <c r="C4" s="111"/>
      <c r="D4" s="116" t="s">
        <v>0</v>
      </c>
      <c r="E4" s="111"/>
      <c r="F4" s="108" t="s">
        <v>159</v>
      </c>
      <c r="G4" s="117"/>
    </row>
    <row r="5" spans="1:7" ht="28.5" customHeight="1">
      <c r="A5" s="114"/>
      <c r="B5" s="118" t="s">
        <v>169</v>
      </c>
      <c r="C5" s="106" t="s">
        <v>259</v>
      </c>
      <c r="D5" s="120" t="s">
        <v>260</v>
      </c>
      <c r="E5" s="120"/>
      <c r="F5" s="120" t="s">
        <v>260</v>
      </c>
      <c r="G5" s="116"/>
    </row>
    <row r="6" spans="1:13" ht="26.25" customHeight="1">
      <c r="A6" s="115"/>
      <c r="B6" s="119"/>
      <c r="C6" s="107"/>
      <c r="D6" s="29">
        <v>2017</v>
      </c>
      <c r="E6" s="29">
        <v>2018</v>
      </c>
      <c r="F6" s="29" t="s">
        <v>145</v>
      </c>
      <c r="G6" s="25" t="s">
        <v>168</v>
      </c>
      <c r="H6" s="1"/>
      <c r="I6" s="1"/>
      <c r="J6" s="1"/>
      <c r="K6" s="1"/>
      <c r="L6" s="1"/>
      <c r="M6" s="1"/>
    </row>
    <row r="7" spans="1:13" ht="16.5" customHeight="1">
      <c r="A7" s="54" t="s">
        <v>151</v>
      </c>
      <c r="B7" s="62">
        <f>IF(2219031.80472="","-",2219031.80472)</f>
        <v>2219031.80472</v>
      </c>
      <c r="C7" s="62">
        <f>IF(1919782.20123="","-",2219031.80472/1919782.20123*100)</f>
        <v>115.58768506647637</v>
      </c>
      <c r="D7" s="62">
        <v>100</v>
      </c>
      <c r="E7" s="62">
        <v>100</v>
      </c>
      <c r="F7" s="62">
        <f>IF(1633487.06476="","-",(1919782.20123-1633487.06476)/1633487.06476*100)</f>
        <v>17.526624033111883</v>
      </c>
      <c r="G7" s="62">
        <f>IF(1919782.20123="","-",(2219031.80472-1919782.20123)/1919782.20123*100)</f>
        <v>15.58768506647636</v>
      </c>
      <c r="H7" s="33"/>
      <c r="I7" s="33"/>
      <c r="J7" s="33"/>
      <c r="K7" s="33"/>
      <c r="L7" s="33"/>
      <c r="M7" s="33"/>
    </row>
    <row r="8" spans="1:13" ht="13.5" customHeight="1">
      <c r="A8" s="59" t="s">
        <v>201</v>
      </c>
      <c r="B8" s="61"/>
      <c r="C8" s="61"/>
      <c r="D8" s="61"/>
      <c r="E8" s="61"/>
      <c r="F8" s="61"/>
      <c r="G8" s="61"/>
      <c r="H8" s="33"/>
      <c r="I8" s="33"/>
      <c r="J8" s="33"/>
      <c r="K8" s="33"/>
      <c r="L8" s="33"/>
      <c r="M8" s="33"/>
    </row>
    <row r="9" spans="1:13" ht="12.75" customHeight="1">
      <c r="A9" s="44" t="s">
        <v>24</v>
      </c>
      <c r="B9" s="63">
        <f>IF(488690.99479="","-",488690.99479)</f>
        <v>488690.99479</v>
      </c>
      <c r="C9" s="63">
        <f>IF(452555.79602="","-",488690.99479/452555.79602*100)</f>
        <v>107.98469472444965</v>
      </c>
      <c r="D9" s="63">
        <f>IF(452555.79602="","-",452555.79602/1919782.20123*100)</f>
        <v>23.57328845584924</v>
      </c>
      <c r="E9" s="63">
        <f>IF(488690.99479="","-",488690.99479/2219031.80472*100)</f>
        <v>22.02271250689278</v>
      </c>
      <c r="F9" s="63">
        <f>IF(1633487.06476="","-",(452555.79602-385066.45272)/1633487.06476*100)</f>
        <v>4.131611737612129</v>
      </c>
      <c r="G9" s="63">
        <f>IF(1919782.20123="","-",(488690.99479-452555.79602)/1919782.20123*100)</f>
        <v>1.8822551197134902</v>
      </c>
      <c r="H9" s="33"/>
      <c r="I9" s="33"/>
      <c r="J9" s="33"/>
      <c r="K9" s="33"/>
      <c r="L9" s="33"/>
      <c r="M9" s="33"/>
    </row>
    <row r="10" spans="1:7" ht="13.5" customHeight="1">
      <c r="A10" s="22" t="s">
        <v>25</v>
      </c>
      <c r="B10" s="65">
        <f>IF(10442.50038="","-",10442.50038)</f>
        <v>10442.50038</v>
      </c>
      <c r="C10" s="65" t="s">
        <v>203</v>
      </c>
      <c r="D10" s="65">
        <f>IF(6594.42795="","-",6594.42795/1919782.20123*100)</f>
        <v>0.34349875448240774</v>
      </c>
      <c r="E10" s="65">
        <f>IF(10442.50038="","-",10442.50038/2219031.80472*100)</f>
        <v>0.4705881347796927</v>
      </c>
      <c r="F10" s="65">
        <f>IF(OR(1633487.06476="",7787.54023="",6594.42795=""),"-",(6594.42795-7787.54023)/1633487.06476*100)</f>
        <v>-0.07304081591703926</v>
      </c>
      <c r="G10" s="65">
        <f>IF(OR(1919782.20123="",10442.50038="",6594.42795=""),"-",(10442.50038-6594.42795)/1919782.20123*100)</f>
        <v>0.20044317670694875</v>
      </c>
    </row>
    <row r="11" spans="1:10" ht="15.75">
      <c r="A11" s="22" t="s">
        <v>26</v>
      </c>
      <c r="B11" s="65">
        <f>IF(6830.71074="","-",6830.71074)</f>
        <v>6830.71074</v>
      </c>
      <c r="C11" s="65">
        <f>IF(OR(9124.34067="",6830.71074=""),"-",6830.71074/9124.34067*100)</f>
        <v>74.86251321653032</v>
      </c>
      <c r="D11" s="65">
        <f>IF(9124.34067="","-",9124.34067/1919782.20123*100)</f>
        <v>0.4752799908319837</v>
      </c>
      <c r="E11" s="65">
        <f>IF(6830.71074="","-",6830.71074/2219031.80472*100)</f>
        <v>0.30782392237329415</v>
      </c>
      <c r="F11" s="65">
        <f>IF(OR(1633487.06476="",6121.58236="",9124.34067=""),"-",(9124.34067-6121.58236)/1633487.06476*100)</f>
        <v>0.18382504366149843</v>
      </c>
      <c r="G11" s="65">
        <f>IF(OR(1919782.20123="",6830.71074="",9124.34067=""),"-",(6830.71074-9124.34067)/1919782.20123*100)</f>
        <v>-0.11947344487986584</v>
      </c>
      <c r="J11" s="21"/>
    </row>
    <row r="12" spans="1:10" s="11" customFormat="1" ht="15.75">
      <c r="A12" s="22" t="s">
        <v>27</v>
      </c>
      <c r="B12" s="65">
        <f>IF(18532.98918="","-",18532.98918)</f>
        <v>18532.98918</v>
      </c>
      <c r="C12" s="65">
        <f>IF(OR(17953.15985="",18532.98918=""),"-",18532.98918/17953.15985*100)</f>
        <v>103.22967842343364</v>
      </c>
      <c r="D12" s="65">
        <f>IF(17953.15985="","-",17953.15985/1919782.20123*100)</f>
        <v>0.9351664912039216</v>
      </c>
      <c r="E12" s="65">
        <f>IF(18532.98918="","-",18532.98918/2219031.80472*100)</f>
        <v>0.8351835760343469</v>
      </c>
      <c r="F12" s="65">
        <f>IF(OR(1633487.06476="",16508.5406="",17953.15985=""),"-",(17953.15985-16508.5406)/1633487.06476*100)</f>
        <v>0.08843775265598754</v>
      </c>
      <c r="G12" s="65">
        <f>IF(OR(1919782.20123="",18532.98918="",17953.15985=""),"-",(18532.98918-17953.15985)/1919782.20123*100)</f>
        <v>0.030202870389594464</v>
      </c>
      <c r="J12" s="21"/>
    </row>
    <row r="13" spans="1:10" s="11" customFormat="1" ht="15.75">
      <c r="A13" s="22" t="s">
        <v>28</v>
      </c>
      <c r="B13" s="65">
        <f>IF(12.30933="","-",12.30933)</f>
        <v>12.30933</v>
      </c>
      <c r="C13" s="65">
        <f>IF(OR(22.46736="",12.30933=""),"-",12.30933/22.46736*100)</f>
        <v>54.78761189565663</v>
      </c>
      <c r="D13" s="65">
        <f>IF(22.46736="","-",22.46736/1919782.20123*100)</f>
        <v>0.001170307756036347</v>
      </c>
      <c r="E13" s="65">
        <f>IF(12.30933="","-",12.30933/2219031.80472*100)</f>
        <v>0.000554716249393875</v>
      </c>
      <c r="F13" s="65">
        <f>IF(OR(1633487.06476="",17.57284="",22.46736=""),"-",(22.46736-17.57284)/1633487.06476*100)</f>
        <v>0.00029963628764450163</v>
      </c>
      <c r="G13" s="65">
        <f>IF(OR(1919782.20123="",12.30933="",22.46736=""),"-",(12.30933-22.46736)/1919782.20123*100)</f>
        <v>-0.0005291240846743851</v>
      </c>
      <c r="J13" s="21"/>
    </row>
    <row r="14" spans="1:10" s="11" customFormat="1" ht="15.75">
      <c r="A14" s="22" t="s">
        <v>29</v>
      </c>
      <c r="B14" s="65">
        <f>IF(186830.34903="","-",186830.34903)</f>
        <v>186830.34903</v>
      </c>
      <c r="C14" s="65">
        <f>IF(OR(161347.60573="",186830.34903=""),"-",186830.34903/161347.60573*100)</f>
        <v>115.79369162914197</v>
      </c>
      <c r="D14" s="65">
        <f>IF(161347.60573="","-",161347.60573/1919782.20123*100)</f>
        <v>8.404474508963828</v>
      </c>
      <c r="E14" s="65">
        <f>IF(186830.34903="","-",186830.34903/2219031.80472*100)</f>
        <v>8.419453413538365</v>
      </c>
      <c r="F14" s="65">
        <f>IF(OR(1633487.06476="",142767.79226="",161347.60573=""),"-",(161347.60573-142767.79226)/1633487.06476*100)</f>
        <v>1.1374325435953092</v>
      </c>
      <c r="G14" s="65">
        <f>IF(OR(1919782.20123="",186830.34903="",161347.60573=""),"-",(186830.34903-161347.60573)/1919782.20123*100)</f>
        <v>1.3273767869955908</v>
      </c>
      <c r="J14" s="21"/>
    </row>
    <row r="15" spans="1:10" s="11" customFormat="1" ht="15.75">
      <c r="A15" s="22" t="s">
        <v>30</v>
      </c>
      <c r="B15" s="65">
        <f>IF(213295.78193="","-",213295.78193)</f>
        <v>213295.78193</v>
      </c>
      <c r="C15" s="65">
        <f>IF(OR(199714.13426="",213295.78193=""),"-",213295.78193/199714.13426*100)</f>
        <v>106.80054404778312</v>
      </c>
      <c r="D15" s="65">
        <f>IF(199714.13426="","-",199714.13426/1919782.20123*100)</f>
        <v>10.40295790491461</v>
      </c>
      <c r="E15" s="65">
        <f>IF(213295.78193="","-",213295.78193/2219031.80472*100)</f>
        <v>9.612110176893744</v>
      </c>
      <c r="F15" s="65">
        <f>IF(OR(1633487.06476="",146154.51513="",199714.13426=""),"-",(199714.13426-146154.51513)/1633487.06476*100)</f>
        <v>3.278851745169419</v>
      </c>
      <c r="G15" s="65">
        <f>IF(OR(1919782.20123="",213295.78193="",199714.13426=""),"-",(213295.78193-199714.13426)/1919782.20123*100)</f>
        <v>0.7074577345960534</v>
      </c>
      <c r="J15" s="21"/>
    </row>
    <row r="16" spans="1:10" s="11" customFormat="1" ht="15.75" customHeight="1">
      <c r="A16" s="22" t="s">
        <v>31</v>
      </c>
      <c r="B16" s="65">
        <f>IF(26262.7341="","-",26262.7341)</f>
        <v>26262.7341</v>
      </c>
      <c r="C16" s="65">
        <f>IF(OR(36772.27512="",26262.7341=""),"-",26262.7341/36772.27512*100)</f>
        <v>71.41993258316512</v>
      </c>
      <c r="D16" s="65">
        <f>IF(36772.27512="","-",36772.27512/1919782.20123*100)</f>
        <v>1.9154399439915677</v>
      </c>
      <c r="E16" s="65">
        <f>IF(26262.7341="","-",26262.7341/2219031.80472*100)</f>
        <v>1.183522202977792</v>
      </c>
      <c r="F16" s="65">
        <f>IF(OR(1633487.06476="",42383.63783="",36772.27512=""),"-",(36772.27512-42383.63783)/1633487.06476*100)</f>
        <v>-0.3435204863911457</v>
      </c>
      <c r="G16" s="65">
        <f>IF(OR(1919782.20123="",26262.7341="",36772.27512=""),"-",(26262.7341-36772.27512)/1919782.20123*100)</f>
        <v>-0.5474340273217743</v>
      </c>
      <c r="J16" s="21"/>
    </row>
    <row r="17" spans="1:10" s="11" customFormat="1" ht="25.5">
      <c r="A17" s="22" t="s">
        <v>32</v>
      </c>
      <c r="B17" s="65">
        <f>IF(9128.32355="","-",9128.32355)</f>
        <v>9128.32355</v>
      </c>
      <c r="C17" s="65">
        <f>IF(OR(7887.23479="",9128.32355=""),"-",9128.32355/7887.23479*100)</f>
        <v>115.73541035666315</v>
      </c>
      <c r="D17" s="65">
        <f>IF(7887.23479="","-",7887.23479/1919782.20123*100)</f>
        <v>0.41084008305456043</v>
      </c>
      <c r="E17" s="65">
        <f>IF(9128.32355="","-",9128.32355/2219031.80472*100)</f>
        <v>0.4113651517109202</v>
      </c>
      <c r="F17" s="65">
        <f>IF(OR(1633487.06476="",6650.4372="",7887.23479=""),"-",(7887.23479-6650.4372)/1633487.06476*100)</f>
        <v>0.07571517501925959</v>
      </c>
      <c r="G17" s="65">
        <f>IF(OR(1919782.20123="",9128.32355="",7887.23479=""),"-",(9128.32355-7887.23479)/1919782.20123*100)</f>
        <v>0.06464737297829076</v>
      </c>
      <c r="J17" s="21"/>
    </row>
    <row r="18" spans="1:10" s="11" customFormat="1" ht="25.5">
      <c r="A18" s="22" t="s">
        <v>33</v>
      </c>
      <c r="B18" s="65">
        <f>IF(15235.94253="","-",15235.94253)</f>
        <v>15235.94253</v>
      </c>
      <c r="C18" s="65">
        <f>IF(OR(10735.99864="",15235.94253=""),"-",15235.94253/10735.99864*100)</f>
        <v>141.9145348364165</v>
      </c>
      <c r="D18" s="65">
        <f>IF(10735.99864="","-",10735.99864/1919782.20123*100)</f>
        <v>0.55923003313196</v>
      </c>
      <c r="E18" s="65">
        <f>IF(15235.94253="","-",15235.94253/2219031.80472*100)</f>
        <v>0.6866031616848542</v>
      </c>
      <c r="F18" s="65">
        <f>IF(OR(1633487.06476="",11312.99918="",10735.99864=""),"-",(10735.99864-11312.99918)/1633487.06476*100)</f>
        <v>-0.035323239004942886</v>
      </c>
      <c r="G18" s="65">
        <f>IF(OR(1919782.20123="",15235.94253="",10735.99864=""),"-",(15235.94253-10735.99864)/1919782.20123*100)</f>
        <v>0.23439866705279883</v>
      </c>
      <c r="J18" s="21"/>
    </row>
    <row r="19" spans="1:10" s="11" customFormat="1" ht="15.75">
      <c r="A19" s="22" t="s">
        <v>34</v>
      </c>
      <c r="B19" s="65">
        <f>IF(2119.35402="","-",2119.35402)</f>
        <v>2119.35402</v>
      </c>
      <c r="C19" s="65">
        <f>IF(OR(2404.15165="",2119.35402=""),"-",2119.35402/2404.15165*100)</f>
        <v>88.15392406714444</v>
      </c>
      <c r="D19" s="65">
        <f>IF(2404.15165="","-",2404.15165/1919782.20123*100)</f>
        <v>0.12523043751836355</v>
      </c>
      <c r="E19" s="65">
        <f>IF(2119.35402="","-",2119.35402/2219031.80472*100)</f>
        <v>0.09550805065037915</v>
      </c>
      <c r="F19" s="65">
        <f>IF(OR(1633487.06476="",5361.83509="",2404.15165=""),"-",(2404.15165-5361.83509)/1633487.06476*100)</f>
        <v>-0.18106561746386143</v>
      </c>
      <c r="G19" s="65">
        <f>IF(OR(1919782.20123="",2119.35402="",2404.15165=""),"-",(2119.35402-2404.15165)/1919782.20123*100)</f>
        <v>-0.014834892719472572</v>
      </c>
      <c r="J19" s="21"/>
    </row>
    <row r="20" spans="1:10" s="11" customFormat="1" ht="15.75">
      <c r="A20" s="44" t="s">
        <v>35</v>
      </c>
      <c r="B20" s="63">
        <f>IF(181418.35394="","-",181418.35394)</f>
        <v>181418.35394</v>
      </c>
      <c r="C20" s="63">
        <f>IF(160570.21539="","-",181418.35394/160570.21539*100)</f>
        <v>112.98381427674062</v>
      </c>
      <c r="D20" s="63">
        <f>IF(160570.21539="","-",160570.21539/1919782.20123*100)</f>
        <v>8.363980835280326</v>
      </c>
      <c r="E20" s="63">
        <f>IF(181418.35394="","-",181418.35394/2219031.80472*100)</f>
        <v>8.175563484674415</v>
      </c>
      <c r="F20" s="63">
        <f>IF(1633487.06476="","-",(160570.21539-139986.64657)/1633487.06476*100)</f>
        <v>1.260099896966385</v>
      </c>
      <c r="G20" s="63">
        <f>IF(1919782.20123="","-",(181418.35394-160570.21539)/1919782.20123*100)</f>
        <v>1.0859637377949773</v>
      </c>
      <c r="J20" s="21"/>
    </row>
    <row r="21" spans="1:7" s="11" customFormat="1" ht="15.75">
      <c r="A21" s="22" t="s">
        <v>245</v>
      </c>
      <c r="B21" s="65">
        <f>IF(162746.24337="","-",162746.24337)</f>
        <v>162746.24337</v>
      </c>
      <c r="C21" s="65">
        <f>IF(OR(145231.77091="",162746.24337=""),"-",162746.24337/145231.77091*100)</f>
        <v>112.05967010541636</v>
      </c>
      <c r="D21" s="65">
        <f>IF(145231.77091="","-",145231.77091/1919782.20123*100)</f>
        <v>7.565012886198774</v>
      </c>
      <c r="E21" s="65">
        <f>IF(162746.24337="","-",162746.24337/2219031.80472*100)</f>
        <v>7.334110445097272</v>
      </c>
      <c r="F21" s="65">
        <f>IF(OR(1633487.06476="",129551.15023="",145231.77091=""),"-",(145231.77091-129551.15023)/1633487.06476*100)</f>
        <v>0.9599476493132725</v>
      </c>
      <c r="G21" s="65">
        <f>IF(OR(1919782.20123="",162746.24337="",145231.77091=""),"-",(162746.24337-145231.77091)/1919782.20123*100)</f>
        <v>0.9123155975078078</v>
      </c>
    </row>
    <row r="22" spans="1:7" s="11" customFormat="1" ht="15.75">
      <c r="A22" s="22" t="s">
        <v>36</v>
      </c>
      <c r="B22" s="65">
        <f>IF(18672.11057="","-",18672.11057)</f>
        <v>18672.11057</v>
      </c>
      <c r="C22" s="65">
        <f>IF(OR(15338.44448="",18672.11057=""),"-",18672.11057/15338.44448*100)</f>
        <v>121.73405585127495</v>
      </c>
      <c r="D22" s="65">
        <f>IF(15338.44448="","-",15338.44448/1919782.20123*100)</f>
        <v>0.7989679490815518</v>
      </c>
      <c r="E22" s="65">
        <f>IF(18672.11057="","-",18672.11057/2219031.80472*100)</f>
        <v>0.8414530395771443</v>
      </c>
      <c r="F22" s="65">
        <f>IF(OR(1633487.06476="",10435.49634="",15338.44448=""),"-",(15338.44448-10435.49634)/1633487.06476*100)</f>
        <v>0.30015224765311294</v>
      </c>
      <c r="G22" s="65">
        <f>IF(OR(1919782.20123="",18672.11057="",15338.44448=""),"-",(18672.11057-15338.44448)/1919782.20123*100)</f>
        <v>0.17364814028717052</v>
      </c>
    </row>
    <row r="23" spans="1:7" s="11" customFormat="1" ht="25.5">
      <c r="A23" s="44" t="s">
        <v>37</v>
      </c>
      <c r="B23" s="63">
        <f>IF(220624.1094="","-",220624.1094)</f>
        <v>220624.1094</v>
      </c>
      <c r="C23" s="63">
        <f>IF(211696.85119="","-",220624.1094/211696.85119*100)</f>
        <v>104.21700094253536</v>
      </c>
      <c r="D23" s="63">
        <f>IF(211696.85119="","-",211696.85119/1919782.20123*100)</f>
        <v>11.027128548976354</v>
      </c>
      <c r="E23" s="63">
        <f>IF(220624.1094="","-",220624.1094/2219031.80472*100)</f>
        <v>9.942359047343109</v>
      </c>
      <c r="F23" s="63">
        <f>IF(1633487.06476="","-",(211696.85119-169955.24385)/1633487.06476*100)</f>
        <v>2.555368098132621</v>
      </c>
      <c r="G23" s="63">
        <f>IF(1919782.20123="","-",(220624.1094-211696.85119)/1919782.20123*100)</f>
        <v>0.4650141148449197</v>
      </c>
    </row>
    <row r="24" spans="1:7" s="11" customFormat="1" ht="15.75">
      <c r="A24" s="22" t="s">
        <v>38</v>
      </c>
      <c r="B24" s="65">
        <f>IF(2592.93928="","-",2592.93928)</f>
        <v>2592.93928</v>
      </c>
      <c r="C24" s="65">
        <f>IF(OR(3208.21613="",2592.93928=""),"-",2592.93928/3208.21613*100)</f>
        <v>80.82183914460902</v>
      </c>
      <c r="D24" s="65">
        <f>IF(3208.21613="","-",3208.21613/1919782.20123*100)</f>
        <v>0.16711354694009056</v>
      </c>
      <c r="E24" s="65">
        <f>IF(2592.93928="","-",2592.93928/2219031.80472*100)</f>
        <v>0.11685002776817704</v>
      </c>
      <c r="F24" s="65">
        <f>IF(OR(1633487.06476="",3033.607="",3208.21613=""),"-",(3208.21613-3033.607)/1633487.06476*100)</f>
        <v>0.01068934880275004</v>
      </c>
      <c r="G24" s="65">
        <f>IF(OR(1919782.20123="",2592.93928="",3208.21613=""),"-",(2592.93928-3208.21613)/1919782.20123*100)</f>
        <v>-0.0320493048433199</v>
      </c>
    </row>
    <row r="25" spans="1:8" s="11" customFormat="1" ht="15.75">
      <c r="A25" s="22" t="s">
        <v>39</v>
      </c>
      <c r="B25" s="65">
        <f>IF(187370.37913="","-",187370.37913)</f>
        <v>187370.37913</v>
      </c>
      <c r="C25" s="65">
        <f>IF(OR(181620.83789="",187370.37913=""),"-",187370.37913/181620.83789*100)</f>
        <v>103.16568368849958</v>
      </c>
      <c r="D25" s="65">
        <f>IF(181620.83789="","-",181620.83789/1919782.20123*100)</f>
        <v>9.460491808583075</v>
      </c>
      <c r="E25" s="65">
        <f>IF(187370.37913="","-",187370.37913/2219031.80472*100)</f>
        <v>8.44378970736035</v>
      </c>
      <c r="F25" s="65">
        <f>IF(OR(1633487.06476="",145526.82164="",181620.83789=""),"-",(181620.83789-145526.82164)/1633487.06476*100)</f>
        <v>2.2096297564072294</v>
      </c>
      <c r="G25" s="65">
        <f>IF(OR(1919782.20123="",187370.37913="",181620.83789=""),"-",(187370.37913-181620.83789)/1919782.20123*100)</f>
        <v>0.2994892460361531</v>
      </c>
      <c r="H25" s="8"/>
    </row>
    <row r="26" spans="1:8" s="11" customFormat="1" ht="15.75">
      <c r="A26" s="22" t="s">
        <v>41</v>
      </c>
      <c r="B26" s="65">
        <f>IF(707.47807="","-",707.47807)</f>
        <v>707.47807</v>
      </c>
      <c r="C26" s="65">
        <f>IF(OR(490.61893="",707.47807=""),"-",707.47807/490.61893*100)</f>
        <v>144.20113589991323</v>
      </c>
      <c r="D26" s="65">
        <f>IF(490.61893="","-",490.61893/1919782.20123*100)</f>
        <v>0.025555968259610987</v>
      </c>
      <c r="E26" s="65">
        <f>IF(707.47807="","-",707.47807/2219031.80472*100)</f>
        <v>0.031882286161701516</v>
      </c>
      <c r="F26" s="65">
        <f>IF(OR(1633487.06476="",1574.4071="",490.61893=""),"-",(490.61893-1574.4071)/1633487.06476*100)</f>
        <v>-0.06634813298379166</v>
      </c>
      <c r="G26" s="65">
        <f>IF(OR(1919782.20123="",707.47807="",490.61893=""),"-",(707.47807-490.61893)/1919782.20123*100)</f>
        <v>0.011296028260969336</v>
      </c>
      <c r="H26" s="9"/>
    </row>
    <row r="27" spans="1:8" s="11" customFormat="1" ht="15.75">
      <c r="A27" s="22" t="s">
        <v>287</v>
      </c>
      <c r="B27" s="65">
        <f>IF(2743.99655="","-",2743.99655)</f>
        <v>2743.99655</v>
      </c>
      <c r="C27" s="65">
        <f>IF(OR(2404.24266="",2743.99655=""),"-",2743.99655/2404.24266*100)</f>
        <v>114.1314308930863</v>
      </c>
      <c r="D27" s="65">
        <f>IF(2404.24266="","-",2404.24266/1919782.20123*100)</f>
        <v>0.12523517816029375</v>
      </c>
      <c r="E27" s="65">
        <f>IF(2743.99655="","-",2743.99655/2219031.80472*100)</f>
        <v>0.12365737814858588</v>
      </c>
      <c r="F27" s="65">
        <f>IF(OR(1633487.06476="",2120.09437="",2404.24266=""),"-",(2404.24266-2120.09437)/1633487.06476*100)</f>
        <v>0.017395196823413388</v>
      </c>
      <c r="G27" s="65">
        <f>IF(OR(1919782.20123="",2743.99655="",2404.24266=""),"-",(2743.99655-2404.24266)/1919782.20123*100)</f>
        <v>0.01769752265555543</v>
      </c>
      <c r="H27" s="9"/>
    </row>
    <row r="28" spans="1:8" s="11" customFormat="1" ht="38.25">
      <c r="A28" s="22" t="s">
        <v>232</v>
      </c>
      <c r="B28" s="65">
        <f>IF(333.38182="","-",333.38182)</f>
        <v>333.38182</v>
      </c>
      <c r="C28" s="65">
        <f>IF(OR(346.30044="",333.38182=""),"-",333.38182/346.30044*100)</f>
        <v>96.26953404968242</v>
      </c>
      <c r="D28" s="65">
        <f>IF(346.30044="","-",346.30044/1919782.20123*100)</f>
        <v>0.018038527483905522</v>
      </c>
      <c r="E28" s="65">
        <f>IF(333.38182="","-",333.38182/2219031.80472*100)</f>
        <v>0.015023751317618746</v>
      </c>
      <c r="F28" s="65">
        <f>IF(OR(1633487.06476="",754.10765="",346.30044=""),"-",(346.30044-754.10765)/1633487.06476*100)</f>
        <v>-0.024965438588270494</v>
      </c>
      <c r="G28" s="65">
        <f>IF(OR(1919782.20123="",333.38182="",346.30044=""),"-",(333.38182-346.30044)/1919782.20123*100)</f>
        <v>-0.0006729211257257748</v>
      </c>
      <c r="H28" s="9"/>
    </row>
    <row r="29" spans="1:8" s="11" customFormat="1" ht="14.25" customHeight="1">
      <c r="A29" s="22" t="s">
        <v>42</v>
      </c>
      <c r="B29" s="65">
        <f>IF(9563.7315="","-",9563.7315)</f>
        <v>9563.7315</v>
      </c>
      <c r="C29" s="65">
        <f>IF(OR(8929.22246="",9563.7315=""),"-",9563.7315/8929.22246*100)</f>
        <v>107.1059831115463</v>
      </c>
      <c r="D29" s="65">
        <f>IF(8929.22246="","-",8929.22246/1919782.20123*100)</f>
        <v>0.4651164311388588</v>
      </c>
      <c r="E29" s="65">
        <f>IF(9563.7315="","-",9563.7315/2219031.80472*100)</f>
        <v>0.43098667985097955</v>
      </c>
      <c r="F29" s="65">
        <f>IF(OR(1633487.06476="",6321.11214="",8929.22246=""),"-",(8929.22246-6321.11214)/1633487.06476*100)</f>
        <v>0.15966519578061042</v>
      </c>
      <c r="G29" s="65">
        <f>IF(OR(1919782.20123="",9563.7315="",8929.22246=""),"-",(9563.7315-8929.22246)/1919782.20123*100)</f>
        <v>0.03305109504575418</v>
      </c>
      <c r="H29" s="9"/>
    </row>
    <row r="30" spans="1:8" s="11" customFormat="1" ht="15" customHeight="1">
      <c r="A30" s="22" t="s">
        <v>233</v>
      </c>
      <c r="B30" s="65">
        <f>IF(14280.02472="","-",14280.02472)</f>
        <v>14280.02472</v>
      </c>
      <c r="C30" s="65">
        <f>IF(OR(12878.15635="",14280.02472=""),"-",14280.02472/12878.15635*100)</f>
        <v>110.88562937038733</v>
      </c>
      <c r="D30" s="65">
        <f>IF(12878.15635="","-",12878.15635/1919782.20123*100)</f>
        <v>0.6708134048617075</v>
      </c>
      <c r="E30" s="65">
        <f>IF(14280.02472="","-",14280.02472/2219031.80472*100)</f>
        <v>0.6435250134597269</v>
      </c>
      <c r="F30" s="65">
        <f>IF(OR(1633487.06476="",8935.87401="",12878.15635=""),"-",(12878.15635-8935.87401)/1633487.06476*100)</f>
        <v>0.24134150952577144</v>
      </c>
      <c r="G30" s="65">
        <f>IF(OR(1919782.20123="",14280.02472="",12878.15635=""),"-",(14280.02472-12878.15635)/1919782.20123*100)</f>
        <v>0.07302226102012126</v>
      </c>
      <c r="H30" s="9"/>
    </row>
    <row r="31" spans="1:8" s="11" customFormat="1" ht="25.5">
      <c r="A31" s="22" t="s">
        <v>43</v>
      </c>
      <c r="B31" s="65">
        <f>IF(3031.22602="","-",3031.22602)</f>
        <v>3031.22602</v>
      </c>
      <c r="C31" s="65" t="s">
        <v>157</v>
      </c>
      <c r="D31" s="65">
        <f>IF(1818.79208="","-",1818.79208/1919782.20123*100)</f>
        <v>0.09473950111813226</v>
      </c>
      <c r="E31" s="65">
        <f>IF(3031.22602="","-",3031.22602/2219031.80472*100)</f>
        <v>0.13660128771261498</v>
      </c>
      <c r="F31" s="65">
        <f>IF(OR(1633487.06476="",1572.48123="",1818.79208=""),"-",(1818.79208-1572.48123)/1633487.06476*100)</f>
        <v>0.015078836882996013</v>
      </c>
      <c r="G31" s="65">
        <f>IF(OR(1919782.20123="",3031.22602="",1818.79208=""),"-",(3031.22602-1818.79208)/1919782.20123*100)</f>
        <v>0.06315476511987644</v>
      </c>
      <c r="H31" s="9"/>
    </row>
    <row r="32" spans="1:7" s="11" customFormat="1" ht="25.5">
      <c r="A32" s="44" t="s">
        <v>44</v>
      </c>
      <c r="B32" s="63">
        <f>IF(15865.36767="","-",15865.36767)</f>
        <v>15865.36767</v>
      </c>
      <c r="C32" s="63">
        <f>IF(13738.10666="","-",15865.36767/13738.10666*100)</f>
        <v>115.48438269294962</v>
      </c>
      <c r="D32" s="63">
        <f>IF(13738.10666="","-",13738.10666/1919782.20123*100)</f>
        <v>0.7156075648163643</v>
      </c>
      <c r="E32" s="63">
        <f>IF(15865.36767="","-",15865.36767/2219031.80472*100)</f>
        <v>0.7149680160623886</v>
      </c>
      <c r="F32" s="63">
        <f>IF(1633487.06476="","-",(13738.10666-4774.13169)/1633487.06476*100)</f>
        <v>0.5487631437912263</v>
      </c>
      <c r="G32" s="63">
        <f>IF(1919782.20123="","-",(15865.36767-13738.10666)/1919782.20123*100)</f>
        <v>0.11080741391586342</v>
      </c>
    </row>
    <row r="33" spans="1:7" s="11" customFormat="1" ht="25.5">
      <c r="A33" s="22" t="s">
        <v>45</v>
      </c>
      <c r="B33" s="65">
        <f>IF(15830.86096="","-",15830.86096)</f>
        <v>15830.86096</v>
      </c>
      <c r="C33" s="65">
        <f>IF(OR(13724.50598="",15830.86096=""),"-",15830.86096/13724.50598*100)</f>
        <v>115.34740108729218</v>
      </c>
      <c r="D33" s="65">
        <f>IF(13724.50598="","-",13724.50598/1919782.20123*100)</f>
        <v>0.7148991157021218</v>
      </c>
      <c r="E33" s="65">
        <f>IF(15830.86096="","-",15830.86096/2219031.80472*100)</f>
        <v>0.7134129815682185</v>
      </c>
      <c r="F33" s="65">
        <f>IF(OR(1633487.06476="",4768.5615="",13724.50598=""),"-",(13724.50598-4768.5615)/1633487.06476*100)</f>
        <v>0.548271527409729</v>
      </c>
      <c r="G33" s="65">
        <f>IF(OR(1919782.20123="",15830.86096="",13724.50598=""),"-",(15830.86096-13724.50598)/1919782.20123*100)</f>
        <v>0.10971843465630964</v>
      </c>
    </row>
    <row r="34" spans="1:7" s="11" customFormat="1" ht="15.75">
      <c r="A34" s="22" t="s">
        <v>47</v>
      </c>
      <c r="B34" s="65">
        <f>IF(6.86808="","-",6.86808)</f>
        <v>6.86808</v>
      </c>
      <c r="C34" s="65">
        <f>IF(OR(5.88905="",6.86808=""),"-",6.86808/5.88905*100)</f>
        <v>116.62458291235428</v>
      </c>
      <c r="D34" s="65">
        <f>IF(5.88905="","-",5.88905/1919782.20123*100)</f>
        <v>0.00030675615162110054</v>
      </c>
      <c r="E34" s="65">
        <f>IF(6.86808="","-",6.86808/2219031.80472*100)</f>
        <v>0.00030950795682113365</v>
      </c>
      <c r="F34" s="65">
        <f>IF(OR(1633487.06476="",5.57019="",5.88905=""),"-",(5.88905-5.57019)/1633487.06476*100)</f>
        <v>1.9520203549750693E-05</v>
      </c>
      <c r="G34" s="65">
        <f>IF(OR(1919782.20123="",6.86808="",5.88905=""),"-",(6.86808-5.88905)/1919782.20123*100)</f>
        <v>5.099693076499707E-05</v>
      </c>
    </row>
    <row r="35" spans="1:7" s="11" customFormat="1" ht="25.5">
      <c r="A35" s="44" t="s">
        <v>48</v>
      </c>
      <c r="B35" s="63">
        <f>IF(54891.47319="","-",54891.47319)</f>
        <v>54891.47319</v>
      </c>
      <c r="C35" s="63" t="s">
        <v>203</v>
      </c>
      <c r="D35" s="63">
        <f>IF(35178.65676="","-",35178.65676/1919782.20123*100)</f>
        <v>1.832429571305595</v>
      </c>
      <c r="E35" s="63">
        <f>IF(54891.47319="","-",54891.47319/2219031.80472*100)</f>
        <v>2.473667708288042</v>
      </c>
      <c r="F35" s="63">
        <f>IF(1633487.06476="","-",(35178.65676-35232.11551)/1633487.06476*100)</f>
        <v>-0.003272676665355759</v>
      </c>
      <c r="G35" s="63">
        <f>IF(1919782.20123="","-",(54891.47319-35178.65676)/1919782.20123*100)</f>
        <v>1.0268256689415103</v>
      </c>
    </row>
    <row r="36" spans="1:7" s="11" customFormat="1" ht="25.5">
      <c r="A36" s="22" t="s">
        <v>50</v>
      </c>
      <c r="B36" s="65">
        <f>IF(54717.71026="","-",54717.71026)</f>
        <v>54717.71026</v>
      </c>
      <c r="C36" s="65" t="s">
        <v>203</v>
      </c>
      <c r="D36" s="65">
        <f>IF(35078.15289="","-",35078.15289/1919782.20123*100)</f>
        <v>1.8271944008818035</v>
      </c>
      <c r="E36" s="65">
        <f>IF(54717.71026="","-",54717.71026/2219031.80472*100)</f>
        <v>2.4658371341777294</v>
      </c>
      <c r="F36" s="65">
        <f>IF(OR(1633487.06476="",35069.3254="",35078.15289=""),"-",(35078.15289-35069.3254)/1633487.06476*100)</f>
        <v>0.0005404077075622886</v>
      </c>
      <c r="G36" s="65">
        <f>IF(OR(1919782.20123="",54717.71026="",35078.15289=""),"-",(54717.71026-35078.15289)/1919782.20123*100)</f>
        <v>1.0230096600237768</v>
      </c>
    </row>
    <row r="37" spans="1:7" s="11" customFormat="1" ht="63.75">
      <c r="A37" s="22" t="s">
        <v>218</v>
      </c>
      <c r="B37" s="65">
        <f>IF(173.74538="","-",173.74538)</f>
        <v>173.74538</v>
      </c>
      <c r="C37" s="65" t="s">
        <v>157</v>
      </c>
      <c r="D37" s="65">
        <f>IF(100.50387="","-",100.50387/1919782.20123*100)</f>
        <v>0.005235170423791168</v>
      </c>
      <c r="E37" s="65">
        <f>IF(173.74538="","-",173.74538/2219031.80472*100)</f>
        <v>0.007829783224847623</v>
      </c>
      <c r="F37" s="65">
        <f>IF(OR(1633487.06476="",137.15214="",100.50387=""),"-",(100.50387-137.15214)/1633487.06476*100)</f>
        <v>-0.002243560465866593</v>
      </c>
      <c r="G37" s="65">
        <f>IF(OR(1919782.20123="",173.74538="",100.50387=""),"-",(173.74538-100.50387)/1919782.20123*100)</f>
        <v>0.003815094751533499</v>
      </c>
    </row>
    <row r="38" spans="1:7" s="11" customFormat="1" ht="25.5">
      <c r="A38" s="44" t="s">
        <v>51</v>
      </c>
      <c r="B38" s="63">
        <f>IF(106267.69922="","-",106267.69922)</f>
        <v>106267.69922</v>
      </c>
      <c r="C38" s="63">
        <f>IF(106601.95844="","-",106267.69922/106601.95844*100)</f>
        <v>99.68644176439953</v>
      </c>
      <c r="D38" s="63">
        <f>IF(106601.95844="","-",106601.95844/1919782.20123*100)</f>
        <v>5.552815229336972</v>
      </c>
      <c r="E38" s="63">
        <f>IF(106267.69922="","-",106267.69922/2219031.80472*100)</f>
        <v>4.788921861956322</v>
      </c>
      <c r="F38" s="63">
        <f>IF(1633487.06476="","-",(106601.95844-92804.26129)/1633487.06476*100)</f>
        <v>0.8446774662416586</v>
      </c>
      <c r="G38" s="63">
        <f>IF(1919782.20123="","-",(106267.69922-106601.95844)/1919782.20123*100)</f>
        <v>-0.01741130945926304</v>
      </c>
    </row>
    <row r="39" spans="1:7" s="11" customFormat="1" ht="15.75">
      <c r="A39" s="22" t="s">
        <v>52</v>
      </c>
      <c r="B39" s="65">
        <f>IF(21541.23436="","-",21541.23436)</f>
        <v>21541.23436</v>
      </c>
      <c r="C39" s="65">
        <f>IF(OR(18829.96789="",21541.23436=""),"-",21541.23436/18829.96789*100)</f>
        <v>114.39867813816011</v>
      </c>
      <c r="D39" s="65">
        <f>IF(18829.96789="","-",18829.96789/1919782.20123*100)</f>
        <v>0.9808387575390418</v>
      </c>
      <c r="E39" s="65">
        <f>IF(21541.23436="","-",21541.23436/2219031.80472*100)</f>
        <v>0.9707492391132311</v>
      </c>
      <c r="F39" s="65">
        <f>IF(OR(1633487.06476="",13391.01706="",18829.96789=""),"-",(18829.96789-13391.01706)/1633487.06476*100)</f>
        <v>0.33296565043807785</v>
      </c>
      <c r="G39" s="65">
        <f>IF(OR(1919782.20123="",21541.23436="",18829.96789=""),"-",(21541.23436-18829.96789)/1919782.20123*100)</f>
        <v>0.14122781575237525</v>
      </c>
    </row>
    <row r="40" spans="1:7" s="11" customFormat="1" ht="15.75">
      <c r="A40" s="22" t="s">
        <v>53</v>
      </c>
      <c r="B40" s="65">
        <f>IF(925.08409="","-",925.08409)</f>
        <v>925.08409</v>
      </c>
      <c r="C40" s="65">
        <f>IF(OR(975.37537="",925.08409=""),"-",925.08409/975.37537*100)</f>
        <v>94.84390507010649</v>
      </c>
      <c r="D40" s="65">
        <f>IF(975.37537="","-",975.37537/1919782.20123*100)</f>
        <v>0.05080656385787301</v>
      </c>
      <c r="E40" s="65">
        <f>IF(925.08409="","-",925.08409/2219031.80472*100)</f>
        <v>0.04168863591915611</v>
      </c>
      <c r="F40" s="65">
        <f>IF(OR(1633487.06476="",765.57661="",975.37537=""),"-",(975.37537-765.57661)/1633487.06476*100)</f>
        <v>0.012843613183482705</v>
      </c>
      <c r="G40" s="65">
        <f>IF(OR(1919782.20123="",925.08409="",975.37537=""),"-",(925.08409-975.37537)/1919782.20123*100)</f>
        <v>-0.002619634663128897</v>
      </c>
    </row>
    <row r="41" spans="1:7" s="11" customFormat="1" ht="15.75">
      <c r="A41" s="22" t="s">
        <v>54</v>
      </c>
      <c r="B41" s="65">
        <f>IF(2680.16377="","-",2680.16377)</f>
        <v>2680.16377</v>
      </c>
      <c r="C41" s="65" t="s">
        <v>242</v>
      </c>
      <c r="D41" s="65">
        <f>IF(895.06908="","-",895.06908/1919782.20123*100)</f>
        <v>0.04662347007001791</v>
      </c>
      <c r="E41" s="65">
        <f>IF(2680.16377="","-",2680.16377/2219031.80472*100)</f>
        <v>0.12078077314165339</v>
      </c>
      <c r="F41" s="65">
        <f>IF(OR(1633487.06476="",1251.60598="",895.06908=""),"-",(895.06908-1251.60598)/1633487.06476*100)</f>
        <v>-0.021826735435605316</v>
      </c>
      <c r="G41" s="65">
        <f>IF(OR(1919782.20123="",2680.16377="",895.06908=""),"-",(2680.16377-895.06908)/1919782.20123*100)</f>
        <v>0.09298422960981167</v>
      </c>
    </row>
    <row r="42" spans="1:7" s="11" customFormat="1" ht="15.75">
      <c r="A42" s="22" t="s">
        <v>55</v>
      </c>
      <c r="B42" s="65">
        <f>IF(56286.51724="","-",56286.51724)</f>
        <v>56286.51724</v>
      </c>
      <c r="C42" s="65">
        <f>IF(OR(51017.3923="",56286.51724=""),"-",56286.51724/51017.3923*100)</f>
        <v>110.32809538562009</v>
      </c>
      <c r="D42" s="65">
        <f>IF(51017.3923="","-",51017.3923/1919782.20123*100)</f>
        <v>2.65745730256866</v>
      </c>
      <c r="E42" s="65">
        <f>IF(56286.51724="","-",56286.51724/2219031.80472*100)</f>
        <v>2.536534948272285</v>
      </c>
      <c r="F42" s="65">
        <f>IF(OR(1633487.06476="",38305.85902="",51017.3923=""),"-",(51017.3923-38305.85902)/1633487.06476*100)</f>
        <v>0.7781838959262061</v>
      </c>
      <c r="G42" s="65">
        <f>IF(OR(1919782.20123="",56286.51724="",51017.3923=""),"-",(56286.51724-51017.3923)/1919782.20123*100)</f>
        <v>0.274464725041418</v>
      </c>
    </row>
    <row r="43" spans="1:7" s="11" customFormat="1" ht="38.25">
      <c r="A43" s="22" t="s">
        <v>244</v>
      </c>
      <c r="B43" s="65">
        <f>IF(19002.62869="","-",19002.62869)</f>
        <v>19002.62869</v>
      </c>
      <c r="C43" s="65">
        <f>IF(OR(25095.50936="",19002.62869=""),"-",19002.62869/25095.50936*100)</f>
        <v>75.72123130638063</v>
      </c>
      <c r="D43" s="65">
        <f>IF(25095.50936="","-",25095.50936/1919782.20123*100)</f>
        <v>1.3072060645171815</v>
      </c>
      <c r="E43" s="65">
        <f>IF(19002.62869="","-",19002.62869/2219031.80472*100)</f>
        <v>0.8563477391166899</v>
      </c>
      <c r="F43" s="65">
        <f>IF(OR(1633487.06476="",31014.86783="",25095.50936=""),"-",(25095.50936-31014.86783)/1633487.06476*100)</f>
        <v>-0.3623755949894651</v>
      </c>
      <c r="G43" s="65">
        <f>IF(OR(1919782.20123="",19002.62869="",25095.50936=""),"-",(19002.62869-25095.50936)/1919782.20123*100)</f>
        <v>-0.31737353675309127</v>
      </c>
    </row>
    <row r="44" spans="1:7" s="11" customFormat="1" ht="15.75">
      <c r="A44" s="22" t="s">
        <v>56</v>
      </c>
      <c r="B44" s="65">
        <f>IF(36.52661="","-",36.52661)</f>
        <v>36.52661</v>
      </c>
      <c r="C44" s="65">
        <f>IF(OR(50.4="",36.52661=""),"-",36.52661/50.4*100)</f>
        <v>72.47343253968253</v>
      </c>
      <c r="D44" s="65">
        <f>IF(50.4="","-",50.4/1919782.20123*100)</f>
        <v>0.002625297805537984</v>
      </c>
      <c r="E44" s="65">
        <f>IF(36.52661="","-",36.52661/2219031.80472*100)</f>
        <v>0.0016460606793605181</v>
      </c>
      <c r="F44" s="65">
        <f>IF(OR(1633487.06476="",21.44633="",50.4=""),"-",(50.4-21.44633)/1633487.06476*100)</f>
        <v>0.0017725068428536357</v>
      </c>
      <c r="G44" s="65">
        <f>IF(OR(1919782.20123="",36.52661="",50.4=""),"-",(36.52661-50.4)/1919782.20123*100)</f>
        <v>-0.0007226543714756472</v>
      </c>
    </row>
    <row r="45" spans="1:7" s="11" customFormat="1" ht="15.75">
      <c r="A45" s="22" t="s">
        <v>57</v>
      </c>
      <c r="B45" s="65">
        <f>IF(1979.07366="","-",1979.07366)</f>
        <v>1979.07366</v>
      </c>
      <c r="C45" s="65">
        <f>IF(OR(2993.83099="",1979.07366=""),"-",1979.07366/2993.83099*100)</f>
        <v>66.10505625102104</v>
      </c>
      <c r="D45" s="65">
        <f>IF(2993.83099="","-",2993.83099/1919782.20123*100)</f>
        <v>0.15594638746425815</v>
      </c>
      <c r="E45" s="65">
        <f>IF(1979.07366="","-",1979.07366/2219031.80472*100)</f>
        <v>0.0891863584735651</v>
      </c>
      <c r="F45" s="65">
        <f>IF(OR(1633487.06476="",2871.52544="",2993.83099=""),"-",(2993.83099-2871.52544)/1633487.06476*100)</f>
        <v>0.007487390175199813</v>
      </c>
      <c r="G45" s="65">
        <f>IF(OR(1919782.20123="",1979.07366="",2993.83099=""),"-",(1979.07366-2993.83099)/1919782.20123*100)</f>
        <v>-0.05285794030957507</v>
      </c>
    </row>
    <row r="46" spans="1:7" s="11" customFormat="1" ht="15.75">
      <c r="A46" s="22" t="s">
        <v>58</v>
      </c>
      <c r="B46" s="65">
        <f>IF(1632.81363="","-",1632.81363)</f>
        <v>1632.81363</v>
      </c>
      <c r="C46" s="65">
        <f>IF(OR(2732.89157="",1632.81363=""),"-",1632.81363/2732.89157*100)</f>
        <v>59.746740336280524</v>
      </c>
      <c r="D46" s="65">
        <f>IF(2732.89157="","-",2732.89157/1919782.20123*100)</f>
        <v>0.14235425082329872</v>
      </c>
      <c r="E46" s="65">
        <f>IF(1632.81363="","-",1632.81363/2219031.80472*100)</f>
        <v>0.07358225450067538</v>
      </c>
      <c r="F46" s="65">
        <f>IF(OR(1633487.06476="",2518.92="",2732.89157=""),"-",(2732.89157-2518.92)/1633487.06476*100)</f>
        <v>0.013099067303078856</v>
      </c>
      <c r="G46" s="65">
        <f>IF(OR(1919782.20123="",1632.81363="",2732.89157=""),"-",(1632.81363-2732.89157)/1919782.20123*100)</f>
        <v>-0.057302226226244944</v>
      </c>
    </row>
    <row r="47" spans="1:7" s="11" customFormat="1" ht="15.75">
      <c r="A47" s="22" t="s">
        <v>59</v>
      </c>
      <c r="B47" s="65">
        <f>IF(2183.65717="","-",2183.65717)</f>
        <v>2183.65717</v>
      </c>
      <c r="C47" s="65">
        <f>IF(OR(4011.52188="",2183.65717=""),"-",2183.65717/4011.52188*100)</f>
        <v>54.434631925776756</v>
      </c>
      <c r="D47" s="65">
        <f>IF(4011.52188="","-",4011.52188/1919782.20123*100)</f>
        <v>0.20895713469110336</v>
      </c>
      <c r="E47" s="65">
        <f>IF(2183.65717="","-",2183.65717/2219031.80472*100)</f>
        <v>0.09840585273970584</v>
      </c>
      <c r="F47" s="65">
        <f>IF(OR(1633487.06476="",2663.44302="",4011.52188=""),"-",(4011.52188-2663.44302)/1633487.06476*100)</f>
        <v>0.08252767279782935</v>
      </c>
      <c r="G47" s="65">
        <f>IF(OR(1919782.20123="",2183.65717="",4011.52188=""),"-",(2183.65717-4011.52188)/1919782.20123*100)</f>
        <v>-0.09521208753935166</v>
      </c>
    </row>
    <row r="48" spans="1:7" s="11" customFormat="1" ht="25.5">
      <c r="A48" s="44" t="s">
        <v>237</v>
      </c>
      <c r="B48" s="63">
        <f>IF(151366.84008="","-",151366.84008)</f>
        <v>151366.84008</v>
      </c>
      <c r="C48" s="63">
        <f>IF(141197.11051="","-",151366.84008/141197.11051*100)</f>
        <v>107.20250544311227</v>
      </c>
      <c r="D48" s="63">
        <f>IF(141197.11051="","-",141197.11051/1919782.20123*100)</f>
        <v>7.354850483535859</v>
      </c>
      <c r="E48" s="63">
        <f>IF(151366.84008="","-",151366.84008/2219031.80472*100)</f>
        <v>6.821301062834458</v>
      </c>
      <c r="F48" s="63">
        <f>IF(1633487.06476="","-",(141197.11051-147612.22193)/1633487.06476*100)</f>
        <v>-0.39272495989691486</v>
      </c>
      <c r="G48" s="63">
        <f>IF(1919782.20123="","-",(151366.84008-141197.11051)/1919782.20123*100)</f>
        <v>0.5297335064094393</v>
      </c>
    </row>
    <row r="49" spans="1:7" s="11" customFormat="1" ht="15.75">
      <c r="A49" s="22" t="s">
        <v>60</v>
      </c>
      <c r="B49" s="65">
        <f>IF(1269.19595="","-",1269.19595)</f>
        <v>1269.19595</v>
      </c>
      <c r="C49" s="65">
        <f>IF(OR(2059.40772="",1269.19595=""),"-",1269.19595/2059.40772*100)</f>
        <v>61.62917316829326</v>
      </c>
      <c r="D49" s="65">
        <f>IF(2059.40772="","-",2059.40772/1919782.20123*100)</f>
        <v>0.10727298746079333</v>
      </c>
      <c r="E49" s="65">
        <f>IF(1269.19595="","-",1269.19595/2219031.80472*100)</f>
        <v>0.05719593325793493</v>
      </c>
      <c r="F49" s="65">
        <f>IF(OR(1633487.06476="",1591.92355="",2059.40772=""),"-",(2059.40772-1591.92355)/1633487.06476*100)</f>
        <v>0.028618786159086314</v>
      </c>
      <c r="G49" s="65">
        <f>IF(OR(1919782.20123="",1269.19595="",2059.40772=""),"-",(1269.19595-2059.40772)/1919782.20123*100)</f>
        <v>-0.041161532255779495</v>
      </c>
    </row>
    <row r="50" spans="1:7" s="11" customFormat="1" ht="15.75">
      <c r="A50" s="22" t="s">
        <v>61</v>
      </c>
      <c r="B50" s="65">
        <f>IF(1149.42087="","-",1149.42087)</f>
        <v>1149.42087</v>
      </c>
      <c r="C50" s="65">
        <f>IF(OR(1943.23285="",1149.42087=""),"-",1149.42087/1943.23285*100)</f>
        <v>59.14992997365189</v>
      </c>
      <c r="D50" s="65">
        <f>IF(1943.23285="","-",1943.23285/1919782.20123*100)</f>
        <v>0.10122152652290324</v>
      </c>
      <c r="E50" s="65">
        <f>IF(1149.42087="","-",1149.42087/2219031.80472*100)</f>
        <v>0.051798305348986884</v>
      </c>
      <c r="F50" s="65">
        <f>IF(OR(1633487.06476="",11310.88563="",1943.23285=""),"-",(1943.23285-11310.88563)/1633487.06476*100)</f>
        <v>-0.5734757857648749</v>
      </c>
      <c r="G50" s="65">
        <f>IF(OR(1919782.20123="",1149.42087="",1943.23285=""),"-",(1149.42087-1943.23285)/1919782.20123*100)</f>
        <v>-0.0413490644663445</v>
      </c>
    </row>
    <row r="51" spans="1:7" s="11" customFormat="1" ht="15.75">
      <c r="A51" s="22" t="s">
        <v>62</v>
      </c>
      <c r="B51" s="65">
        <f>IF(13961.40017="","-",13961.40017)</f>
        <v>13961.40017</v>
      </c>
      <c r="C51" s="65" t="s">
        <v>157</v>
      </c>
      <c r="D51" s="65">
        <f>IF(8052.06645="","-",8052.06645/1919782.20123*100)</f>
        <v>0.41942603931013944</v>
      </c>
      <c r="E51" s="65">
        <f>IF(13961.40017="","-",13961.40017/2219031.80472*100)</f>
        <v>0.6291662940703848</v>
      </c>
      <c r="F51" s="65">
        <f>IF(OR(1633487.06476="",6588.86151="",8052.06645=""),"-",(8052.06645-6588.86151)/1633487.06476*100)</f>
        <v>0.08957554495327343</v>
      </c>
      <c r="G51" s="65">
        <f>IF(OR(1919782.20123="",13961.40017="",8052.06645=""),"-",(13961.40017-8052.06645)/1919782.20123*100)</f>
        <v>0.30781271522435744</v>
      </c>
    </row>
    <row r="52" spans="1:7" s="11" customFormat="1" ht="25.5">
      <c r="A52" s="22" t="s">
        <v>234</v>
      </c>
      <c r="B52" s="65">
        <f>IF(8050.7787="","-",8050.7787)</f>
        <v>8050.7787</v>
      </c>
      <c r="C52" s="65">
        <f>IF(OR(5986.52562="",8050.7787=""),"-",8050.7787/5986.52562*100)</f>
        <v>134.4816544859287</v>
      </c>
      <c r="D52" s="65">
        <f>IF(5986.52562="","-",5986.52562/1919782.20123*100)</f>
        <v>0.31183358279728024</v>
      </c>
      <c r="E52" s="65">
        <f>IF(8050.7787="","-",8050.7787/2219031.80472*100)</f>
        <v>0.36280591755717795</v>
      </c>
      <c r="F52" s="65">
        <f>IF(OR(1633487.06476="",5555.7521="",5986.52562=""),"-",(5986.52562-5555.7521)/1633487.06476*100)</f>
        <v>0.026371406868978913</v>
      </c>
      <c r="G52" s="65">
        <f>IF(OR(1919782.20123="",8050.7787="",5986.52562=""),"-",(8050.7787-5986.52562)/1919782.20123*100)</f>
        <v>0.10752537859125047</v>
      </c>
    </row>
    <row r="53" spans="1:7" s="11" customFormat="1" ht="25.5">
      <c r="A53" s="22" t="s">
        <v>235</v>
      </c>
      <c r="B53" s="65">
        <f>IF(60648.22163="","-",60648.22163)</f>
        <v>60648.22163</v>
      </c>
      <c r="C53" s="65">
        <f>IF(OR(68217.97759="",60648.22163=""),"-",60648.22163/68217.97759*100)</f>
        <v>88.9035761137697</v>
      </c>
      <c r="D53" s="65">
        <f>IF(68217.97759="","-",68217.97759/1919782.20123*100)</f>
        <v>3.553422755263222</v>
      </c>
      <c r="E53" s="65">
        <f>IF(60648.22163="","-",60648.22163/2219031.80472*100)</f>
        <v>2.7330938430444296</v>
      </c>
      <c r="F53" s="65">
        <f>IF(OR(1633487.06476="",63055.3686="",68217.97759=""),"-",(68217.97759-63055.3686)/1633487.06476*100)</f>
        <v>0.31604835455238267</v>
      </c>
      <c r="G53" s="65">
        <f>IF(OR(1919782.20123="",60648.22163="",68217.97759=""),"-",(60648.22163-68217.97759)/1919782.20123*100)</f>
        <v>-0.39430285139377114</v>
      </c>
    </row>
    <row r="54" spans="1:7" s="11" customFormat="1" ht="15.75">
      <c r="A54" s="22" t="s">
        <v>63</v>
      </c>
      <c r="B54" s="65">
        <f>IF(42121.49939="","-",42121.49939)</f>
        <v>42121.49939</v>
      </c>
      <c r="C54" s="65" t="s">
        <v>286</v>
      </c>
      <c r="D54" s="65">
        <f>IF(27237.31877="","-",27237.31877/1919782.20123*100)</f>
        <v>1.41877129356388</v>
      </c>
      <c r="E54" s="65">
        <f>IF(42121.49939="","-",42121.49939/2219031.80472*100)</f>
        <v>1.8981926847738417</v>
      </c>
      <c r="F54" s="65">
        <f>IF(OR(1633487.06476="",30574.05039="",27237.31877=""),"-",(27237.31877-30574.05039)/1633487.06476*100)</f>
        <v>-0.2042704648224593</v>
      </c>
      <c r="G54" s="65">
        <f>IF(OR(1919782.20123="",42121.49939="",27237.31877=""),"-",(42121.49939-27237.31877)/1919782.20123*100)</f>
        <v>0.7753056888674005</v>
      </c>
    </row>
    <row r="55" spans="1:7" s="11" customFormat="1" ht="15.75">
      <c r="A55" s="22" t="s">
        <v>236</v>
      </c>
      <c r="B55" s="65">
        <f>IF(2366.67947="","-",2366.67947)</f>
        <v>2366.67947</v>
      </c>
      <c r="C55" s="65">
        <f>IF(OR(2464.9335="",2366.67947=""),"-",2366.67947/2464.9335*100)</f>
        <v>96.01392775910588</v>
      </c>
      <c r="D55" s="65">
        <f>IF(2464.9335="","-",2464.9335/1919782.20123*100)</f>
        <v>0.1283965180227592</v>
      </c>
      <c r="E55" s="65">
        <f>IF(2366.67947="","-",2366.67947/2219031.80472*100)</f>
        <v>0.10665369757053259</v>
      </c>
      <c r="F55" s="65">
        <f>IF(OR(1633487.06476="",2961.01768="",2464.9335=""),"-",(2464.9335-2961.01768)/1633487.06476*100)</f>
        <v>-0.03036964238666236</v>
      </c>
      <c r="G55" s="65">
        <f>IF(OR(1919782.20123="",2366.67947="",2464.9335=""),"-",(2366.67947-2464.9335)/1919782.20123*100)</f>
        <v>-0.00511797796317983</v>
      </c>
    </row>
    <row r="56" spans="1:7" s="11" customFormat="1" ht="15.75">
      <c r="A56" s="22" t="s">
        <v>64</v>
      </c>
      <c r="B56" s="65">
        <f>IF(1937.65971="","-",1937.65971)</f>
        <v>1937.65971</v>
      </c>
      <c r="C56" s="65">
        <f>IF(OR(2760.05832="",1937.65971=""),"-",1937.65971/2760.05832*100)</f>
        <v>70.20357852438421</v>
      </c>
      <c r="D56" s="65">
        <f>IF(2760.05832="","-",2760.05832/1919782.20123*100)</f>
        <v>0.14376934624311222</v>
      </c>
      <c r="E56" s="65">
        <f>IF(1937.65971="","-",1937.65971/2219031.80472*100)</f>
        <v>0.08732005128896726</v>
      </c>
      <c r="F56" s="65">
        <f>IF(OR(1633487.06476="",1886.22114="",2760.05832=""),"-",(2760.05832-1886.22114)/1633487.06476*100)</f>
        <v>0.05349520047337433</v>
      </c>
      <c r="G56" s="65">
        <f>IF(OR(1919782.20123="",1937.65971="",2760.05832=""),"-",(1937.65971-2760.05832)/1919782.20123*100)</f>
        <v>-0.042838120359335104</v>
      </c>
    </row>
    <row r="57" spans="1:7" s="11" customFormat="1" ht="15.75">
      <c r="A57" s="22" t="s">
        <v>65</v>
      </c>
      <c r="B57" s="65">
        <f>IF(19861.98419="","-",19861.98419)</f>
        <v>19861.98419</v>
      </c>
      <c r="C57" s="65">
        <f>IF(OR(22475.58969="",19861.98419=""),"-",19861.98419/22475.58969*100)</f>
        <v>88.37135961258954</v>
      </c>
      <c r="D57" s="65">
        <f>IF(22475.58969="","-",22475.58969/1919782.20123*100)</f>
        <v>1.1707364343517688</v>
      </c>
      <c r="E57" s="65">
        <f>IF(19861.98419="","-",19861.98419/2219031.80472*100)</f>
        <v>0.8950743359222022</v>
      </c>
      <c r="F57" s="65">
        <f>IF(OR(1633487.06476="",24088.14133="",22475.58969=""),"-",(22475.58969-24088.14133)/1633487.06476*100)</f>
        <v>-0.09871835993001402</v>
      </c>
      <c r="G57" s="65">
        <f>IF(OR(1919782.20123="",19861.98419="",22475.58969=""),"-",(19861.98419-22475.58969)/1919782.20123*100)</f>
        <v>-0.13614072983515893</v>
      </c>
    </row>
    <row r="58" spans="1:7" s="11" customFormat="1" ht="25.5">
      <c r="A58" s="44" t="s">
        <v>66</v>
      </c>
      <c r="B58" s="63">
        <f>IF(481523.69063="","-",481523.69063)</f>
        <v>481523.69063</v>
      </c>
      <c r="C58" s="63">
        <f>IF(356138.20662="","-",481523.69063/356138.20662*100)</f>
        <v>135.2069734949237</v>
      </c>
      <c r="D58" s="63">
        <f>IF(356138.20662="","-",356138.20662/1919782.20123*100)</f>
        <v>18.550969291819825</v>
      </c>
      <c r="E58" s="63">
        <f>IF(481523.69063="","-",481523.69063/2219031.80472*100)</f>
        <v>21.699720103415068</v>
      </c>
      <c r="F58" s="63">
        <f>IF(1633487.06476="","-",(356138.20662-266407.47522)/1633487.06476*100)</f>
        <v>5.493201221840326</v>
      </c>
      <c r="G58" s="63">
        <f>IF(1919782.20123="","-",(481523.69063-356138.20662)/1919782.20123*100)</f>
        <v>6.531234841622442</v>
      </c>
    </row>
    <row r="59" spans="1:7" s="11" customFormat="1" ht="25.5">
      <c r="A59" s="22" t="s">
        <v>67</v>
      </c>
      <c r="B59" s="65">
        <f>IF(2586.09842="","-",2586.09842)</f>
        <v>2586.09842</v>
      </c>
      <c r="C59" s="65">
        <f>IF(OR(2671.06206="",2586.09842=""),"-",2586.09842/2671.06206*100)</f>
        <v>96.81910647931555</v>
      </c>
      <c r="D59" s="65">
        <f>IF(2671.06206="","-",2671.06206/1919782.20123*100)</f>
        <v>0.13913359850344778</v>
      </c>
      <c r="E59" s="65">
        <f>IF(2586.09842="","-",2586.09842/2219031.80472*100)</f>
        <v>0.11654174647245837</v>
      </c>
      <c r="F59" s="65">
        <f>IF(OR(1633487.06476="",2048.0362="",2671.06206=""),"-",(2671.06206-2048.0362)/1633487.06476*100)</f>
        <v>0.03814085054242767</v>
      </c>
      <c r="G59" s="65">
        <f>IF(OR(1919782.20123="",2586.09842="",2671.06206=""),"-",(2586.09842-2671.06206)/1919782.20123*100)</f>
        <v>-0.004425691619891277</v>
      </c>
    </row>
    <row r="60" spans="1:7" ht="25.5">
      <c r="A60" s="22" t="s">
        <v>68</v>
      </c>
      <c r="B60" s="65">
        <f>IF(11508.53035="","-",11508.53035)</f>
        <v>11508.53035</v>
      </c>
      <c r="C60" s="65">
        <f>IF(OR(8167.63461="",11508.53035=""),"-",11508.53035/8167.63461*100)</f>
        <v>140.90407932682973</v>
      </c>
      <c r="D60" s="65">
        <f>IF(8167.63461="","-",8167.63461/1919782.20123*100)</f>
        <v>0.42544589718391046</v>
      </c>
      <c r="E60" s="65">
        <f>IF(11508.53035="","-",11508.53035/2219031.80472*100)</f>
        <v>0.518628454334036</v>
      </c>
      <c r="F60" s="65">
        <f>IF(OR(1633487.06476="",7815.03062="",8167.63461=""),"-",(8167.63461-7815.03062)/1633487.06476*100)</f>
        <v>0.02158596768881093</v>
      </c>
      <c r="G60" s="65">
        <f>IF(OR(1919782.20123="",11508.53035="",8167.63461=""),"-",(11508.53035-8167.63461)/1919782.20123*100)</f>
        <v>0.17402472727684926</v>
      </c>
    </row>
    <row r="61" spans="1:7" ht="25.5">
      <c r="A61" s="22" t="s">
        <v>69</v>
      </c>
      <c r="B61" s="65">
        <f>IF(1852.85258="","-",1852.85258)</f>
        <v>1852.85258</v>
      </c>
      <c r="C61" s="65">
        <f>IF(OR(1274.42215="",1852.85258=""),"-",1852.85258/1274.42215*100)</f>
        <v>145.38766294983182</v>
      </c>
      <c r="D61" s="65">
        <f>IF(1274.42215="","-",1274.42215/1919782.20123*100)</f>
        <v>0.06638368400246032</v>
      </c>
      <c r="E61" s="65">
        <f>IF(1852.85258="","-",1852.85258/2219031.80472*100)</f>
        <v>0.08349824351588304</v>
      </c>
      <c r="F61" s="65">
        <f>IF(OR(1633487.06476="",1840.53469="",1274.42215=""),"-",(1274.42215-1840.53469)/1633487.06476*100)</f>
        <v>-0.03465668949653886</v>
      </c>
      <c r="G61" s="65">
        <f>IF(OR(1919782.20123="",1852.85258="",1274.42215=""),"-",(1852.85258-1274.42215)/1919782.20123*100)</f>
        <v>0.030130002748718104</v>
      </c>
    </row>
    <row r="62" spans="1:7" ht="38.25">
      <c r="A62" s="22" t="s">
        <v>70</v>
      </c>
      <c r="B62" s="65">
        <f>IF(17236.12675="","-",17236.12675)</f>
        <v>17236.12675</v>
      </c>
      <c r="C62" s="65">
        <f>IF(OR(24662.53264="",17236.12675=""),"-",17236.12675/24662.53264*100)</f>
        <v>69.88790243725755</v>
      </c>
      <c r="D62" s="65">
        <f>IF(24662.53264="","-",24662.53264/1919782.20123*100)</f>
        <v>1.284652635293669</v>
      </c>
      <c r="E62" s="65">
        <f>IF(17236.12675="","-",17236.12675/2219031.80472*100)</f>
        <v>0.7767408611872003</v>
      </c>
      <c r="F62" s="65">
        <f>IF(OR(1633487.06476="",24631.96847="",24662.53264=""),"-",(24662.53264-24631.96847)/1633487.06476*100)</f>
        <v>0.001871099603993014</v>
      </c>
      <c r="G62" s="65">
        <f>IF(OR(1919782.20123="",17236.12675="",24662.53264=""),"-",(17236.12675-24662.53264)/1919782.20123*100)</f>
        <v>-0.38683585488197153</v>
      </c>
    </row>
    <row r="63" spans="1:7" ht="25.5">
      <c r="A63" s="22" t="s">
        <v>71</v>
      </c>
      <c r="B63" s="65">
        <f>IF(1035.32601="","-",1035.32601)</f>
        <v>1035.32601</v>
      </c>
      <c r="C63" s="65">
        <f>IF(OR(706.75007="",1035.32601=""),"-",1035.32601/706.75007*100)</f>
        <v>146.49110823575865</v>
      </c>
      <c r="D63" s="65">
        <f>IF(706.75007="","-",706.75007/1919782.20123*100)</f>
        <v>0.036814075552278114</v>
      </c>
      <c r="E63" s="65">
        <f>IF(1035.32601="","-",1035.32601/2219031.80472*100)</f>
        <v>0.04665665484369381</v>
      </c>
      <c r="F63" s="65">
        <f>IF(OR(1633487.06476="",2099.86565="",706.75007=""),"-",(706.75007-2099.86565)/1633487.06476*100)</f>
        <v>-0.08528476350100045</v>
      </c>
      <c r="G63" s="65">
        <f>IF(OR(1919782.20123="",1035.32601="",706.75007=""),"-",(1035.32601-706.75007)/1919782.20123*100)</f>
        <v>0.017115271711003577</v>
      </c>
    </row>
    <row r="64" spans="1:7" s="1" customFormat="1" ht="38.25">
      <c r="A64" s="22" t="s">
        <v>72</v>
      </c>
      <c r="B64" s="65">
        <f>IF(3391.74887="","-",3391.74887)</f>
        <v>3391.74887</v>
      </c>
      <c r="C64" s="65">
        <f>IF(OR(3351.44606="",3391.74887=""),"-",3391.74887/3351.44606*100)</f>
        <v>101.20254986290902</v>
      </c>
      <c r="D64" s="65">
        <f>IF(3351.44606="","-",3351.44606/1919782.20123*100)</f>
        <v>0.1745742854503358</v>
      </c>
      <c r="E64" s="65">
        <f>IF(3391.74887="","-",3391.74887/2219031.80472*100)</f>
        <v>0.15284814137343897</v>
      </c>
      <c r="F64" s="65">
        <f>IF(OR(1633487.06476="",2609.30505="",3351.44606=""),"-",(3351.44606-2609.30505)/1633487.06476*100)</f>
        <v>0.04543292848841991</v>
      </c>
      <c r="G64" s="65">
        <f>IF(OR(1919782.20123="",3391.74887="",3351.44606=""),"-",(3391.74887-3351.44606)/1919782.20123*100)</f>
        <v>0.0020993428303574106</v>
      </c>
    </row>
    <row r="65" spans="1:7" s="1" customFormat="1" ht="51">
      <c r="A65" s="22" t="s">
        <v>288</v>
      </c>
      <c r="B65" s="65">
        <f>IF(426189.40747="","-",426189.40747)</f>
        <v>426189.40747</v>
      </c>
      <c r="C65" s="65" t="s">
        <v>286</v>
      </c>
      <c r="D65" s="65">
        <f>IF(279270.30969="","-",279270.30969/1919782.20123*100)</f>
        <v>14.546978793275207</v>
      </c>
      <c r="E65" s="65">
        <f>IF(426189.40747="","-",426189.40747/2219031.80472*100)</f>
        <v>19.206097297184844</v>
      </c>
      <c r="F65" s="65">
        <f>IF(OR(1633487.06476="",203834.52821="",279270.30969=""),"-",(279270.30969-203834.52821)/1633487.06476*100)</f>
        <v>4.618082573618876</v>
      </c>
      <c r="G65" s="65">
        <f>IF(OR(1919782.20123="",426189.40747="",279270.30969=""),"-",(426189.40747-279270.30969)/1919782.20123*100)</f>
        <v>7.652904464155842</v>
      </c>
    </row>
    <row r="66" spans="1:7" ht="25.5">
      <c r="A66" s="22" t="s">
        <v>74</v>
      </c>
      <c r="B66" s="65">
        <f>IF(17289.50303="","-",17289.50303)</f>
        <v>17289.50303</v>
      </c>
      <c r="C66" s="65">
        <f>IF(OR(20518.89468="",17289.50303=""),"-",17289.50303/20518.89468*100)</f>
        <v>84.26137615907875</v>
      </c>
      <c r="D66" s="65">
        <f>IF(20518.89468="","-",20518.89468/1919782.20123*100)</f>
        <v>1.068813674116449</v>
      </c>
      <c r="E66" s="65">
        <f>IF(17289.50303="","-",17289.50303/2219031.80472*100)</f>
        <v>0.7791462471706939</v>
      </c>
      <c r="F66" s="65">
        <f>IF(OR(1633487.06476="",21166.81498="",20518.89468=""),"-",(20518.89468-21166.81498)/1633487.06476*100)</f>
        <v>-0.03966485648878974</v>
      </c>
      <c r="G66" s="65">
        <f>IF(OR(1919782.20123="",17289.50303="",20518.89468=""),"-",(17289.50303-20518.89468)/1919782.20123*100)</f>
        <v>-0.16821656372951774</v>
      </c>
    </row>
    <row r="67" spans="1:7" ht="15.75">
      <c r="A67" s="22" t="s">
        <v>75</v>
      </c>
      <c r="B67" s="65">
        <f>IF(434.09715="","-",434.09715)</f>
        <v>434.09715</v>
      </c>
      <c r="C67" s="65">
        <f>IF(OR(15515.15466="",434.09715=""),"-",434.09715/15515.15466*100)</f>
        <v>2.79789121998994</v>
      </c>
      <c r="D67" s="65">
        <f>IF(15515.15466="","-",15515.15466/1919782.20123*100)</f>
        <v>0.8081726484420719</v>
      </c>
      <c r="E67" s="65">
        <f>IF(434.09715="","-",434.09715/2219031.80472*100)</f>
        <v>0.019562457332817494</v>
      </c>
      <c r="F67" s="65">
        <f>IF(OR(1633487.06476="",361.39135="",15515.15466=""),"-",(15515.15466-361.39135)/1633487.06476*100)</f>
        <v>0.9276941113841306</v>
      </c>
      <c r="G67" s="65">
        <f>IF(OR(1919782.20123="",434.09715="",15515.15466=""),"-",(434.09715-15515.15466)/1919782.20123*100)</f>
        <v>-0.7855608568689512</v>
      </c>
    </row>
    <row r="68" spans="1:7" ht="15.75">
      <c r="A68" s="44" t="s">
        <v>76</v>
      </c>
      <c r="B68" s="63">
        <f>IF(517580.84607="","-",517580.84607)</f>
        <v>517580.84607</v>
      </c>
      <c r="C68" s="63">
        <f>IF(441730.26301="","-",517580.84607/441730.26301*100)</f>
        <v>117.17124440221632</v>
      </c>
      <c r="D68" s="63">
        <f>IF(441730.26301="","-",441730.26301/1919782.20123*100)</f>
        <v>23.00939464523551</v>
      </c>
      <c r="E68" s="63">
        <f>IF(517580.84607="","-",517580.84607/2219031.80472*100)</f>
        <v>23.324624954409295</v>
      </c>
      <c r="F68" s="63">
        <f>IF(1633487.06476="","-",(441730.26301-391387.25689)/1633487.06476*100)</f>
        <v>3.081934788837561</v>
      </c>
      <c r="G68" s="63">
        <f>IF(1919782.20123="","-",(517580.84607-441730.26301)/1919782.20123*100)</f>
        <v>3.950999390003863</v>
      </c>
    </row>
    <row r="69" spans="1:7" ht="38.25">
      <c r="A69" s="22" t="s">
        <v>219</v>
      </c>
      <c r="B69" s="65">
        <f>IF(6522.26146="","-",6522.26146)</f>
        <v>6522.26146</v>
      </c>
      <c r="C69" s="65">
        <f>IF(OR(7559.63314="",6522.26146=""),"-",6522.26146/7559.63314*100)</f>
        <v>86.277486476017</v>
      </c>
      <c r="D69" s="65">
        <f>IF(7559.63314="","-",7559.63314/1919782.20123*100)</f>
        <v>0.393775561371314</v>
      </c>
      <c r="E69" s="65">
        <f>IF(6522.26146="","-",6522.26146/2219031.80472*100)</f>
        <v>0.29392374846213554</v>
      </c>
      <c r="F69" s="65">
        <f>IF(OR(1633487.06476="",4683.5348="",7559.63314=""),"-",(7559.63314-4683.5348)/1633487.06476*100)</f>
        <v>0.17607108143354475</v>
      </c>
      <c r="G69" s="65">
        <f>IF(OR(1919782.20123="",6522.26146="",7559.63314=""),"-",(6522.26146-7559.63314)/1919782.20123*100)</f>
        <v>-0.05403590466331851</v>
      </c>
    </row>
    <row r="70" spans="1:7" ht="15.75">
      <c r="A70" s="22" t="s">
        <v>77</v>
      </c>
      <c r="B70" s="65">
        <f>IF(133339.68117="","-",133339.68117)</f>
        <v>133339.68117</v>
      </c>
      <c r="C70" s="65">
        <f>IF(OR(108833.53608="",133339.68117=""),"-",133339.68117/108833.53608*100)</f>
        <v>122.51708983523821</v>
      </c>
      <c r="D70" s="65">
        <f>IF(108833.53608="","-",108833.53608/1919782.20123*100)</f>
        <v>5.669056417455616</v>
      </c>
      <c r="E70" s="65">
        <f>IF(133339.68117="","-",133339.68117/2219031.80472*100)</f>
        <v>6.008912575582708</v>
      </c>
      <c r="F70" s="65">
        <f>IF(OR(1633487.06476="",101256.20419="",108833.53608=""),"-",(108833.53608-101256.20419)/1633487.06476*100)</f>
        <v>0.4638746185059813</v>
      </c>
      <c r="G70" s="65">
        <f>IF(OR(1919782.20123="",133339.68117="",108833.53608=""),"-",(133339.68117-108833.53608)/1919782.20123*100)</f>
        <v>1.276506526328818</v>
      </c>
    </row>
    <row r="71" spans="1:7" ht="15.75">
      <c r="A71" s="22" t="s">
        <v>78</v>
      </c>
      <c r="B71" s="65">
        <f>IF(14510.52938="","-",14510.52938)</f>
        <v>14510.52938</v>
      </c>
      <c r="C71" s="65">
        <f>IF(OR(10084.86137="",14510.52938=""),"-",14510.52938/10084.86137*100)</f>
        <v>143.88427215435286</v>
      </c>
      <c r="D71" s="65">
        <f>IF(10084.86137="","-",10084.86137/1919782.20123*100)</f>
        <v>0.5253127861868213</v>
      </c>
      <c r="E71" s="65">
        <f>IF(14510.52938="","-",14510.52938/2219031.80472*100)</f>
        <v>0.6539126365442498</v>
      </c>
      <c r="F71" s="65">
        <f>IF(OR(1633487.06476="",12055.35508="",10084.86137=""),"-",(10084.86137-12055.35508)/1633487.06476*100)</f>
        <v>-0.12063111808537727</v>
      </c>
      <c r="G71" s="65">
        <f>IF(OR(1919782.20123="",14510.52938="",10084.86137=""),"-",(14510.52938-10084.86137)/1919782.20123*100)</f>
        <v>0.23052969275183843</v>
      </c>
    </row>
    <row r="72" spans="1:7" ht="15.75">
      <c r="A72" s="22" t="s">
        <v>79</v>
      </c>
      <c r="B72" s="65">
        <f>IF(262325.25362="","-",262325.25362)</f>
        <v>262325.25362</v>
      </c>
      <c r="C72" s="65">
        <f>IF(OR(231455.41885="",262325.25362=""),"-",262325.25362/231455.41885*100)</f>
        <v>113.33727027147542</v>
      </c>
      <c r="D72" s="65">
        <f>IF(231455.41885="","-",231455.41885/1919782.20123*100)</f>
        <v>12.056337364817063</v>
      </c>
      <c r="E72" s="65">
        <f>IF(262325.25362="","-",262325.25362/2219031.80472*100)</f>
        <v>11.821608552974322</v>
      </c>
      <c r="F72" s="65">
        <f>IF(OR(1633487.06476="",203981.30798="",231455.41885=""),"-",(231455.41885-203981.30798)/1633487.06476*100)</f>
        <v>1.6819301151941846</v>
      </c>
      <c r="G72" s="65">
        <f>IF(OR(1919782.20123="",262325.25362="",231455.41885=""),"-",(262325.25362-231455.41885)/1919782.20123*100)</f>
        <v>1.6079862991865306</v>
      </c>
    </row>
    <row r="73" spans="1:7" ht="15.75">
      <c r="A73" s="22" t="s">
        <v>289</v>
      </c>
      <c r="B73" s="65">
        <f>IF(30738.53937="","-",30738.53937)</f>
        <v>30738.53937</v>
      </c>
      <c r="C73" s="65">
        <f>IF(OR(27613.17493="",30738.53937=""),"-",30738.53937/27613.17493*100)</f>
        <v>111.31838134485754</v>
      </c>
      <c r="D73" s="65">
        <f>IF(27613.17493="","-",27613.17493/1919782.20123*100)</f>
        <v>1.438349356104474</v>
      </c>
      <c r="E73" s="65">
        <f>IF(30738.53937="","-",30738.53937/2219031.80472*100)</f>
        <v>1.3852230195447164</v>
      </c>
      <c r="F73" s="65">
        <f>IF(OR(1633487.06476="",24232.47997="",27613.17493=""),"-",(27613.17493-24232.47997)/1633487.06476*100)</f>
        <v>0.20696184456757294</v>
      </c>
      <c r="G73" s="65">
        <f>IF(OR(1919782.20123="",30738.53937="",27613.17493=""),"-",(30738.53937-27613.17493)/1919782.20123*100)</f>
        <v>0.16279786519520723</v>
      </c>
    </row>
    <row r="74" spans="1:7" ht="25.5">
      <c r="A74" s="22" t="s">
        <v>81</v>
      </c>
      <c r="B74" s="65">
        <f>IF(19208.02875="","-",19208.02875)</f>
        <v>19208.02875</v>
      </c>
      <c r="C74" s="65">
        <f>IF(OR(18840.12398="",19208.02875=""),"-",19208.02875/18840.12398*100)</f>
        <v>101.95277255282691</v>
      </c>
      <c r="D74" s="65">
        <f>IF(18840.12398="","-",18840.12398/1919782.20123*100)</f>
        <v>0.9813677805705865</v>
      </c>
      <c r="E74" s="65">
        <f>IF(19208.02875="","-",19208.02875/2219031.80472*100)</f>
        <v>0.8656040309626699</v>
      </c>
      <c r="F74" s="65">
        <f>IF(OR(1633487.06476="",20038.15129="",18840.12398=""),"-",(18840.12398-20038.15129)/1633487.06476*100)</f>
        <v>-0.07334170780079127</v>
      </c>
      <c r="G74" s="65">
        <f>IF(OR(1919782.20123="",19208.02875="",18840.12398=""),"-",(19208.02875-18840.12398)/1919782.20123*100)</f>
        <v>0.019163880661269037</v>
      </c>
    </row>
    <row r="75" spans="1:7" ht="25.5">
      <c r="A75" s="22" t="s">
        <v>82</v>
      </c>
      <c r="B75" s="65">
        <f>IF(3135.47498="","-",3135.47498)</f>
        <v>3135.47498</v>
      </c>
      <c r="C75" s="65">
        <f>IF(OR(2334.59517="",3135.47498=""),"-",3135.47498/2334.59517*100)</f>
        <v>134.30486879658883</v>
      </c>
      <c r="D75" s="65">
        <f>IF(2334.59517="","-",2334.59517/1919782.20123*100)</f>
        <v>0.12160729318691622</v>
      </c>
      <c r="E75" s="65">
        <f>IF(3135.47498="","-",3135.47498/2219031.80472*100)</f>
        <v>0.14129923569958197</v>
      </c>
      <c r="F75" s="65">
        <f>IF(OR(1633487.06476="",1696.4846="",2334.59517=""),"-",(2334.59517-1696.4846)/1633487.06476*100)</f>
        <v>0.03906431729802246</v>
      </c>
      <c r="G75" s="65">
        <f>IF(OR(1919782.20123="",3135.47498="",2334.59517=""),"-",(3135.47498-2334.59517)/1919782.20123*100)</f>
        <v>0.041717222374854715</v>
      </c>
    </row>
    <row r="76" spans="1:7" ht="15.75">
      <c r="A76" s="22" t="s">
        <v>83</v>
      </c>
      <c r="B76" s="65">
        <f>IF(47801.07734="","-",47801.07734)</f>
        <v>47801.07734</v>
      </c>
      <c r="C76" s="65">
        <f>IF(OR(35008.91949="",47801.07734=""),"-",47801.07734/35008.91949*100)</f>
        <v>136.53971055477442</v>
      </c>
      <c r="D76" s="65">
        <f>IF(35008.91949="","-",35008.91949/1919782.20123*100)</f>
        <v>1.8235880855427176</v>
      </c>
      <c r="E76" s="65">
        <f>IF(47801.07734="","-",47801.07734/2219031.80472*100)</f>
        <v>2.154141154638908</v>
      </c>
      <c r="F76" s="65">
        <f>IF(OR(1633487.06476="",23443.73898="",35008.91949=""),"-",(35008.91949-23443.73898)/1633487.06476*100)</f>
        <v>0.7080056377244234</v>
      </c>
      <c r="G76" s="65">
        <f>IF(OR(1919782.20123="",47801.07734="",35008.91949=""),"-",(47801.07734-35008.91949)/1919782.20123*100)</f>
        <v>0.6663338081686608</v>
      </c>
    </row>
    <row r="77" spans="1:7" ht="25.5">
      <c r="A77" s="39" t="s">
        <v>202</v>
      </c>
      <c r="B77" s="74">
        <f>IF(802.42973="","-",802.42973)</f>
        <v>802.42973</v>
      </c>
      <c r="C77" s="74" t="s">
        <v>144</v>
      </c>
      <c r="D77" s="74">
        <f>IF(375.03663="","-",375.03663/1919782.20123*100)</f>
        <v>0.019535373843955577</v>
      </c>
      <c r="E77" s="74">
        <f>IF(802.42973="","-",802.42973/2219031.80472*100)</f>
        <v>0.03616125412412696</v>
      </c>
      <c r="F77" s="74">
        <f>IF(1633487.06476="","-",(375.03663-261.25909)/1633487.06476*100)</f>
        <v>0.0069653162522420545</v>
      </c>
      <c r="G77" s="74">
        <f>IF(1919782.20123="","-",(802.42973-375.03663)/1919782.20123*100)</f>
        <v>0.022262582689128493</v>
      </c>
    </row>
    <row r="78" ht="15.75">
      <c r="A78" s="78" t="s">
        <v>20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N82"/>
  <sheetViews>
    <sheetView zoomScalePageLayoutView="0" workbookViewId="0" topLeftCell="A1">
      <selection activeCell="J8" sqref="J8"/>
    </sheetView>
  </sheetViews>
  <sheetFormatPr defaultColWidth="9.00390625" defaultRowHeight="15.75"/>
  <cols>
    <col min="1" max="1" width="28.75390625" style="0" customWidth="1"/>
    <col min="2" max="2" width="11.50390625" style="0" customWidth="1"/>
    <col min="3" max="3" width="10.875" style="0" customWidth="1"/>
    <col min="4" max="5" width="7.75390625" style="0" customWidth="1"/>
    <col min="6" max="6" width="10.125" style="0" customWidth="1"/>
    <col min="7" max="7" width="9.50390625" style="0" customWidth="1"/>
    <col min="8" max="8" width="13.00390625" style="0" customWidth="1"/>
  </cols>
  <sheetData>
    <row r="1" spans="1:7" ht="15.75">
      <c r="A1" s="105" t="s">
        <v>195</v>
      </c>
      <c r="B1" s="105"/>
      <c r="C1" s="105"/>
      <c r="D1" s="105"/>
      <c r="E1" s="105"/>
      <c r="F1" s="105"/>
      <c r="G1" s="105"/>
    </row>
    <row r="2" spans="1:7" ht="15.75">
      <c r="A2" s="105" t="s">
        <v>23</v>
      </c>
      <c r="B2" s="105"/>
      <c r="C2" s="105"/>
      <c r="D2" s="105"/>
      <c r="E2" s="105"/>
      <c r="F2" s="105"/>
      <c r="G2" s="105"/>
    </row>
    <row r="3" ht="15.75">
      <c r="A3" s="5"/>
    </row>
    <row r="4" spans="1:7" ht="57" customHeight="1">
      <c r="A4" s="113"/>
      <c r="B4" s="116" t="s">
        <v>257</v>
      </c>
      <c r="C4" s="111"/>
      <c r="D4" s="116" t="s">
        <v>0</v>
      </c>
      <c r="E4" s="111"/>
      <c r="F4" s="108" t="s">
        <v>180</v>
      </c>
      <c r="G4" s="117"/>
    </row>
    <row r="5" spans="1:7" ht="29.25" customHeight="1">
      <c r="A5" s="114"/>
      <c r="B5" s="118" t="s">
        <v>169</v>
      </c>
      <c r="C5" s="106" t="s">
        <v>259</v>
      </c>
      <c r="D5" s="120" t="s">
        <v>260</v>
      </c>
      <c r="E5" s="120"/>
      <c r="F5" s="120" t="s">
        <v>260</v>
      </c>
      <c r="G5" s="116"/>
    </row>
    <row r="6" spans="1:14" ht="25.5" customHeight="1">
      <c r="A6" s="115"/>
      <c r="B6" s="119"/>
      <c r="C6" s="107"/>
      <c r="D6" s="29">
        <v>2017</v>
      </c>
      <c r="E6" s="29">
        <v>2018</v>
      </c>
      <c r="F6" s="29" t="s">
        <v>145</v>
      </c>
      <c r="G6" s="25" t="s">
        <v>168</v>
      </c>
      <c r="H6" s="1"/>
      <c r="I6" s="1"/>
      <c r="J6" s="1"/>
      <c r="K6" s="1"/>
      <c r="L6" s="1"/>
      <c r="M6" s="1"/>
      <c r="N6" s="1"/>
    </row>
    <row r="7" spans="1:14" ht="15.75">
      <c r="A7" s="54" t="s">
        <v>212</v>
      </c>
      <c r="B7" s="62">
        <f>IF(4722022.55771="","-",4722022.55771)</f>
        <v>4722022.55771</v>
      </c>
      <c r="C7" s="62">
        <f>IF(3904696.37575="","-",4722022.55771/3904696.37575*100)</f>
        <v>120.93187544711492</v>
      </c>
      <c r="D7" s="62">
        <v>100</v>
      </c>
      <c r="E7" s="62">
        <v>100</v>
      </c>
      <c r="F7" s="62">
        <f>IF(3275429.97191="","-",(3904696.37575-3275429.97191)/3275429.97191*100)</f>
        <v>19.211719048691993</v>
      </c>
      <c r="G7" s="62">
        <f>IF(3904696.37575="","-",(4722022.55771-3904696.37575)/3904696.37575*100)</f>
        <v>20.931875447114916</v>
      </c>
      <c r="H7" s="34"/>
      <c r="I7" s="34"/>
      <c r="J7" s="34"/>
      <c r="K7" s="34"/>
      <c r="L7" s="34"/>
      <c r="M7" s="34"/>
      <c r="N7" s="1"/>
    </row>
    <row r="8" spans="1:14" ht="15.75">
      <c r="A8" s="59" t="s">
        <v>201</v>
      </c>
      <c r="B8" s="61"/>
      <c r="C8" s="61"/>
      <c r="D8" s="61"/>
      <c r="E8" s="61"/>
      <c r="F8" s="61"/>
      <c r="G8" s="61"/>
      <c r="H8" s="1"/>
      <c r="I8" s="1"/>
      <c r="J8" s="1"/>
      <c r="K8" s="1"/>
      <c r="L8" s="1"/>
      <c r="M8" s="1"/>
      <c r="N8" s="1"/>
    </row>
    <row r="9" spans="1:7" ht="15.75">
      <c r="A9" s="44" t="s">
        <v>24</v>
      </c>
      <c r="B9" s="63">
        <f>IF(451671.1702="","-",451671.1702)</f>
        <v>451671.1702</v>
      </c>
      <c r="C9" s="63">
        <f>IF(401793.70097="","-",451671.1702/401793.70097*100)</f>
        <v>112.41370113806839</v>
      </c>
      <c r="D9" s="63">
        <f>IF(401793.70097="","-",401793.70097/3904696.37575*100)</f>
        <v>10.290011368497888</v>
      </c>
      <c r="E9" s="63">
        <f>IF(451671.1702="","-",451671.1702/4722022.55771*100)</f>
        <v>9.565205686332916</v>
      </c>
      <c r="F9" s="63">
        <f>IF(3275429.97191="","-",(401793.70097-350907.18557)/3275429.97191*100)</f>
        <v>1.5535827612374997</v>
      </c>
      <c r="G9" s="63">
        <f>IF(3904696.37575="","-",(451671.1702-401793.70097)/3904696.37575*100)</f>
        <v>1.2773712583585888</v>
      </c>
    </row>
    <row r="10" spans="1:7" ht="15.75">
      <c r="A10" s="22" t="s">
        <v>25</v>
      </c>
      <c r="B10" s="65">
        <f>IF(4204.33797="","-",4204.33797)</f>
        <v>4204.33797</v>
      </c>
      <c r="C10" s="65">
        <f>IF(OR(5340.81975="",4204.33797=""),"-",4204.33797/5340.81975*100)</f>
        <v>78.72083625364814</v>
      </c>
      <c r="D10" s="65">
        <f>IF(5340.81975="","-",5340.81975/3904696.37575*100)</f>
        <v>0.1367793865655983</v>
      </c>
      <c r="E10" s="65">
        <f>IF(4204.33797="","-",4204.33797/4722022.55771*100)</f>
        <v>0.08903680400965602</v>
      </c>
      <c r="F10" s="65">
        <f>IF(OR(3275429.97191="",6004.15803="",5340.81975=""),"-",(5340.81975-6004.15803)/3275429.97191*100)</f>
        <v>-0.02025194510915426</v>
      </c>
      <c r="G10" s="65">
        <f>IF(OR(3904696.37575="",4204.33797="",5340.81975=""),"-",(4204.33797-5340.81975)/3904696.37575*100)</f>
        <v>-0.029105509638549267</v>
      </c>
    </row>
    <row r="11" spans="1:7" s="11" customFormat="1" ht="15.75">
      <c r="A11" s="22" t="s">
        <v>26</v>
      </c>
      <c r="B11" s="65">
        <f>IF(33970.25568="","-",33970.25568)</f>
        <v>33970.25568</v>
      </c>
      <c r="C11" s="65">
        <f>IF(OR(30458.34777="",33970.25568=""),"-",33970.25568/30458.34777*100)</f>
        <v>111.53019834338835</v>
      </c>
      <c r="D11" s="65">
        <f>IF(30458.34777="","-",30458.34777/3904696.37575*100)</f>
        <v>0.7800439480816141</v>
      </c>
      <c r="E11" s="65">
        <f>IF(33970.25568="","-",33970.25568/4722022.55771*100)</f>
        <v>0.7194005379015866</v>
      </c>
      <c r="F11" s="65">
        <f>IF(OR(3275429.97191="",21330.68146="",30458.34777=""),"-",(30458.34777-21330.68146)/3275429.97191*100)</f>
        <v>0.27867078179898896</v>
      </c>
      <c r="G11" s="65">
        <f>IF(OR(3904696.37575="",33970.25568="",30458.34777=""),"-",(33970.25568-30458.34777)/3904696.37575*100)</f>
        <v>0.08994061437940734</v>
      </c>
    </row>
    <row r="12" spans="1:7" s="11" customFormat="1" ht="15.75">
      <c r="A12" s="22" t="s">
        <v>27</v>
      </c>
      <c r="B12" s="65">
        <f>IF(47321.5959="","-",47321.5959)</f>
        <v>47321.5959</v>
      </c>
      <c r="C12" s="65">
        <f>IF(OR(42121.53323="",47321.5959=""),"-",47321.5959/42121.53323*100)</f>
        <v>112.34537841157308</v>
      </c>
      <c r="D12" s="65">
        <f>IF(42121.53323="","-",42121.53323/3904696.37575*100)</f>
        <v>1.0787402957012104</v>
      </c>
      <c r="E12" s="65">
        <f>IF(47321.5959="","-",47321.5959/4722022.55771*100)</f>
        <v>1.0021467564303455</v>
      </c>
      <c r="F12" s="65">
        <f>IF(OR(3275429.97191="",33230.52209="",42121.53323=""),"-",(42121.53323-33230.52209)/3275429.97191*100)</f>
        <v>0.27144561832336755</v>
      </c>
      <c r="G12" s="65">
        <f>IF(OR(3904696.37575="",47321.5959="",42121.53323=""),"-",(47321.5959-42121.53323)/3904696.37575*100)</f>
        <v>0.13317457158243678</v>
      </c>
    </row>
    <row r="13" spans="1:7" s="11" customFormat="1" ht="15.75">
      <c r="A13" s="22" t="s">
        <v>28</v>
      </c>
      <c r="B13" s="65">
        <f>IF(40737.08295="","-",40737.08295)</f>
        <v>40737.08295</v>
      </c>
      <c r="C13" s="65">
        <f>IF(OR(35695.18573="",40737.08295=""),"-",40737.08295/35695.18573*100)</f>
        <v>114.12486618822253</v>
      </c>
      <c r="D13" s="65">
        <f>IF(35695.18573="","-",35695.18573/3904696.37575*100)</f>
        <v>0.9141603416768556</v>
      </c>
      <c r="E13" s="65">
        <f>IF(40737.08295="","-",40737.08295/4722022.55771*100)</f>
        <v>0.8627041157074846</v>
      </c>
      <c r="F13" s="65">
        <f>IF(OR(3275429.97191="",33835.09017="",35695.18573=""),"-",(35695.18573-33835.09017)/3275429.97191*100)</f>
        <v>0.056789355167172685</v>
      </c>
      <c r="G13" s="65">
        <f>IF(OR(3904696.37575="",40737.08295="",35695.18573=""),"-",(40737.08295-35695.18573)/3904696.37575*100)</f>
        <v>0.1291239250076538</v>
      </c>
    </row>
    <row r="14" spans="1:7" s="11" customFormat="1" ht="15.75">
      <c r="A14" s="22" t="s">
        <v>29</v>
      </c>
      <c r="B14" s="65">
        <f>IF(62950.90497="","-",62950.90497)</f>
        <v>62950.90497</v>
      </c>
      <c r="C14" s="65">
        <f>IF(OR(53693.73946="",62950.90497=""),"-",62950.90497/53693.73946*100)</f>
        <v>117.24067945928087</v>
      </c>
      <c r="D14" s="65">
        <f>IF(53693.73946="","-",53693.73946/3904696.37575*100)</f>
        <v>1.375106648329006</v>
      </c>
      <c r="E14" s="65">
        <f>IF(62950.90497="","-",62950.90497/4722022.55771*100)</f>
        <v>1.3331343550490953</v>
      </c>
      <c r="F14" s="65">
        <f>IF(OR(3275429.97191="",48273.44913="",53693.73946=""),"-",(53693.73946-48273.44913)/3275429.97191*100)</f>
        <v>0.16548332208242159</v>
      </c>
      <c r="G14" s="65">
        <f>IF(OR(3904696.37575="",62950.90497="",53693.73946=""),"-",(62950.90497-53693.73946)/3904696.37575*100)</f>
        <v>0.23707772946166455</v>
      </c>
    </row>
    <row r="15" spans="1:7" s="11" customFormat="1" ht="15.75">
      <c r="A15" s="22" t="s">
        <v>30</v>
      </c>
      <c r="B15" s="65">
        <f>IF(118160.31168="","-",118160.31168)</f>
        <v>118160.31168</v>
      </c>
      <c r="C15" s="65">
        <f>IF(OR(81560.83269="",118160.31168=""),"-",118160.31168/81560.83269*100)</f>
        <v>144.87384174841483</v>
      </c>
      <c r="D15" s="65">
        <f>IF(81560.83269="","-",81560.83269/3904696.37575*100)</f>
        <v>2.0887880859708092</v>
      </c>
      <c r="E15" s="65">
        <f>IF(118160.31168="","-",118160.31168/4722022.55771*100)</f>
        <v>2.502324168000231</v>
      </c>
      <c r="F15" s="65">
        <f>IF(OR(3275429.97191="",72971.12176="",81560.83269=""),"-",(81560.83269-72971.12176)/3275429.97191*100)</f>
        <v>0.2622468196134594</v>
      </c>
      <c r="G15" s="65">
        <f>IF(OR(3904696.37575="",118160.31168="",81560.83269=""),"-",(118160.31168-81560.83269)/3904696.37575*100)</f>
        <v>0.9373194601582846</v>
      </c>
    </row>
    <row r="16" spans="1:7" s="11" customFormat="1" ht="15" customHeight="1">
      <c r="A16" s="22" t="s">
        <v>31</v>
      </c>
      <c r="B16" s="65">
        <f>IF(12605.58795="","-",12605.58795)</f>
        <v>12605.58795</v>
      </c>
      <c r="C16" s="65">
        <f>IF(OR(30168.33959="",12605.58795=""),"-",12605.58795/30168.33959*100)</f>
        <v>41.78416220884233</v>
      </c>
      <c r="D16" s="65">
        <f>IF(30168.33959="","-",30168.33959/3904696.37575*100)</f>
        <v>0.7726167846841965</v>
      </c>
      <c r="E16" s="65">
        <f>IF(12605.58795="","-",12605.58795/4722022.55771*100)</f>
        <v>0.26695314975609147</v>
      </c>
      <c r="F16" s="65">
        <f>IF(OR(3275429.97191="",21321.11393="",30168.33959=""),"-",(30168.33959-21321.11393)/3275429.97191*100)</f>
        <v>0.2701088326074308</v>
      </c>
      <c r="G16" s="65">
        <f>IF(OR(3904696.37575="",12605.58795="",30168.33959=""),"-",(12605.58795-30168.33959)/3904696.37575*100)</f>
        <v>-0.4497853341190097</v>
      </c>
    </row>
    <row r="17" spans="1:7" s="11" customFormat="1" ht="25.5">
      <c r="A17" s="22" t="s">
        <v>32</v>
      </c>
      <c r="B17" s="65">
        <f>IF(43234.7293="","-",43234.7293)</f>
        <v>43234.7293</v>
      </c>
      <c r="C17" s="65">
        <f>IF(OR(40088.6541399999="",43234.7293=""),"-",43234.7293/40088.6541399999*100)</f>
        <v>107.84779441338488</v>
      </c>
      <c r="D17" s="65">
        <f>IF(40088.6541399999="","-",40088.6541399999/3904696.37575*100)</f>
        <v>1.0266778843284534</v>
      </c>
      <c r="E17" s="65">
        <f>IF(43234.7293="","-",43234.7293/4722022.55771*100)</f>
        <v>0.9155976866185744</v>
      </c>
      <c r="F17" s="65">
        <f>IF(OR(3275429.97191="",36746.62403="",40088.6541399999=""),"-",(40088.6541399999-36746.62403)/3275429.97191*100)</f>
        <v>0.10203332504926252</v>
      </c>
      <c r="G17" s="65">
        <f>IF(OR(3904696.37575="",43234.7293="",40088.6541399999=""),"-",(43234.7293-40088.6541399999)/3904696.37575*100)</f>
        <v>0.08057156964978654</v>
      </c>
    </row>
    <row r="18" spans="1:7" s="11" customFormat="1" ht="25.5">
      <c r="A18" s="22" t="s">
        <v>33</v>
      </c>
      <c r="B18" s="65">
        <f>IF(30192.77507="","-",30192.77507)</f>
        <v>30192.77507</v>
      </c>
      <c r="C18" s="65">
        <f>IF(OR(25582.76004="",30192.77507=""),"-",30192.77507/25582.76004*100)</f>
        <v>118.02000653092941</v>
      </c>
      <c r="D18" s="65">
        <f>IF(25582.76004="","-",25582.76004/3904696.37575*100)</f>
        <v>0.655179240026983</v>
      </c>
      <c r="E18" s="65">
        <f>IF(30192.77507="","-",30192.77507/4722022.55771*100)</f>
        <v>0.639403448437619</v>
      </c>
      <c r="F18" s="65">
        <f>IF(OR(3275429.97191="",21947.16527="",25582.76004=""),"-",(25582.76004-21947.16527)/3275429.97191*100)</f>
        <v>0.11099595476559607</v>
      </c>
      <c r="G18" s="65">
        <f>IF(OR(3904696.37575="",30192.77507="",25582.76004=""),"-",(30192.77507-25582.76004)/3904696.37575*100)</f>
        <v>0.118063341842156</v>
      </c>
    </row>
    <row r="19" spans="1:7" s="11" customFormat="1" ht="15.75" customHeight="1">
      <c r="A19" s="22" t="s">
        <v>34</v>
      </c>
      <c r="B19" s="65">
        <f>IF(58293.58873="","-",58293.58873)</f>
        <v>58293.58873</v>
      </c>
      <c r="C19" s="65">
        <f>IF(OR(57083.48857="",58293.58873=""),"-",58293.58873/57083.48857*100)</f>
        <v>102.1198777270175</v>
      </c>
      <c r="D19" s="65">
        <f>IF(57083.48857="","-",57083.48857/3904696.37575*100)</f>
        <v>1.4619187531331577</v>
      </c>
      <c r="E19" s="65">
        <f>IF(58293.58873="","-",58293.58873/4722022.55771*100)</f>
        <v>1.2345046644222333</v>
      </c>
      <c r="F19" s="65">
        <f>IF(OR(3275429.97191="",55247.2597="",57083.48857=""),"-",(57083.48857-55247.2597)/3275429.97191*100)</f>
        <v>0.05606069693894996</v>
      </c>
      <c r="G19" s="65">
        <f>IF(OR(3904696.37575="",58293.58873="",57083.48857=""),"-",(58293.58873-57083.48857)/3904696.37575*100)</f>
        <v>0.030990890034761538</v>
      </c>
    </row>
    <row r="20" spans="1:7" s="11" customFormat="1" ht="15.75">
      <c r="A20" s="44" t="s">
        <v>35</v>
      </c>
      <c r="B20" s="63">
        <f>IF(97245.87937="","-",97245.87937)</f>
        <v>97245.87937</v>
      </c>
      <c r="C20" s="63">
        <f>IF(94325.79377="","-",97245.87937/94325.79377*100)</f>
        <v>103.09574452892514</v>
      </c>
      <c r="D20" s="63">
        <f>IF(94325.79377="","-",94325.79377/3904696.37575*100)</f>
        <v>2.415701112020067</v>
      </c>
      <c r="E20" s="63">
        <f>IF(97245.87937="","-",97245.87937/4722022.55771*100)</f>
        <v>2.059411580133588</v>
      </c>
      <c r="F20" s="63">
        <f>IF(3275429.97191="","-",(94325.79377-87703.94883)/3275429.97191*100)</f>
        <v>0.20216719627007065</v>
      </c>
      <c r="G20" s="63">
        <f>IF(3904696.37575="","-",(97245.87937-94325.79377)/3904696.37575*100)</f>
        <v>0.07478393501054513</v>
      </c>
    </row>
    <row r="21" spans="1:7" s="11" customFormat="1" ht="15.75">
      <c r="A21" s="22" t="s">
        <v>245</v>
      </c>
      <c r="B21" s="65">
        <f>IF(51141.29357="","-",51141.29357)</f>
        <v>51141.29357</v>
      </c>
      <c r="C21" s="65">
        <f>IF(OR(45235.30745="",51141.29357=""),"-",51141.29357/45235.30745*100)</f>
        <v>113.05614232096923</v>
      </c>
      <c r="D21" s="65">
        <f>IF(45235.30745="","-",45235.30745/3904696.37575*100)</f>
        <v>1.1584846322733957</v>
      </c>
      <c r="E21" s="65">
        <f>IF(51141.29357="","-",51141.29357/4722022.55771*100)</f>
        <v>1.083037892025691</v>
      </c>
      <c r="F21" s="65">
        <f>IF(OR(3275429.97191="",40839.97122="",45235.30745=""),"-",(45235.30745-40839.97122)/3275429.97191*100)</f>
        <v>0.1341911220112867</v>
      </c>
      <c r="G21" s="65">
        <f>IF(OR(3904696.37575="",51141.29357="",45235.30745=""),"-",(51141.29357-45235.30745)/3904696.37575*100)</f>
        <v>0.15125340235617168</v>
      </c>
    </row>
    <row r="22" spans="1:7" s="11" customFormat="1" ht="15.75">
      <c r="A22" s="22" t="s">
        <v>36</v>
      </c>
      <c r="B22" s="65">
        <f>IF(46104.5858="","-",46104.5858)</f>
        <v>46104.5858</v>
      </c>
      <c r="C22" s="65">
        <f>IF(OR(49090.48632="",46104.5858=""),"-",46104.5858/49090.48632*100)</f>
        <v>93.9175576698585</v>
      </c>
      <c r="D22" s="65">
        <f>IF(49090.48632="","-",49090.48632/3904696.37575*100)</f>
        <v>1.2572164797466712</v>
      </c>
      <c r="E22" s="65">
        <f>IF(46104.5858="","-",46104.5858/4722022.55771*100)</f>
        <v>0.9763736881078974</v>
      </c>
      <c r="F22" s="65">
        <f>IF(OR(3275429.97191="",46863.97761="",49090.48632=""),"-",(49090.48632-46863.97761)/3275429.97191*100)</f>
        <v>0.06797607425878377</v>
      </c>
      <c r="G22" s="65">
        <f>IF(OR(3904696.37575="",46104.5858="",49090.48632=""),"-",(46104.5858-49090.48632)/3904696.37575*100)</f>
        <v>-0.07646946734562637</v>
      </c>
    </row>
    <row r="23" spans="1:7" s="11" customFormat="1" ht="25.5">
      <c r="A23" s="44" t="s">
        <v>37</v>
      </c>
      <c r="B23" s="63">
        <f>IF(116334.28842="","-",116334.28842)</f>
        <v>116334.28842</v>
      </c>
      <c r="C23" s="63">
        <f>IF(93531.2257="","-",116334.28842/93531.2257*100)</f>
        <v>124.38016026128054</v>
      </c>
      <c r="D23" s="63">
        <f>IF(93531.2257="","-",93531.2257/3904696.37575*100)</f>
        <v>2.3953520760505955</v>
      </c>
      <c r="E23" s="63">
        <f>IF(116334.28842="","-",116334.28842/4722022.55771*100)</f>
        <v>2.4636538050851176</v>
      </c>
      <c r="F23" s="63">
        <f>IF(3275429.97191="","-",(93531.2257-82188.5076)/3275429.97191*100)</f>
        <v>0.34629707236225005</v>
      </c>
      <c r="G23" s="63">
        <f>IF(3904696.37575="","-",(116334.28842-93531.2257)/3904696.37575*100)</f>
        <v>0.5839906749630456</v>
      </c>
    </row>
    <row r="24" spans="1:7" s="11" customFormat="1" ht="12.75" customHeight="1">
      <c r="A24" s="22" t="s">
        <v>38</v>
      </c>
      <c r="B24" s="65">
        <f>IF(39.57298="","-",39.57298)</f>
        <v>39.57298</v>
      </c>
      <c r="C24" s="65">
        <f>IF(OR(54.22319="",39.57298=""),"-",39.57298/54.22319*100)</f>
        <v>72.98165231518101</v>
      </c>
      <c r="D24" s="65">
        <f>IF(54.22319="","-",54.22319/3904696.37575*100)</f>
        <v>0.0013886659750743107</v>
      </c>
      <c r="E24" s="65">
        <f>IF(39.57298="","-",39.57298/4722022.55771*100)</f>
        <v>0.000838051481464997</v>
      </c>
      <c r="F24" s="65">
        <f>IF(OR(3275429.97191="",118.4111="",54.22319=""),"-",(54.22319-118.4111)/3275429.97191*100)</f>
        <v>-0.001959678898662887</v>
      </c>
      <c r="G24" s="65">
        <f>IF(OR(3904696.37575="",39.57298="",54.22319=""),"-",(39.57298-54.22319)/3904696.37575*100)</f>
        <v>-0.00037519460132635896</v>
      </c>
    </row>
    <row r="25" spans="1:7" s="11" customFormat="1" ht="14.25" customHeight="1">
      <c r="A25" s="22" t="s">
        <v>39</v>
      </c>
      <c r="B25" s="65">
        <f>IF(33431.84659="","-",33431.84659)</f>
        <v>33431.84659</v>
      </c>
      <c r="C25" s="65">
        <f>IF(OR(25125.98895="",33431.84659=""),"-",33431.84659/25125.98895*100)</f>
        <v>133.0568387040543</v>
      </c>
      <c r="D25" s="65">
        <f>IF(25125.98895="","-",25125.98895/3904696.37575*100)</f>
        <v>0.6434812475060596</v>
      </c>
      <c r="E25" s="65">
        <f>IF(33431.84659="","-",33431.84659/4722022.55771*100)</f>
        <v>0.7079984515409253</v>
      </c>
      <c r="F25" s="65">
        <f>IF(OR(3275429.97191="",23791.91291="",25125.98895=""),"-",(25125.98895-23791.91291)/3275429.97191*100)</f>
        <v>0.04072979887956697</v>
      </c>
      <c r="G25" s="65">
        <f>IF(OR(3904696.37575="",33431.84659="",25125.98895=""),"-",(33431.84659-25125.98895)/3904696.37575*100)</f>
        <v>0.21271455807891446</v>
      </c>
    </row>
    <row r="26" spans="1:7" s="11" customFormat="1" ht="27" customHeight="1">
      <c r="A26" s="22" t="s">
        <v>40</v>
      </c>
      <c r="B26" s="65">
        <f>IF(775.80158="","-",775.80158)</f>
        <v>775.80158</v>
      </c>
      <c r="C26" s="65">
        <f>IF(OR(611.53469="",775.80158=""),"-",775.80158/611.53469*100)</f>
        <v>126.86141811513588</v>
      </c>
      <c r="D26" s="65">
        <f>IF(611.53469="","-",611.53469/3904696.37575*100)</f>
        <v>0.015661517084860115</v>
      </c>
      <c r="E26" s="65">
        <f>IF(775.80158="","-",775.80158/4722022.55771*100)</f>
        <v>0.016429434008808166</v>
      </c>
      <c r="F26" s="65">
        <f>IF(OR(3275429.97191="",535.19498="",611.53469=""),"-",(611.53469-535.19498)/3275429.97191*100)</f>
        <v>0.0023306775188200414</v>
      </c>
      <c r="G26" s="65">
        <f>IF(OR(3904696.37575="",775.80158="",611.53469=""),"-",(775.80158-611.53469)/3904696.37575*100)</f>
        <v>0.004206905587337714</v>
      </c>
    </row>
    <row r="27" spans="1:7" s="11" customFormat="1" ht="15.75">
      <c r="A27" s="22" t="s">
        <v>41</v>
      </c>
      <c r="B27" s="65">
        <f>IF(29925.84806="","-",29925.84806)</f>
        <v>29925.84806</v>
      </c>
      <c r="C27" s="65">
        <f>IF(OR(27886.53449="",29925.84806=""),"-",29925.84806/27886.53449*100)</f>
        <v>107.31289709279326</v>
      </c>
      <c r="D27" s="65">
        <f>IF(27886.53449="","-",27886.53449/3904696.37575*100)</f>
        <v>0.7141793319242051</v>
      </c>
      <c r="E27" s="65">
        <f>IF(29925.84806="","-",29925.84806/4722022.55771*100)</f>
        <v>0.6337506374495782</v>
      </c>
      <c r="F27" s="65">
        <f>IF(OR(3275429.97191="",22573.69847="",27886.53449=""),"-",(27886.53449-22573.69847)/3275429.97191*100)</f>
        <v>0.162202705158185</v>
      </c>
      <c r="G27" s="65">
        <f>IF(OR(3904696.37575="",29925.84806="",27886.53449=""),"-",(29925.84806-27886.53449)/3904696.37575*100)</f>
        <v>0.05222719960161558</v>
      </c>
    </row>
    <row r="28" spans="1:7" s="11" customFormat="1" ht="15.75">
      <c r="A28" s="22" t="s">
        <v>217</v>
      </c>
      <c r="B28" s="65">
        <f>IF(455.78562="","-",455.78562)</f>
        <v>455.78562</v>
      </c>
      <c r="C28" s="65">
        <f>IF(OR(461.96474="",455.78562=""),"-",455.78562/461.96474*100)</f>
        <v>98.66242605442139</v>
      </c>
      <c r="D28" s="65">
        <f>IF(461.96474="","-",461.96474/3904696.37575*100)</f>
        <v>0.011831002862835078</v>
      </c>
      <c r="E28" s="65">
        <f>IF(455.78562="","-",455.78562/4722022.55771*100)</f>
        <v>0.009652338895666744</v>
      </c>
      <c r="F28" s="65">
        <f>IF(OR(3275429.97191="",500.3338="",461.96474=""),"-",(461.96474-500.3338)/3275429.97191*100)</f>
        <v>-0.0011714205563560212</v>
      </c>
      <c r="G28" s="65">
        <f>IF(OR(3904696.37575="",455.78562="",461.96474=""),"-",(455.78562-461.96474)/3904696.37575*100)</f>
        <v>-0.00015824841179394258</v>
      </c>
    </row>
    <row r="29" spans="1:7" s="11" customFormat="1" ht="38.25">
      <c r="A29" s="22" t="s">
        <v>232</v>
      </c>
      <c r="B29" s="65">
        <f>IF(7075.46456="","-",7075.46456)</f>
        <v>7075.46456</v>
      </c>
      <c r="C29" s="65">
        <f>IF(OR(7383.43303="",7075.46456=""),"-",7075.46456/7383.43303*100)</f>
        <v>95.82892580255448</v>
      </c>
      <c r="D29" s="65">
        <f>IF(7383.43303="","-",7383.43303/3904696.37575*100)</f>
        <v>0.18909109235367413</v>
      </c>
      <c r="E29" s="65">
        <f>IF(7075.46456="","-",7075.46456/4722022.55771*100)</f>
        <v>0.14983970265977148</v>
      </c>
      <c r="F29" s="65">
        <f>IF(OR(3275429.97191="",6359.91998="",7383.43303=""),"-",(7383.43303-6359.91998)/3275429.97191*100)</f>
        <v>0.031248204320581452</v>
      </c>
      <c r="G29" s="65">
        <f>IF(OR(3904696.37575="",7075.46456="",7383.43303=""),"-",(7075.46456-7383.43303)/3904696.37575*100)</f>
        <v>-0.007887129762831978</v>
      </c>
    </row>
    <row r="30" spans="1:7" s="11" customFormat="1" ht="38.25">
      <c r="A30" s="22" t="s">
        <v>42</v>
      </c>
      <c r="B30" s="65">
        <f>IF(12819.76983="","-",12819.76983)</f>
        <v>12819.76983</v>
      </c>
      <c r="C30" s="65">
        <f>IF(OR(8746.06055="",12819.76983=""),"-",12819.76983/8746.06055*100)</f>
        <v>146.5776478073891</v>
      </c>
      <c r="D30" s="65">
        <f>IF(8746.06055="","-",8746.06055/3904696.37575*100)</f>
        <v>0.2239882364302932</v>
      </c>
      <c r="E30" s="65">
        <f>IF(12819.76983="","-",12819.76983/4722022.55771*100)</f>
        <v>0.2714889578210125</v>
      </c>
      <c r="F30" s="65">
        <f>IF(OR(3275429.97191="",9361.83082="",8746.06055=""),"-",(8746.06055-9361.83082)/3275429.97191*100)</f>
        <v>-0.018799677455504423</v>
      </c>
      <c r="G30" s="65">
        <f>IF(OR(3904696.37575="",12819.76983="",8746.06055=""),"-",(12819.76983-8746.06055)/3904696.37575*100)</f>
        <v>0.104328451894484</v>
      </c>
    </row>
    <row r="31" spans="1:7" s="11" customFormat="1" ht="14.25" customHeight="1">
      <c r="A31" s="22" t="s">
        <v>233</v>
      </c>
      <c r="B31" s="65">
        <f>IF(3218.17278="","-",3218.17278)</f>
        <v>3218.17278</v>
      </c>
      <c r="C31" s="65" t="s">
        <v>250</v>
      </c>
      <c r="D31" s="65">
        <f>IF(1009.64426="","-",1009.64426/3904696.37575*100)</f>
        <v>0.02585717717439864</v>
      </c>
      <c r="E31" s="65">
        <f>IF(3218.17278="","-",3218.17278/4722022.55771*100)</f>
        <v>0.06815242283723207</v>
      </c>
      <c r="F31" s="65">
        <f>IF(OR(3275429.97191="",633.68837="",1009.64426=""),"-",(1009.64426-633.68837)/3275429.97191*100)</f>
        <v>0.011478062215470573</v>
      </c>
      <c r="G31" s="65">
        <f>IF(OR(3904696.37575="",3218.17278="",1009.64426=""),"-",(3218.17278-1009.64426)/3904696.37575*100)</f>
        <v>0.05656082592531393</v>
      </c>
    </row>
    <row r="32" spans="1:7" s="11" customFormat="1" ht="26.25" customHeight="1">
      <c r="A32" s="22" t="s">
        <v>43</v>
      </c>
      <c r="B32" s="65">
        <f>IF(28592.02642="","-",28592.02642)</f>
        <v>28592.02642</v>
      </c>
      <c r="C32" s="65">
        <f>IF(OR(22251.8418="",28592.02642=""),"-",28592.02642/22251.8418*100)</f>
        <v>128.49285320732417</v>
      </c>
      <c r="D32" s="65">
        <f>IF(22251.8418="","-",22251.8418/3904696.37575*100)</f>
        <v>0.5698738047391955</v>
      </c>
      <c r="E32" s="65">
        <f>IF(28592.02642="","-",28592.02642/4722022.55771*100)</f>
        <v>0.6055038083906579</v>
      </c>
      <c r="F32" s="65">
        <f>IF(OR(3275429.97191="",18313.51717="",22251.8418=""),"-",(22251.8418-18313.51717)/3275429.97191*100)</f>
        <v>0.12023840118014935</v>
      </c>
      <c r="G32" s="65">
        <f>IF(OR(3904696.37575="",28592.02642="",22251.8418=""),"-",(28592.02642-22251.8418)/3904696.37575*100)</f>
        <v>0.16237330665133215</v>
      </c>
    </row>
    <row r="33" spans="1:7" s="11" customFormat="1" ht="25.5">
      <c r="A33" s="44" t="s">
        <v>44</v>
      </c>
      <c r="B33" s="63">
        <f>IF(781783.31336="","-",781783.31336)</f>
        <v>781783.31336</v>
      </c>
      <c r="C33" s="63">
        <f>IF(603379.66121="","-",781783.31336/603379.66121*100)</f>
        <v>129.56739572431636</v>
      </c>
      <c r="D33" s="63">
        <f>IF(603379.66121="","-",603379.66121/3904696.37575*100)</f>
        <v>15.452665281666237</v>
      </c>
      <c r="E33" s="63">
        <f>IF(781783.31336="","-",781783.31336/4722022.55771*100)</f>
        <v>16.556111365531784</v>
      </c>
      <c r="F33" s="63">
        <f>IF(3275429.97191="","-",(603379.66121-481235.51481)/3275429.97191*100)</f>
        <v>3.72910266583334</v>
      </c>
      <c r="G33" s="63">
        <f>IF(3904696.37575="","-",(781783.31336-603379.66121)/3904696.37575*100)</f>
        <v>4.5689506937842985</v>
      </c>
    </row>
    <row r="34" spans="1:7" s="11" customFormat="1" ht="15.75">
      <c r="A34" s="22" t="s">
        <v>243</v>
      </c>
      <c r="B34" s="65">
        <f>IF(14697.73024="","-",14697.73024)</f>
        <v>14697.73024</v>
      </c>
      <c r="C34" s="65">
        <f>IF(OR(19892.49826="",14697.73024=""),"-",14697.73024/19892.49826*100)</f>
        <v>73.88579376957553</v>
      </c>
      <c r="D34" s="65">
        <f>IF(19892.49826="","-",19892.49826/3904696.37575*100)</f>
        <v>0.5094505781177191</v>
      </c>
      <c r="E34" s="65">
        <f>IF(14697.73024="","-",14697.73024/4722022.55771*100)</f>
        <v>0.3112592127710596</v>
      </c>
      <c r="F34" s="65">
        <f>IF(OR(3275429.97191="",7316.74369="",19892.49826=""),"-",(19892.49826-7316.74369)/3275429.97191*100)</f>
        <v>0.3839420985290279</v>
      </c>
      <c r="G34" s="65">
        <f>IF(OR(3904696.37575="",14697.73024="",19892.49826=""),"-",(14697.73024-19892.49826)/3904696.37575*100)</f>
        <v>-0.13303897461175088</v>
      </c>
    </row>
    <row r="35" spans="1:7" s="11" customFormat="1" ht="25.5">
      <c r="A35" s="22" t="s">
        <v>45</v>
      </c>
      <c r="B35" s="65">
        <f>IF(532032.8461="","-",532032.8461)</f>
        <v>532032.8461</v>
      </c>
      <c r="C35" s="65">
        <f>IF(OR(384913.14349="",532032.8461=""),"-",532032.8461/384913.14349*100)</f>
        <v>138.22153259721622</v>
      </c>
      <c r="D35" s="65">
        <f>IF(384913.14349="","-",384913.14349/3904696.37575*100)</f>
        <v>9.857697153624837</v>
      </c>
      <c r="E35" s="65">
        <f>IF(532032.8461="","-",532032.8461/4722022.55771*100)</f>
        <v>11.267054309838272</v>
      </c>
      <c r="F35" s="65">
        <f>IF(OR(3275429.97191="",303110.26324="",384913.14349=""),"-",(384913.14349-303110.26324)/3275429.97191*100)</f>
        <v>2.497469979561136</v>
      </c>
      <c r="G35" s="65">
        <f>IF(OR(3904696.37575="",532032.8461="",384913.14349=""),"-",(532032.8461-384913.14349)/3904696.37575*100)</f>
        <v>3.7677629309075726</v>
      </c>
    </row>
    <row r="36" spans="1:7" s="11" customFormat="1" ht="25.5">
      <c r="A36" s="22" t="s">
        <v>46</v>
      </c>
      <c r="B36" s="65">
        <f>IF(189843.12498="","-",189843.12498)</f>
        <v>189843.12498</v>
      </c>
      <c r="C36" s="65">
        <f>IF(OR(146926.94083="",189843.12498=""),"-",189843.12498/146926.94083*100)</f>
        <v>129.20920010146787</v>
      </c>
      <c r="D36" s="65">
        <f>IF(146926.94083="","-",146926.94083/3904696.37575*100)</f>
        <v>3.7628262658906175</v>
      </c>
      <c r="E36" s="65">
        <f>IF(189843.12498="","-",189843.12498/4722022.55771*100)</f>
        <v>4.0203773416971265</v>
      </c>
      <c r="F36" s="65">
        <f>IF(OR(3275429.97191="",170555.4747="",146926.94083=""),"-",(146926.94083-170555.4747)/3275429.97191*100)</f>
        <v>-0.721387239923847</v>
      </c>
      <c r="G36" s="65">
        <f>IF(OR(3904696.37575="",189843.12498="",146926.94083=""),"-",(189843.12498-146926.94083)/3904696.37575*100)</f>
        <v>1.0990914534745817</v>
      </c>
    </row>
    <row r="37" spans="1:7" s="11" customFormat="1" ht="15.75">
      <c r="A37" s="22" t="s">
        <v>47</v>
      </c>
      <c r="B37" s="65">
        <f>IF(45209.61204="","-",45209.61204)</f>
        <v>45209.61204</v>
      </c>
      <c r="C37" s="65">
        <f>IF(OR(51647.07863="",45209.61204=""),"-",45209.61204/51647.07863*100)</f>
        <v>87.53566172422248</v>
      </c>
      <c r="D37" s="65">
        <f>IF(51647.07863="","-",51647.07863/3904696.37575*100)</f>
        <v>1.3226912840330591</v>
      </c>
      <c r="E37" s="65">
        <f>IF(45209.61204="","-",45209.61204/4722022.55771*100)</f>
        <v>0.9574205012253251</v>
      </c>
      <c r="F37" s="65">
        <f>IF(OR(3275429.97191="",253.03318="",51647.07863=""),"-",(51647.07863-253.03318)/3275429.97191*100)</f>
        <v>1.569077827667023</v>
      </c>
      <c r="G37" s="65">
        <f>IF(OR(3904696.37575="",45209.61204="",51647.07863=""),"-",(45209.61204-51647.07863)/3904696.37575*100)</f>
        <v>-0.16486471598610578</v>
      </c>
    </row>
    <row r="38" spans="1:7" s="11" customFormat="1" ht="29.25" customHeight="1">
      <c r="A38" s="44" t="s">
        <v>48</v>
      </c>
      <c r="B38" s="63">
        <f>IF(9493.61964="","-",9493.61964)</f>
        <v>9493.61964</v>
      </c>
      <c r="C38" s="63">
        <f>IF(13094.95507="","-",9493.61964/13094.95507*100)</f>
        <v>72.49829869022987</v>
      </c>
      <c r="D38" s="63">
        <f>IF(13094.95507="","-",13094.95507/3904696.37575*100)</f>
        <v>0.335364233473461</v>
      </c>
      <c r="E38" s="63">
        <f>IF(9493.61964="","-",9493.61964/4722022.55771*100)</f>
        <v>0.20104985785167534</v>
      </c>
      <c r="F38" s="63">
        <f>IF(3275429.97191="","-",(13094.95507-8252.45346)/3275429.97191*100)</f>
        <v>0.14784323437011826</v>
      </c>
      <c r="G38" s="63">
        <f>IF(3904696.37575="","-",(9493.61964-13094.95507)/3904696.37575*100)</f>
        <v>-0.09223086978967135</v>
      </c>
    </row>
    <row r="39" spans="1:7" s="11" customFormat="1" ht="15.75">
      <c r="A39" s="22" t="s">
        <v>49</v>
      </c>
      <c r="B39" s="65">
        <f>IF(1318.45501="","-",1318.45501)</f>
        <v>1318.45501</v>
      </c>
      <c r="C39" s="65">
        <f>IF(OR(1055.03996="",1318.45501=""),"-",1318.45501/1055.03996*100)</f>
        <v>124.96730550376498</v>
      </c>
      <c r="D39" s="65">
        <f>IF(1055.03996="","-",1055.03996/3904696.37575*100)</f>
        <v>0.0270197694896918</v>
      </c>
      <c r="E39" s="65">
        <f>IF(1318.45501="","-",1318.45501/4722022.55771*100)</f>
        <v>0.02792140431110943</v>
      </c>
      <c r="F39" s="65">
        <f>IF(OR(3275429.97191="",763.80154="",1055.03996=""),"-",(1055.03996-763.80154)/3275429.97191*100)</f>
        <v>0.008891608811595819</v>
      </c>
      <c r="G39" s="65">
        <f>IF(OR(3904696.37575="",1318.45501="",1055.03996=""),"-",(1318.45501-1055.03996)/3904696.37575*100)</f>
        <v>0.006746108394904431</v>
      </c>
    </row>
    <row r="40" spans="1:7" s="11" customFormat="1" ht="25.5">
      <c r="A40" s="22" t="s">
        <v>50</v>
      </c>
      <c r="B40" s="65">
        <f>IF(5911.64688="","-",5911.64688)</f>
        <v>5911.64688</v>
      </c>
      <c r="C40" s="65">
        <f>IF(OR(10143.7327="",5911.64688=""),"-",5911.64688/10143.7327*100)</f>
        <v>58.27881170409784</v>
      </c>
      <c r="D40" s="65">
        <f>IF(10143.7327="","-",10143.7327/3904696.37575*100)</f>
        <v>0.2597828799954165</v>
      </c>
      <c r="E40" s="65">
        <f>IF(5911.64688="","-",5911.64688/4722022.55771*100)</f>
        <v>0.1251931096844849</v>
      </c>
      <c r="F40" s="65">
        <f>IF(OR(3275429.97191="",5984.74815="",10143.7327=""),"-",(10143.7327-5984.74815)/3275429.97191*100)</f>
        <v>0.12697522418941454</v>
      </c>
      <c r="G40" s="65">
        <f>IF(OR(3904696.37575="",5911.64688="",10143.7327=""),"-",(5911.64688-10143.7327)/3904696.37575*100)</f>
        <v>-0.10838450452340526</v>
      </c>
    </row>
    <row r="41" spans="1:7" s="11" customFormat="1" ht="65.25" customHeight="1">
      <c r="A41" s="22" t="s">
        <v>218</v>
      </c>
      <c r="B41" s="65">
        <f>IF(2263.51775="","-",2263.51775)</f>
        <v>2263.51775</v>
      </c>
      <c r="C41" s="65">
        <f>IF(OR(1896.18241="",2263.51775=""),"-",2263.51775/1896.18241*100)</f>
        <v>119.37236302070748</v>
      </c>
      <c r="D41" s="65">
        <f>IF(1896.18241="","-",1896.18241/3904696.37575*100)</f>
        <v>0.0485615839883527</v>
      </c>
      <c r="E41" s="65">
        <f>IF(2263.51775="","-",2263.51775/4722022.55771*100)</f>
        <v>0.04793534385608101</v>
      </c>
      <c r="F41" s="65">
        <f>IF(OR(3275429.97191="",1503.90377="",1896.18241=""),"-",(1896.18241-1503.90377)/3275429.97191*100)</f>
        <v>0.011976401369107909</v>
      </c>
      <c r="G41" s="65">
        <f>IF(OR(3904696.37575="",2263.51775="",1896.18241=""),"-",(2263.51775-1896.18241)/3904696.37575*100)</f>
        <v>0.009407526338829448</v>
      </c>
    </row>
    <row r="42" spans="1:7" s="11" customFormat="1" ht="25.5">
      <c r="A42" s="44" t="s">
        <v>51</v>
      </c>
      <c r="B42" s="63">
        <f>IF(680549.83612="","-",680549.83612)</f>
        <v>680549.83612</v>
      </c>
      <c r="C42" s="63">
        <f>IF(600147.08556="","-",680549.83612/600147.08556*100)</f>
        <v>113.3971742085485</v>
      </c>
      <c r="D42" s="63">
        <f>IF(600147.08556="","-",600147.08556/3904696.37575*100)</f>
        <v>15.369878418388572</v>
      </c>
      <c r="E42" s="63">
        <f>IF(680549.83612="","-",680549.83612/4722022.55771*100)</f>
        <v>14.412252965814728</v>
      </c>
      <c r="F42" s="63">
        <f>IF(3275429.97191="","-",(600147.08556-520978.24514)/3275429.97191*100)</f>
        <v>2.417051840489642</v>
      </c>
      <c r="G42" s="63">
        <f>IF(3904696.37575="","-",(680549.83612-600147.08556)/3904696.37575*100)</f>
        <v>2.0591293873536194</v>
      </c>
    </row>
    <row r="43" spans="1:7" s="11" customFormat="1" ht="15.75">
      <c r="A43" s="22" t="s">
        <v>52</v>
      </c>
      <c r="B43" s="65">
        <f>IF(18567.71134="","-",18567.71134)</f>
        <v>18567.71134</v>
      </c>
      <c r="C43" s="65">
        <f>IF(OR(17676.43782="",18567.71134=""),"-",18567.71134/17676.43782*100)</f>
        <v>105.04215571641686</v>
      </c>
      <c r="D43" s="65">
        <f>IF(17676.43782="","-",17676.43782/3904696.37575*100)</f>
        <v>0.45269685832114853</v>
      </c>
      <c r="E43" s="65">
        <f>IF(18567.71134="","-",18567.71134/4722022.55771*100)</f>
        <v>0.39321521896762457</v>
      </c>
      <c r="F43" s="65">
        <f>IF(OR(3275429.97191="",14374.24076="",17676.43782=""),"-",(17676.43782-14374.24076)/3275429.97191*100)</f>
        <v>0.10081720837629111</v>
      </c>
      <c r="G43" s="65">
        <f>IF(OR(3904696.37575="",18567.71134="",17676.43782=""),"-",(18567.71134-17676.43782)/3904696.37575*100)</f>
        <v>0.022825680519879342</v>
      </c>
    </row>
    <row r="44" spans="1:7" s="11" customFormat="1" ht="15.75">
      <c r="A44" s="22" t="s">
        <v>53</v>
      </c>
      <c r="B44" s="65">
        <f>IF(13425.39938="","-",13425.39938)</f>
        <v>13425.39938</v>
      </c>
      <c r="C44" s="65">
        <f>IF(OR(11037.73026="",13425.39938=""),"-",13425.39938/11037.73026*100)</f>
        <v>121.6318850321316</v>
      </c>
      <c r="D44" s="65">
        <f>IF(11037.73026="","-",11037.73026/3904696.37575*100)</f>
        <v>0.2826783236860488</v>
      </c>
      <c r="E44" s="65">
        <f>IF(13425.39938="","-",13425.39938/4722022.55771*100)</f>
        <v>0.2843145964662821</v>
      </c>
      <c r="F44" s="65">
        <f>IF(OR(3275429.97191="",11075.53763="",11037.73026=""),"-",(11037.73026-11075.53763)/3275429.97191*100)</f>
        <v>-0.001154271968084662</v>
      </c>
      <c r="G44" s="65">
        <f>IF(OR(3904696.37575="",13425.39938="",11037.73026=""),"-",(13425.39938-11037.73026)/3904696.37575*100)</f>
        <v>0.061148649990522906</v>
      </c>
    </row>
    <row r="45" spans="1:7" s="11" customFormat="1" ht="15.75">
      <c r="A45" s="22" t="s">
        <v>54</v>
      </c>
      <c r="B45" s="65">
        <f>IF(32248.76017="","-",32248.76017)</f>
        <v>32248.76017</v>
      </c>
      <c r="C45" s="65">
        <f>IF(OR(28095.43986="",32248.76017=""),"-",32248.76017/28095.43986*100)</f>
        <v>114.78289833046237</v>
      </c>
      <c r="D45" s="65">
        <f>IF(28095.43986="","-",28095.43986/3904696.37575*100)</f>
        <v>0.7195294372818816</v>
      </c>
      <c r="E45" s="65">
        <f>IF(32248.76017="","-",32248.76017/4722022.55771*100)</f>
        <v>0.6829437974061566</v>
      </c>
      <c r="F45" s="65">
        <f>IF(OR(3275429.97191="",25180.39281="",28095.43986=""),"-",(28095.43986-25180.39281)/3275429.97191*100)</f>
        <v>0.08899738583939706</v>
      </c>
      <c r="G45" s="65">
        <f>IF(OR(3904696.37575="",32248.76017="",28095.43986=""),"-",(32248.76017-28095.43986)/3904696.37575*100)</f>
        <v>0.10636730517112865</v>
      </c>
    </row>
    <row r="46" spans="1:7" s="11" customFormat="1" ht="15.75">
      <c r="A46" s="22" t="s">
        <v>55</v>
      </c>
      <c r="B46" s="65">
        <f>IF(189132.4748="","-",189132.4748)</f>
        <v>189132.4748</v>
      </c>
      <c r="C46" s="65">
        <f>IF(OR(178215.36331="",189132.4748=""),"-",189132.4748/178215.36331*100)</f>
        <v>106.12579706218146</v>
      </c>
      <c r="D46" s="65">
        <f>IF(178215.36331="","-",178215.36331/3904696.37575*100)</f>
        <v>4.564128581592186</v>
      </c>
      <c r="E46" s="65">
        <f>IF(189132.4748="","-",189132.4748/4722022.55771*100)</f>
        <v>4.0053276427320155</v>
      </c>
      <c r="F46" s="65">
        <f>IF(OR(3275429.97191="",142240.28096="",178215.36331=""),"-",(178215.36331-142240.28096)/3275429.97191*100)</f>
        <v>1.0983315979435166</v>
      </c>
      <c r="G46" s="65">
        <f>IF(OR(3904696.37575="",189132.4748="",178215.36331=""),"-",(189132.4748-178215.36331)/3904696.37575*100)</f>
        <v>0.2795892545653589</v>
      </c>
    </row>
    <row r="47" spans="1:7" s="11" customFormat="1" ht="38.25">
      <c r="A47" s="22" t="s">
        <v>244</v>
      </c>
      <c r="B47" s="65">
        <f>IF(92981.94025="","-",92981.94025)</f>
        <v>92981.94025</v>
      </c>
      <c r="C47" s="65">
        <f>IF(OR(91166.40737="",92981.94025=""),"-",92981.94025/91166.40737*100)</f>
        <v>101.99144940814837</v>
      </c>
      <c r="D47" s="65">
        <f>IF(91166.40737="","-",91166.40737/3904696.37575*100)</f>
        <v>2.3347886390395485</v>
      </c>
      <c r="E47" s="65">
        <f>IF(92981.94025="","-",92981.94025/4722022.55771*100)</f>
        <v>1.969112580755918</v>
      </c>
      <c r="F47" s="65">
        <f>IF(OR(3275429.97191="",91506.69054="",91166.40737=""),"-",(91166.40737-91506.69054)/3275429.97191*100)</f>
        <v>-0.01038896184373516</v>
      </c>
      <c r="G47" s="65">
        <f>IF(OR(3904696.37575="",92981.94025="",91166.40737=""),"-",(92981.94025-91166.40737)/3904696.37575*100)</f>
        <v>0.04649613453366852</v>
      </c>
    </row>
    <row r="48" spans="1:7" s="11" customFormat="1" ht="15.75">
      <c r="A48" s="22" t="s">
        <v>56</v>
      </c>
      <c r="B48" s="65">
        <f>IF(77357.95731="","-",77357.95731)</f>
        <v>77357.95731</v>
      </c>
      <c r="C48" s="65">
        <f>IF(OR(55805.56446="",77357.95731=""),"-",77357.95731/55805.56446*100)</f>
        <v>138.6205086509755</v>
      </c>
      <c r="D48" s="65">
        <f>IF(55805.56446="","-",55805.56446/3904696.37575*100)</f>
        <v>1.4291908791315706</v>
      </c>
      <c r="E48" s="65">
        <f>IF(77357.95731="","-",77357.95731/4722022.55771*100)</f>
        <v>1.6382377755415813</v>
      </c>
      <c r="F48" s="65">
        <f>IF(OR(3275429.97191="",44580.87871="",55805.56446=""),"-",(55805.56446-44580.87871)/3275429.97191*100)</f>
        <v>0.34269350425020867</v>
      </c>
      <c r="G48" s="65">
        <f>IF(OR(3904696.37575="",77357.95731="",55805.56446=""),"-",(77357.95731-55805.56446)/3904696.37575*100)</f>
        <v>0.5519607871139607</v>
      </c>
    </row>
    <row r="49" spans="1:7" s="11" customFormat="1" ht="15.75">
      <c r="A49" s="22" t="s">
        <v>57</v>
      </c>
      <c r="B49" s="65">
        <f>IF(49807.53385="","-",49807.53385)</f>
        <v>49807.53385</v>
      </c>
      <c r="C49" s="65">
        <f>IF(OR(43175.67475="",49807.53385=""),"-",49807.53385/43175.67475*100)</f>
        <v>115.36017477063285</v>
      </c>
      <c r="D49" s="65">
        <f>IF(43175.67475="","-",43175.67475/3904696.37575*100)</f>
        <v>1.1057370559754973</v>
      </c>
      <c r="E49" s="65">
        <f>IF(49807.53385="","-",49807.53385/4722022.55771*100)</f>
        <v>1.0547923742692737</v>
      </c>
      <c r="F49" s="65">
        <f>IF(OR(3275429.97191="",38205.70825="",43175.67475=""),"-",(43175.67475-38205.70825)/3275429.97191*100)</f>
        <v>0.1517347811622381</v>
      </c>
      <c r="G49" s="65">
        <f>IF(OR(3904696.37575="",49807.53385="",43175.67475=""),"-",(49807.53385-43175.67475)/3904696.37575*100)</f>
        <v>0.1698431443014869</v>
      </c>
    </row>
    <row r="50" spans="1:7" s="11" customFormat="1" ht="15.75">
      <c r="A50" s="22" t="s">
        <v>58</v>
      </c>
      <c r="B50" s="65">
        <f>IF(93731.98516="","-",93731.98516)</f>
        <v>93731.98516</v>
      </c>
      <c r="C50" s="65">
        <f>IF(OR(81432.19033="",93731.98516=""),"-",93731.98516/81432.19033*100)</f>
        <v>115.10433991785764</v>
      </c>
      <c r="D50" s="65">
        <f>IF(81432.19033="","-",81432.19033/3904696.37575*100)</f>
        <v>2.08549353121877</v>
      </c>
      <c r="E50" s="65">
        <f>IF(93731.98516="","-",93731.98516/4722022.55771*100)</f>
        <v>1.9849965563370036</v>
      </c>
      <c r="F50" s="65">
        <f>IF(OR(3275429.97191="",71332.63785="",81432.19033=""),"-",(81432.19033-71332.63785)/3275429.97191*100)</f>
        <v>0.3083427997732661</v>
      </c>
      <c r="G50" s="65">
        <f>IF(OR(3904696.37575="",93731.98516="",81432.19033=""),"-",(93731.98516-81432.19033)/3904696.37575*100)</f>
        <v>0.31500003192021553</v>
      </c>
    </row>
    <row r="51" spans="1:7" s="11" customFormat="1" ht="15.75">
      <c r="A51" s="22" t="s">
        <v>59</v>
      </c>
      <c r="B51" s="65">
        <f>IF(113296.07386="","-",113296.07386)</f>
        <v>113296.07386</v>
      </c>
      <c r="C51" s="65">
        <f>IF(OR(93542.2774="",113296.07386=""),"-",113296.07386/93542.2774*100)</f>
        <v>121.11750644634188</v>
      </c>
      <c r="D51" s="65">
        <f>IF(93542.2774="","-",93542.2774/3904696.37575*100)</f>
        <v>2.39563511214192</v>
      </c>
      <c r="E51" s="65">
        <f>IF(113296.07386="","-",113296.07386/4722022.55771*100)</f>
        <v>2.399312423338872</v>
      </c>
      <c r="F51" s="65">
        <f>IF(OR(3275429.97191="",82481.87763="",93542.2774=""),"-",(93542.2774-82481.87763)/3275429.97191*100)</f>
        <v>0.33767779695654304</v>
      </c>
      <c r="G51" s="65">
        <f>IF(OR(3904696.37575="",113296.07386="",93542.2774=""),"-",(113296.07386-93542.2774)/3904696.37575*100)</f>
        <v>0.5058983992373993</v>
      </c>
    </row>
    <row r="52" spans="1:7" s="11" customFormat="1" ht="25.5">
      <c r="A52" s="44" t="s">
        <v>237</v>
      </c>
      <c r="B52" s="63">
        <f>IF(961971.05753="","-",961971.05753)</f>
        <v>961971.05753</v>
      </c>
      <c r="C52" s="63">
        <f>IF(816052.69395="","-",961971.05753/816052.69395*100)</f>
        <v>117.88099771764745</v>
      </c>
      <c r="D52" s="63">
        <f>IF(816052.69395="","-",816052.69395/3904696.37575*100)</f>
        <v>20.89926118245892</v>
      </c>
      <c r="E52" s="63">
        <f>IF(961971.05753="","-",961971.05753/4722022.55771*100)</f>
        <v>20.372013173874354</v>
      </c>
      <c r="F52" s="63">
        <f>IF(3275429.97191="","-",(816052.69395-719086.42194)/3275429.97191*100)</f>
        <v>2.960413528653646</v>
      </c>
      <c r="G52" s="63">
        <f>IF(3904696.37575="","-",(961971.05753-816052.69395)/3904696.37575*100)</f>
        <v>3.7369964150406583</v>
      </c>
    </row>
    <row r="53" spans="1:7" s="11" customFormat="1" ht="15.75">
      <c r="A53" s="22" t="s">
        <v>60</v>
      </c>
      <c r="B53" s="65">
        <f>IF(47381.96097="","-",47381.96097)</f>
        <v>47381.96097</v>
      </c>
      <c r="C53" s="65">
        <f>IF(OR(36488.17656="",47381.96097=""),"-",47381.96097/36488.17656*100)</f>
        <v>129.85565582343256</v>
      </c>
      <c r="D53" s="65">
        <f>IF(36488.17656="","-",36488.17656/3904696.37575*100)</f>
        <v>0.9344689842367445</v>
      </c>
      <c r="E53" s="65">
        <f>IF(47381.96097="","-",47381.96097/4722022.55771*100)</f>
        <v>1.0034251296118</v>
      </c>
      <c r="F53" s="65">
        <f>IF(OR(3275429.97191="",32989.4331="",36488.17656=""),"-",(36488.17656-32989.4331)/3275429.97191*100)</f>
        <v>0.1068178373528095</v>
      </c>
      <c r="G53" s="65">
        <f>IF(OR(3904696.37575="",47381.96097="",36488.17656=""),"-",(47381.96097-36488.17656)/3904696.37575*100)</f>
        <v>0.27899184371044883</v>
      </c>
    </row>
    <row r="54" spans="1:7" s="11" customFormat="1" ht="15.75">
      <c r="A54" s="22" t="s">
        <v>61</v>
      </c>
      <c r="B54" s="65">
        <f>IF(56520.70846="","-",56520.70846)</f>
        <v>56520.70846</v>
      </c>
      <c r="C54" s="65">
        <f>IF(OR(47496.22791="",56520.70846=""),"-",56520.70846/47496.22791*100)</f>
        <v>119.00041529003182</v>
      </c>
      <c r="D54" s="65">
        <f>IF(47496.22791="","-",47496.22791/3904696.37575*100)</f>
        <v>1.2163872255208856</v>
      </c>
      <c r="E54" s="65">
        <f>IF(56520.70846="","-",56520.70846/4722022.55771*100)</f>
        <v>1.1969597300570791</v>
      </c>
      <c r="F54" s="65">
        <f>IF(OR(3275429.97191="",50552.09869="",47496.22791=""),"-",(47496.22791-50552.09869)/3275429.97191*100)</f>
        <v>-0.09329678259669918</v>
      </c>
      <c r="G54" s="65">
        <f>IF(OR(3904696.37575="",56520.70846="",47496.22791=""),"-",(56520.70846-47496.22791)/3904696.37575*100)</f>
        <v>0.23111862438386419</v>
      </c>
    </row>
    <row r="55" spans="1:7" s="11" customFormat="1" ht="15.75">
      <c r="A55" s="22" t="s">
        <v>62</v>
      </c>
      <c r="B55" s="65">
        <f>IF(73378.14951="","-",73378.14951)</f>
        <v>73378.14951</v>
      </c>
      <c r="C55" s="65">
        <f>IF(OR(57966.37692="",73378.14951=""),"-",73378.14951/57966.37692*100)</f>
        <v>126.58743466280453</v>
      </c>
      <c r="D55" s="65">
        <f>IF(57966.37692="","-",57966.37692/3904696.37575*100)</f>
        <v>1.4845296878906757</v>
      </c>
      <c r="E55" s="65">
        <f>IF(73378.14951="","-",73378.14951/4722022.55771*100)</f>
        <v>1.5539559291217275</v>
      </c>
      <c r="F55" s="65">
        <f>IF(OR(3275429.97191="",47988.83183="",57966.37692=""),"-",(57966.37692-47988.83183)/3275429.97191*100)</f>
        <v>0.3046178723272108</v>
      </c>
      <c r="G55" s="65">
        <f>IF(OR(3904696.37575="",73378.14951="",57966.37692=""),"-",(73378.14951-57966.37692)/3904696.37575*100)</f>
        <v>0.39469836081786924</v>
      </c>
    </row>
    <row r="56" spans="1:7" s="11" customFormat="1" ht="25.5">
      <c r="A56" s="22" t="s">
        <v>234</v>
      </c>
      <c r="B56" s="65">
        <f>IF(83108.02875="","-",83108.02875)</f>
        <v>83108.02875</v>
      </c>
      <c r="C56" s="65">
        <f>IF(OR(71825.14446="",83108.02875=""),"-",83108.02875/71825.14446*100)</f>
        <v>115.70882227223855</v>
      </c>
      <c r="D56" s="65">
        <f>IF(71825.14446="","-",71825.14446/3904696.37575*100)</f>
        <v>1.8394553007006615</v>
      </c>
      <c r="E56" s="65">
        <f>IF(83108.02875="","-",83108.02875/4722022.55771*100)</f>
        <v>1.7600091429953737</v>
      </c>
      <c r="F56" s="65">
        <f>IF(OR(3275429.97191="",66569.03235="",71825.14446=""),"-",(71825.14446-66569.03235)/3275429.97191*100)</f>
        <v>0.1604709047385009</v>
      </c>
      <c r="G56" s="65">
        <f>IF(OR(3904696.37575="",83108.02875="",71825.14446=""),"-",(83108.02875-71825.14446)/3904696.37575*100)</f>
        <v>0.28895676396433834</v>
      </c>
    </row>
    <row r="57" spans="1:7" s="11" customFormat="1" ht="25.5">
      <c r="A57" s="22" t="s">
        <v>290</v>
      </c>
      <c r="B57" s="65">
        <f>IF(249322.7994="","-",249322.7994)</f>
        <v>249322.7994</v>
      </c>
      <c r="C57" s="65">
        <f>IF(OR(228273.43791="",249322.7994=""),"-",249322.7994/228273.43791*100)</f>
        <v>109.22111730682349</v>
      </c>
      <c r="D57" s="65">
        <f>IF(228273.43791="","-",228273.43791/3904696.37575*100)</f>
        <v>5.846125177047961</v>
      </c>
      <c r="E57" s="65">
        <f>IF(249322.7994="","-",249322.7994/4722022.55771*100)</f>
        <v>5.280000176892674</v>
      </c>
      <c r="F57" s="65">
        <f>IF(OR(3275429.97191="",209027.41422="",228273.43791=""),"-",(228273.43791-209027.41422)/3275429.97191*100)</f>
        <v>0.5875877016163797</v>
      </c>
      <c r="G57" s="65">
        <f>IF(OR(3904696.37575="",249322.7994="",228273.43791=""),"-",(249322.7994-228273.43791)/3904696.37575*100)</f>
        <v>0.5390780604793348</v>
      </c>
    </row>
    <row r="58" spans="1:7" s="11" customFormat="1" ht="15.75">
      <c r="A58" s="22" t="s">
        <v>63</v>
      </c>
      <c r="B58" s="65">
        <f>IF(107982.85291="","-",107982.85291)</f>
        <v>107982.85291</v>
      </c>
      <c r="C58" s="65">
        <f>IF(OR(97253.55638="",107982.85291=""),"-",107982.85291/97253.55638*100)</f>
        <v>111.0322922156978</v>
      </c>
      <c r="D58" s="65">
        <f>IF(97253.55638="","-",97253.55638/3904696.37575*100)</f>
        <v>2.4906816566837384</v>
      </c>
      <c r="E58" s="65">
        <f>IF(107982.85291="","-",107982.85291/4722022.55771*100)</f>
        <v>2.2867923986023384</v>
      </c>
      <c r="F58" s="65">
        <f>IF(OR(3275429.97191="",85631.00178="",97253.55638=""),"-",(97253.55638-85631.00178)/3275429.97191*100)</f>
        <v>0.3548405766471794</v>
      </c>
      <c r="G58" s="65">
        <f>IF(OR(3904696.37575="",107982.85291="",97253.55638=""),"-",(107982.85291-97253.55638)/3904696.37575*100)</f>
        <v>0.274779278528133</v>
      </c>
    </row>
    <row r="59" spans="1:7" s="11" customFormat="1" ht="15.75">
      <c r="A59" s="22" t="s">
        <v>236</v>
      </c>
      <c r="B59" s="65">
        <f>IF(115513.0272="","-",115513.0272)</f>
        <v>115513.0272</v>
      </c>
      <c r="C59" s="65">
        <f>IF(OR(93916.90505="",115513.0272=""),"-",115513.0272/93916.90505*100)</f>
        <v>122.99492528901217</v>
      </c>
      <c r="D59" s="65">
        <f>IF(93916.90505="","-",93916.90505/3904696.37575*100)</f>
        <v>2.4052293958953666</v>
      </c>
      <c r="E59" s="65">
        <f>IF(115513.0272="","-",115513.0272/4722022.55771*100)</f>
        <v>2.4462616556414627</v>
      </c>
      <c r="F59" s="65">
        <f>IF(OR(3275429.97191="",79911.87469="",93916.90505=""),"-",(93916.90505-79911.87469)/3275429.97191*100)</f>
        <v>0.42757837841464397</v>
      </c>
      <c r="G59" s="65">
        <f>IF(OR(3904696.37575="",115513.0272="",93916.90505=""),"-",(115513.0272-93916.90505)/3904696.37575*100)</f>
        <v>0.5530807026154982</v>
      </c>
    </row>
    <row r="60" spans="1:7" s="11" customFormat="1" ht="15.75">
      <c r="A60" s="22" t="s">
        <v>64</v>
      </c>
      <c r="B60" s="65">
        <f>IF(90415.87479="","-",90415.87479)</f>
        <v>90415.87479</v>
      </c>
      <c r="C60" s="65">
        <f>IF(OR(68457.21795="",90415.87479=""),"-",90415.87479/68457.21795*100)</f>
        <v>132.0764668760542</v>
      </c>
      <c r="D60" s="65">
        <f>IF(68457.21795="","-",68457.21795/3904696.37575*100)</f>
        <v>1.7532020767389627</v>
      </c>
      <c r="E60" s="65">
        <f>IF(90415.87479="","-",90415.87479/4722022.55771*100)</f>
        <v>1.9147700733104553</v>
      </c>
      <c r="F60" s="65">
        <f>IF(OR(3275429.97191="",44736.9558="",68457.21795=""),"-",(68457.21795-44736.9558)/3275429.97191*100)</f>
        <v>0.724187735760628</v>
      </c>
      <c r="G60" s="65">
        <f>IF(OR(3904696.37575="",90415.87479="",68457.21795=""),"-",(90415.87479-68457.21795)/3904696.37575*100)</f>
        <v>0.562365283415468</v>
      </c>
    </row>
    <row r="61" spans="1:7" s="11" customFormat="1" ht="15.75">
      <c r="A61" s="22" t="s">
        <v>65</v>
      </c>
      <c r="B61" s="65">
        <f>IF(138347.65554="","-",138347.65554)</f>
        <v>138347.65554</v>
      </c>
      <c r="C61" s="65">
        <f>IF(OR(114375.65081="",138347.65554=""),"-",138347.65554/114375.65081*100)</f>
        <v>120.95901055883138</v>
      </c>
      <c r="D61" s="65">
        <f>IF(114375.65081="","-",114375.65081/3904696.37575*100)</f>
        <v>2.929181677743923</v>
      </c>
      <c r="E61" s="65">
        <f>IF(138347.65554="","-",138347.65554/4722022.55771*100)</f>
        <v>2.9298389376414438</v>
      </c>
      <c r="F61" s="65">
        <f>IF(OR(3275429.97191="",101679.77948="",114375.65081=""),"-",(114375.65081-101679.77948)/3275429.97191*100)</f>
        <v>0.3876093043929946</v>
      </c>
      <c r="G61" s="65">
        <f>IF(OR(3904696.37575="",138347.65554="",114375.65081=""),"-",(138347.65554-114375.65081)/3904696.37575*100)</f>
        <v>0.6139274971257027</v>
      </c>
    </row>
    <row r="62" spans="1:7" s="11" customFormat="1" ht="15.75" customHeight="1">
      <c r="A62" s="44" t="s">
        <v>66</v>
      </c>
      <c r="B62" s="63">
        <f>IF(1138776.75608="","-",1138776.75608)</f>
        <v>1138776.75608</v>
      </c>
      <c r="C62" s="63">
        <f>IF(863550.32178="","-",1138776.75608/863550.32178*100)</f>
        <v>131.87149924658556</v>
      </c>
      <c r="D62" s="63">
        <f>IF(863550.32178="","-",863550.32178/3904696.37575*100)</f>
        <v>22.115684260191227</v>
      </c>
      <c r="E62" s="63">
        <f>IF(1138776.75608="","-",1138776.75608/4722022.55771*100)</f>
        <v>24.116292164268334</v>
      </c>
      <c r="F62" s="63">
        <f>IF(3275429.97191="","-",(863550.32178-699136.60996)/3275429.97191*100)</f>
        <v>5.019606989922165</v>
      </c>
      <c r="G62" s="63">
        <f>IF(3904696.37575="","-",(1138776.75608-863550.32178)/3904696.37575*100)</f>
        <v>7.048600142364089</v>
      </c>
    </row>
    <row r="63" spans="1:7" s="11" customFormat="1" ht="25.5">
      <c r="A63" s="22" t="s">
        <v>67</v>
      </c>
      <c r="B63" s="65">
        <f>IF(20759.25148="","-",20759.25148)</f>
        <v>20759.25148</v>
      </c>
      <c r="C63" s="65" t="s">
        <v>286</v>
      </c>
      <c r="D63" s="65">
        <f>IF(13726.64847="","-",13726.64847/3904696.37575*100)</f>
        <v>0.3515420188685845</v>
      </c>
      <c r="E63" s="65">
        <f>IF(20759.25148="","-",20759.25148/4722022.55771*100)</f>
        <v>0.4396262666323949</v>
      </c>
      <c r="F63" s="65">
        <f>IF(OR(3275429.97191="",9731.83401="",13726.64847=""),"-",(13726.64847-9731.83401)/3275429.97191*100)</f>
        <v>0.12196305505718094</v>
      </c>
      <c r="G63" s="65">
        <f>IF(OR(3904696.37575="",20759.25148="",13726.64847=""),"-",(20759.25148-13726.64847)/3904696.37575*100)</f>
        <v>0.1801062703281046</v>
      </c>
    </row>
    <row r="64" spans="1:7" s="11" customFormat="1" ht="25.5">
      <c r="A64" s="22" t="s">
        <v>68</v>
      </c>
      <c r="B64" s="65">
        <f>IF(183273.13462="","-",183273.13462)</f>
        <v>183273.13462</v>
      </c>
      <c r="C64" s="65">
        <f>IF(OR(132031.40266="",183273.13462=""),"-",183273.13462/132031.40266*100)</f>
        <v>138.810260989164</v>
      </c>
      <c r="D64" s="65">
        <f>IF(132031.40266="","-",132031.40266/3904696.37575*100)</f>
        <v>3.381348764528199</v>
      </c>
      <c r="E64" s="65">
        <f>IF(183273.13462="","-",183273.13462/4722022.55771*100)</f>
        <v>3.881242251178072</v>
      </c>
      <c r="F64" s="65">
        <f>IF(OR(3275429.97191="",107703.44="",132031.40266=""),"-",(132031.40266-107703.44)/3275429.97191*100)</f>
        <v>0.7427410406766729</v>
      </c>
      <c r="G64" s="65">
        <f>IF(OR(3904696.37575="",183273.13462="",132031.40266=""),"-",(183273.13462-132031.40266)/3904696.37575*100)</f>
        <v>1.3123102804672662</v>
      </c>
    </row>
    <row r="65" spans="1:7" s="11" customFormat="1" ht="25.5">
      <c r="A65" s="22" t="s">
        <v>69</v>
      </c>
      <c r="B65" s="65">
        <f>IF(11937.02644="","-",11937.02644)</f>
        <v>11937.02644</v>
      </c>
      <c r="C65" s="65">
        <f>IF(OR(7967.07879="",11937.02644=""),"-",11937.02644/7967.07879*100)</f>
        <v>149.82940114741857</v>
      </c>
      <c r="D65" s="65">
        <f>IF(7967.07879="","-",7967.07879/3904696.37575*100)</f>
        <v>0.20403836875715367</v>
      </c>
      <c r="E65" s="65">
        <f>IF(11937.02644="","-",11937.02644/4722022.55771*100)</f>
        <v>0.25279477796033656</v>
      </c>
      <c r="F65" s="65">
        <f>IF(OR(3275429.97191="",5683.46651="",7967.07879=""),"-",(7967.07879-5683.46651)/3275429.97191*100)</f>
        <v>0.06971946582843161</v>
      </c>
      <c r="G65" s="65">
        <f>IF(OR(3904696.37575="",11937.02644="",7967.07879=""),"-",(11937.02644-7967.07879)/3904696.37575*100)</f>
        <v>0.10167109726265122</v>
      </c>
    </row>
    <row r="66" spans="1:7" s="11" customFormat="1" ht="38.25">
      <c r="A66" s="22" t="s">
        <v>70</v>
      </c>
      <c r="B66" s="65">
        <f>IF(146228.18039="","-",146228.18039)</f>
        <v>146228.18039</v>
      </c>
      <c r="C66" s="65">
        <f>IF(OR(123626.13605="",146228.18039=""),"-",146228.18039/123626.13605*100)</f>
        <v>118.28257766695766</v>
      </c>
      <c r="D66" s="65">
        <f>IF(123626.13605="","-",123626.13605/3904696.37575*100)</f>
        <v>3.166088324249138</v>
      </c>
      <c r="E66" s="65">
        <f>IF(146228.18039="","-",146228.18039/4722022.55771*100)</f>
        <v>3.0967276967205986</v>
      </c>
      <c r="F66" s="65">
        <f>IF(OR(3275429.97191="",95576.48665="",123626.13605=""),"-",(123626.13605-95576.48665)/3275429.97191*100)</f>
        <v>0.8563654128023814</v>
      </c>
      <c r="G66" s="65">
        <f>IF(OR(3904696.37575="",146228.18039="",123626.13605=""),"-",(146228.18039-123626.13605)/3904696.37575*100)</f>
        <v>0.5788425568853269</v>
      </c>
    </row>
    <row r="67" spans="1:7" s="11" customFormat="1" ht="25.5">
      <c r="A67" s="22" t="s">
        <v>71</v>
      </c>
      <c r="B67" s="65">
        <f>IF(44824.08593="","-",44824.08593)</f>
        <v>44824.08593</v>
      </c>
      <c r="C67" s="65">
        <f>IF(OR(35282.49523="",44824.08593=""),"-",44824.08593/35282.49523*100)</f>
        <v>127.0434124281748</v>
      </c>
      <c r="D67" s="65">
        <f>IF(35282.49523="","-",35282.49523/3904696.37575*100)</f>
        <v>0.9035912612596687</v>
      </c>
      <c r="E67" s="65">
        <f>IF(44824.08593="","-",44824.08593/4722022.55771*100)</f>
        <v>0.9492560736884317</v>
      </c>
      <c r="F67" s="65">
        <f>IF(OR(3275429.97191="",26593.50695="",35282.49523=""),"-",(35282.49523-26593.50695)/3275429.97191*100)</f>
        <v>0.2652777911454842</v>
      </c>
      <c r="G67" s="65">
        <f>IF(OR(3904696.37575="",44824.08593="",35282.49523=""),"-",(44824.08593-35282.49523)/3904696.37575*100)</f>
        <v>0.2443619114473987</v>
      </c>
    </row>
    <row r="68" spans="1:7" s="11" customFormat="1" ht="38.25">
      <c r="A68" s="22" t="s">
        <v>72</v>
      </c>
      <c r="B68" s="65">
        <f>IF(122812.22103="","-",122812.22103)</f>
        <v>122812.22103</v>
      </c>
      <c r="C68" s="65">
        <f>IF(OR(88974.27532="",122812.22103=""),"-",122812.22103/88974.27532*100)</f>
        <v>138.03115629579483</v>
      </c>
      <c r="D68" s="65">
        <f>IF(88974.27532="","-",88974.27532/3904696.37575*100)</f>
        <v>2.278647729758761</v>
      </c>
      <c r="E68" s="65">
        <f>IF(122812.22103="","-",122812.22103/4722022.55771*100)</f>
        <v>2.600839354938601</v>
      </c>
      <c r="F68" s="65">
        <f>IF(OR(3275429.97191="",62382.4437="",88974.27532=""),"-",(88974.27532-62382.4437)/3275429.97191*100)</f>
        <v>0.8118577361766497</v>
      </c>
      <c r="G68" s="65">
        <f>IF(OR(3904696.37575="",122812.22103="",88974.27532=""),"-",(122812.22103-88974.27532)/3904696.37575*100)</f>
        <v>0.866596079535135</v>
      </c>
    </row>
    <row r="69" spans="1:7" s="11" customFormat="1" ht="39" customHeight="1">
      <c r="A69" s="22" t="s">
        <v>73</v>
      </c>
      <c r="B69" s="65">
        <f>IF(355817.69363="","-",355817.69363)</f>
        <v>355817.69363</v>
      </c>
      <c r="C69" s="65">
        <f>IF(OR(256663.41126="",355817.69363=""),"-",355817.69363/256663.41126*100)</f>
        <v>138.63202857128582</v>
      </c>
      <c r="D69" s="65">
        <f>IF(256663.41126="","-",256663.41126/3904696.37575*100)</f>
        <v>6.573197671757539</v>
      </c>
      <c r="E69" s="65">
        <f>IF(355817.69363="","-",355817.69363/4722022.55771*100)</f>
        <v>7.535281529924709</v>
      </c>
      <c r="F69" s="65">
        <f>IF(OR(3275429.97191="",218913.48091="",256663.41126=""),"-",(256663.41126-218913.48091)/3275429.97191*100)</f>
        <v>1.152518315877377</v>
      </c>
      <c r="G69" s="65">
        <f>IF(OR(3904696.37575="",355817.69363="",256663.41126=""),"-",(355817.69363-256663.41126)/3904696.37575*100)</f>
        <v>2.539359602600466</v>
      </c>
    </row>
    <row r="70" spans="1:7" s="11" customFormat="1" ht="25.5">
      <c r="A70" s="22" t="s">
        <v>74</v>
      </c>
      <c r="B70" s="65">
        <f>IF(249345.54849="","-",249345.54849)</f>
        <v>249345.54849</v>
      </c>
      <c r="C70" s="65">
        <f>IF(OR(203220.75005="",249345.54849=""),"-",249345.54849/203220.75005*100)</f>
        <v>122.6968941058684</v>
      </c>
      <c r="D70" s="65">
        <f>IF(203220.75005="","-",203220.75005/3904696.37575*100)</f>
        <v>5.2045211840822345</v>
      </c>
      <c r="E70" s="65">
        <f>IF(249345.54849="","-",249345.54849/4722022.55771*100)</f>
        <v>5.28048194269794</v>
      </c>
      <c r="F70" s="65">
        <f>IF(OR(3275429.97191="",171583.96688="",203220.75005=""),"-",(203220.75005-171583.96688)/3275429.97191*100)</f>
        <v>0.9658818366234729</v>
      </c>
      <c r="G70" s="65">
        <f>IF(OR(3904696.37575="",249345.54849="",203220.75005=""),"-",(249345.54849-203220.75005)/3904696.37575*100)</f>
        <v>1.1812646618686324</v>
      </c>
    </row>
    <row r="71" spans="1:7" s="11" customFormat="1" ht="15.75">
      <c r="A71" s="22" t="s">
        <v>75</v>
      </c>
      <c r="B71" s="65">
        <f>IF(3779.61407="","-",3779.61407)</f>
        <v>3779.61407</v>
      </c>
      <c r="C71" s="65" t="s">
        <v>156</v>
      </c>
      <c r="D71" s="65">
        <f>IF(2058.12395="","-",2058.12395/3904696.37575*100)</f>
        <v>0.052708936929947166</v>
      </c>
      <c r="E71" s="65">
        <f>IF(3779.61407="","-",3779.61407/4722022.55771*100)</f>
        <v>0.08004227052724983</v>
      </c>
      <c r="F71" s="65">
        <f>IF(OR(3275429.97191="",967.98435="",2058.12395=""),"-",(2058.12395-967.98435)/3275429.97191*100)</f>
        <v>0.0332823357345145</v>
      </c>
      <c r="G71" s="65">
        <f>IF(OR(3904696.37575="",3779.61407="",2058.12395=""),"-",(3779.61407-2058.12395)/3904696.37575*100)</f>
        <v>0.04408768196910937</v>
      </c>
    </row>
    <row r="72" spans="1:7" s="11" customFormat="1" ht="15.75">
      <c r="A72" s="44" t="s">
        <v>76</v>
      </c>
      <c r="B72" s="63">
        <f>IF(483776.663="","-",483776.663)</f>
        <v>483776.663</v>
      </c>
      <c r="C72" s="63">
        <f>IF(418148.33067="","-",483776.663/418148.33067*100)</f>
        <v>115.69498848048576</v>
      </c>
      <c r="D72" s="63">
        <f>IF(418148.33067="","-",418148.33067/3904696.37575*100)</f>
        <v>10.708856475164053</v>
      </c>
      <c r="E72" s="63">
        <f>IF(483776.663="","-",483776.663/4722022.55771*100)</f>
        <v>10.24511545820766</v>
      </c>
      <c r="F72" s="63">
        <f>IF(3275429.97191="","-",(418148.33067-322454.83039)/3275429.97191*100)</f>
        <v>2.921555371376121</v>
      </c>
      <c r="G72" s="63">
        <f>IF(3904696.37575="","-",(483776.663-418148.33067)/3904696.37575*100)</f>
        <v>1.6807537901687517</v>
      </c>
    </row>
    <row r="73" spans="1:7" s="11" customFormat="1" ht="38.25">
      <c r="A73" s="22" t="s">
        <v>291</v>
      </c>
      <c r="B73" s="65">
        <f>IF(36455.16797="","-",36455.16797)</f>
        <v>36455.16797</v>
      </c>
      <c r="C73" s="65">
        <f>IF(OR(32147.33302="",36455.16797=""),"-",36455.16797/32147.33302*100)</f>
        <v>113.40028719433724</v>
      </c>
      <c r="D73" s="65">
        <f>IF(32147.33302="","-",32147.33302/3904696.37575*100)</f>
        <v>0.8232991742879177</v>
      </c>
      <c r="E73" s="65">
        <f>IF(36455.16797="","-",36455.16797/4722022.55771*100)</f>
        <v>0.7720244349632959</v>
      </c>
      <c r="F73" s="65">
        <f>IF(OR(3275429.97191="",27282.88798="",32147.33302=""),"-",(32147.33302-27282.88798)/3275429.97191*100)</f>
        <v>0.14851317481116524</v>
      </c>
      <c r="G73" s="65">
        <f>IF(OR(3904696.37575="",36455.16797="",32147.33302=""),"-",(36455.16797-32147.33302)/3904696.37575*100)</f>
        <v>0.110324453823188</v>
      </c>
    </row>
    <row r="74" spans="1:7" s="11" customFormat="1" ht="15.75">
      <c r="A74" s="22" t="s">
        <v>292</v>
      </c>
      <c r="B74" s="65">
        <f>IF(42904.77656="","-",42904.77656)</f>
        <v>42904.77656</v>
      </c>
      <c r="C74" s="65">
        <f>IF(OR(37019.15778="",42904.77656=""),"-",42904.77656/37019.15778*100)</f>
        <v>115.89884571382596</v>
      </c>
      <c r="D74" s="65">
        <f>IF(37019.15778="","-",37019.15778/3904696.37575*100)</f>
        <v>0.9480675119813764</v>
      </c>
      <c r="E74" s="65">
        <f>IF(42904.77656="","-",42904.77656/4722022.55771*100)</f>
        <v>0.9086101566784376</v>
      </c>
      <c r="F74" s="65">
        <f>IF(OR(3275429.97191="",33927.20887="",37019.15778=""),"-",(37019.15778-33927.20887)/3275429.97191*100)</f>
        <v>0.09439826027472639</v>
      </c>
      <c r="G74" s="65">
        <f>IF(OR(3904696.37575="",42904.77656="",37019.15778=""),"-",(42904.77656-37019.15778)/3904696.37575*100)</f>
        <v>0.1507317909928274</v>
      </c>
    </row>
    <row r="75" spans="1:7" s="11" customFormat="1" ht="15.75">
      <c r="A75" s="22" t="s">
        <v>78</v>
      </c>
      <c r="B75" s="65">
        <f>IF(7004.24428="","-",7004.24428)</f>
        <v>7004.24428</v>
      </c>
      <c r="C75" s="65">
        <f>IF(OR(11986.48609="",7004.24428=""),"-",7004.24428/11986.48609*100)</f>
        <v>58.434508891170786</v>
      </c>
      <c r="D75" s="65">
        <f>IF(11986.48609="","-",11986.48609/3904696.37575*100)</f>
        <v>0.3069761368500177</v>
      </c>
      <c r="E75" s="65">
        <f>IF(7004.24428="","-",7004.24428/4722022.55771*100)</f>
        <v>0.14833144472305929</v>
      </c>
      <c r="F75" s="65">
        <f>IF(OR(3275429.97191="",3821.5374="",11986.48609=""),"-",(11986.48609-3821.5374)/3275429.97191*100)</f>
        <v>0.249278682799583</v>
      </c>
      <c r="G75" s="65">
        <f>IF(OR(3904696.37575="",7004.24428="",11986.48609=""),"-",(7004.24428-11986.48609)/3904696.37575*100)</f>
        <v>-0.12759613886862148</v>
      </c>
    </row>
    <row r="76" spans="1:7" s="11" customFormat="1" ht="15.75">
      <c r="A76" s="22" t="s">
        <v>79</v>
      </c>
      <c r="B76" s="65">
        <f>IF(121794.52624="","-",121794.52624)</f>
        <v>121794.52624</v>
      </c>
      <c r="C76" s="65">
        <f>IF(OR(108251.64637="",121794.52624=""),"-",121794.52624/108251.64637*100)</f>
        <v>112.51055325635507</v>
      </c>
      <c r="D76" s="65">
        <f>IF(108251.64637="","-",108251.64637/3904696.37575*100)</f>
        <v>2.7723447856866312</v>
      </c>
      <c r="E76" s="65">
        <f>IF(121794.52624="","-",121794.52624/4722022.55771*100)</f>
        <v>2.579287259886909</v>
      </c>
      <c r="F76" s="65">
        <f>IF(OR(3275429.97191="",82929.67072="",108251.64637=""),"-",(108251.64637-82929.67072)/3275429.97191*100)</f>
        <v>0.7730885980515717</v>
      </c>
      <c r="G76" s="65">
        <f>IF(OR(3904696.37575="",121794.52624="",108251.64637=""),"-",(121794.52624-108251.64637)/3904696.37575*100)</f>
        <v>0.34683567086310874</v>
      </c>
    </row>
    <row r="77" spans="1:7" s="11" customFormat="1" ht="15.75">
      <c r="A77" s="22" t="s">
        <v>80</v>
      </c>
      <c r="B77" s="65">
        <f>IF(35813.53902="","-",35813.53902)</f>
        <v>35813.53902</v>
      </c>
      <c r="C77" s="65">
        <f>IF(OR(35450.87278="",35813.53902=""),"-",35813.53902/35450.87278*100)</f>
        <v>101.0230107513872</v>
      </c>
      <c r="D77" s="65">
        <f>IF(35450.87278="","-",35450.87278/3904696.37575*100)</f>
        <v>0.9079034416137086</v>
      </c>
      <c r="E77" s="65">
        <f>IF(35813.53902="","-",35813.53902/4722022.55771*100)</f>
        <v>0.7584364238481781</v>
      </c>
      <c r="F77" s="65">
        <f>IF(OR(3275429.97191="",20936.91746="",35450.87278=""),"-",(35450.87278-20936.91746)/3275429.97191*100)</f>
        <v>0.4431160319247027</v>
      </c>
      <c r="G77" s="65">
        <f>IF(OR(3904696.37575="",35813.53902="",35450.87278=""),"-",(35813.53902-35450.87278)/3904696.37575*100)</f>
        <v>0.009287949819922658</v>
      </c>
    </row>
    <row r="78" spans="1:7" ht="25.5">
      <c r="A78" s="22" t="s">
        <v>81</v>
      </c>
      <c r="B78" s="65">
        <f>IF(48762.71574="","-",48762.71574)</f>
        <v>48762.71574</v>
      </c>
      <c r="C78" s="65">
        <f>IF(OR(39817.08194="",48762.71574=""),"-",48762.71574/39817.08194*100)</f>
        <v>122.46682419741381</v>
      </c>
      <c r="D78" s="65">
        <f>IF(39817.08194="","-",39817.08194/3904696.37575*100)</f>
        <v>1.0197228698057752</v>
      </c>
      <c r="E78" s="65">
        <f>IF(48762.71574="","-",48762.71574/4722022.55771*100)</f>
        <v>1.0326658787426048</v>
      </c>
      <c r="F78" s="65">
        <f>IF(OR(3275429.97191="",31629.14924="",39817.08194=""),"-",(39817.08194-31629.14924)/3275429.97191*100)</f>
        <v>0.24998039250478535</v>
      </c>
      <c r="G78" s="65">
        <f>IF(OR(3904696.37575="",48762.71574="",39817.08194=""),"-",(48762.71574-39817.08194)/3904696.37575*100)</f>
        <v>0.22909934446008642</v>
      </c>
    </row>
    <row r="79" spans="1:7" ht="25.5">
      <c r="A79" s="22" t="s">
        <v>82</v>
      </c>
      <c r="B79" s="65">
        <f>IF(10097.37626="","-",10097.37626)</f>
        <v>10097.37626</v>
      </c>
      <c r="C79" s="65">
        <f>IF(OR(8117.56178="",10097.37626=""),"-",10097.37626/8117.56178*100)</f>
        <v>124.38927517469413</v>
      </c>
      <c r="D79" s="65">
        <f>IF(8117.56178="","-",8117.56178/3904696.37575*100)</f>
        <v>0.2078922661032974</v>
      </c>
      <c r="E79" s="65">
        <f>IF(10097.37626="","-",10097.37626/4722022.55771*100)</f>
        <v>0.21383583277282858</v>
      </c>
      <c r="F79" s="65">
        <f>IF(OR(3275429.97191="",6049.61959="",8117.56178=""),"-",(8117.56178-6049.61959)/3275429.97191*100)</f>
        <v>0.06313498403979377</v>
      </c>
      <c r="G79" s="65">
        <f>IF(OR(3904696.37575="",10097.37626="",8117.56178=""),"-",(10097.37626-8117.56178)/3904696.37575*100)</f>
        <v>0.05070341684684057</v>
      </c>
    </row>
    <row r="80" spans="1:7" s="1" customFormat="1" ht="15.75">
      <c r="A80" s="22" t="s">
        <v>83</v>
      </c>
      <c r="B80" s="65">
        <f>IF(180944.31693="","-",180944.31693)</f>
        <v>180944.31693</v>
      </c>
      <c r="C80" s="65">
        <f>IF(OR(145358.19091="",180944.31693=""),"-",180944.31693/145358.19091*100)</f>
        <v>124.48167922097593</v>
      </c>
      <c r="D80" s="65">
        <f>IF(145358.19091="","-",145358.19091/3904696.37575*100)</f>
        <v>3.722650288835329</v>
      </c>
      <c r="E80" s="65">
        <f>IF(180944.31693="","-",180944.31693/4722022.55771*100)</f>
        <v>3.8319240265923473</v>
      </c>
      <c r="F80" s="65">
        <f>IF(OR(3275429.97191="",115877.83913="",145358.19091=""),"-",(145358.19091-115877.83913)/3275429.97191*100)</f>
        <v>0.9000452469697939</v>
      </c>
      <c r="G80" s="65">
        <f>IF(OR(3904696.37575="",180944.31693="",145358.19091=""),"-",(180944.31693-145358.19091)/3904696.37575*100)</f>
        <v>0.9113673022313992</v>
      </c>
    </row>
    <row r="81" spans="1:7" s="1" customFormat="1" ht="25.5">
      <c r="A81" s="39" t="s">
        <v>202</v>
      </c>
      <c r="B81" s="74">
        <f>IF(419.97399="","-",419.97399)</f>
        <v>419.97399</v>
      </c>
      <c r="C81" s="74">
        <f>IF(672.60707="","-",419.97399/672.60707*100)</f>
        <v>62.43972279387429</v>
      </c>
      <c r="D81" s="74">
        <f>IF(672.60707="","-",672.60707/3904696.37575*100)</f>
        <v>0.017225592088983055</v>
      </c>
      <c r="E81" s="74">
        <f>IF(419.97399="","-",419.97399/4722022.55771*100)</f>
        <v>0.008893942899833822</v>
      </c>
      <c r="F81" s="74">
        <f>IF(3275429.97191="","-",(672.60707-3486.25421)/3275429.97191*100)</f>
        <v>-0.08590161182286793</v>
      </c>
      <c r="G81" s="74">
        <f>IF(3904696.37575="","-",(419.97399-672.60707)/3904696.37575*100)</f>
        <v>-0.006469980139018495</v>
      </c>
    </row>
    <row r="82" ht="15.75">
      <c r="A82" s="75" t="s">
        <v>20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5"/>
  <sheetViews>
    <sheetView zoomScalePageLayoutView="0" workbookViewId="0" topLeftCell="A1">
      <selection activeCell="I6" sqref="I6"/>
    </sheetView>
  </sheetViews>
  <sheetFormatPr defaultColWidth="9.00390625" defaultRowHeight="15.75"/>
  <cols>
    <col min="1" max="1" width="42.125" style="0" customWidth="1"/>
    <col min="2" max="2" width="13.875" style="0" customWidth="1"/>
    <col min="3" max="3" width="13.50390625" style="0" customWidth="1"/>
    <col min="4" max="4" width="16.125" style="0" customWidth="1"/>
    <col min="5" max="5" width="10.375" style="0" customWidth="1"/>
    <col min="6" max="6" width="12.125" style="0" bestFit="1" customWidth="1"/>
  </cols>
  <sheetData>
    <row r="1" spans="1:4" ht="15.75">
      <c r="A1" s="105" t="s">
        <v>196</v>
      </c>
      <c r="B1" s="105"/>
      <c r="C1" s="105"/>
      <c r="D1" s="105"/>
    </row>
    <row r="2" spans="1:4" ht="15.75">
      <c r="A2" s="105" t="s">
        <v>23</v>
      </c>
      <c r="B2" s="105"/>
      <c r="C2" s="105"/>
      <c r="D2" s="105"/>
    </row>
    <row r="3" ht="15.75">
      <c r="A3" s="5"/>
    </row>
    <row r="4" spans="1:7" ht="26.25" customHeight="1">
      <c r="A4" s="106"/>
      <c r="B4" s="110" t="s">
        <v>258</v>
      </c>
      <c r="C4" s="111"/>
      <c r="D4" s="108" t="s">
        <v>261</v>
      </c>
      <c r="E4" s="1"/>
      <c r="F4" s="1"/>
      <c r="G4" s="1"/>
    </row>
    <row r="5" spans="1:7" ht="26.25" customHeight="1">
      <c r="A5" s="107"/>
      <c r="B5" s="26">
        <v>2017</v>
      </c>
      <c r="C5" s="25">
        <v>2018</v>
      </c>
      <c r="D5" s="109"/>
      <c r="E5" s="1"/>
      <c r="F5" s="1"/>
      <c r="G5" s="1"/>
    </row>
    <row r="6" spans="1:7" ht="16.5" customHeight="1">
      <c r="A6" s="42" t="s">
        <v>220</v>
      </c>
      <c r="B6" s="62">
        <f>IF(-1984914.17452="","-",-1984914.17452)</f>
        <v>-1984914.17452</v>
      </c>
      <c r="C6" s="62">
        <f>IF(-2502990.75299="","-",-2502990.75299)</f>
        <v>-2502990.75299</v>
      </c>
      <c r="D6" s="62">
        <f>IF(-1984914.17452="","-",-2502990.75299/-1984914.17452*100)</f>
        <v>126.10070425817194</v>
      </c>
      <c r="E6" s="34"/>
      <c r="F6" s="34"/>
      <c r="G6" s="34"/>
    </row>
    <row r="7" spans="1:4" ht="15.75">
      <c r="A7" s="7" t="s">
        <v>201</v>
      </c>
      <c r="B7" s="61"/>
      <c r="C7" s="61"/>
      <c r="D7" s="61"/>
    </row>
    <row r="8" spans="1:4" ht="15.75">
      <c r="A8" s="44" t="s">
        <v>24</v>
      </c>
      <c r="B8" s="63">
        <f>IF(50762.09505="","-",50762.09505)</f>
        <v>50762.09505</v>
      </c>
      <c r="C8" s="63">
        <f>IF(37019.82459="","-",37019.82459)</f>
        <v>37019.82459</v>
      </c>
      <c r="D8" s="63">
        <f>IF(50762.09505="","-",37019.82459/50762.09505*100)</f>
        <v>72.92808650536577</v>
      </c>
    </row>
    <row r="9" spans="1:4" ht="15.75">
      <c r="A9" s="22" t="s">
        <v>25</v>
      </c>
      <c r="B9" s="65">
        <f>IF(OR(1253.6082="",1253.6082=0),"-",1253.6082)</f>
        <v>1253.6082</v>
      </c>
      <c r="C9" s="65">
        <f>IF(OR(6238.16241="",6238.16241=0),"-",6238.16241)</f>
        <v>6238.16241</v>
      </c>
      <c r="D9" s="71" t="s">
        <v>297</v>
      </c>
    </row>
    <row r="10" spans="1:4" ht="15.75">
      <c r="A10" s="22" t="s">
        <v>26</v>
      </c>
      <c r="B10" s="65">
        <f>IF(OR(-21334.0071="",-21334.0071=0),"-",-21334.0071)</f>
        <v>-21334.0071</v>
      </c>
      <c r="C10" s="65">
        <f>IF(OR(-27139.54494="",-27139.54494=0),"-",-27139.54494)</f>
        <v>-27139.54494</v>
      </c>
      <c r="D10" s="65">
        <f>IF(OR(-21334.0071="",-27139.54494="",-21334.0071=0,-27139.54494=0),"-",-27139.54494/-21334.0071*100)</f>
        <v>127.21259917458264</v>
      </c>
    </row>
    <row r="11" spans="1:4" ht="15.75">
      <c r="A11" s="22" t="s">
        <v>27</v>
      </c>
      <c r="B11" s="65">
        <f>IF(OR(-24168.37338="",-24168.37338=0),"-",-24168.37338)</f>
        <v>-24168.37338</v>
      </c>
      <c r="C11" s="65">
        <f>IF(OR(-28788.60672="",-28788.60672=0),"-",-28788.60672)</f>
        <v>-28788.60672</v>
      </c>
      <c r="D11" s="65">
        <f>IF(OR(-24168.37338="",-28788.60672="",-24168.37338=0,-28788.60672=0),"-",-28788.60672/-24168.37338*100)</f>
        <v>119.11685684160842</v>
      </c>
    </row>
    <row r="12" spans="1:4" ht="15.75">
      <c r="A12" s="22" t="s">
        <v>28</v>
      </c>
      <c r="B12" s="65">
        <f>IF(OR(-35672.71837="",-35672.71837=0),"-",-35672.71837)</f>
        <v>-35672.71837</v>
      </c>
      <c r="C12" s="65">
        <f>IF(OR(-40724.77362="",-40724.77362=0),"-",-40724.77362)</f>
        <v>-40724.77362</v>
      </c>
      <c r="D12" s="65">
        <f>IF(OR(-35672.71837="",-40724.77362="",-35672.71837=0,-40724.77362=0),"-",-40724.77362/-35672.71837*100)</f>
        <v>114.16223792535156</v>
      </c>
    </row>
    <row r="13" spans="1:4" ht="15.75">
      <c r="A13" s="22" t="s">
        <v>29</v>
      </c>
      <c r="B13" s="65">
        <f>IF(OR(107653.86627="",107653.86627=0),"-",107653.86627)</f>
        <v>107653.86627</v>
      </c>
      <c r="C13" s="65">
        <f>IF(OR(123879.44406="",123879.44406=0),"-",123879.44406)</f>
        <v>123879.44406</v>
      </c>
      <c r="D13" s="65">
        <f>IF(OR(107653.86627="",123879.44406="",107653.86627=0,123879.44406=0),"-",123879.44406/107653.86627*100)</f>
        <v>115.07198798536935</v>
      </c>
    </row>
    <row r="14" spans="1:4" ht="15.75">
      <c r="A14" s="22" t="s">
        <v>30</v>
      </c>
      <c r="B14" s="65">
        <f>IF(OR(118153.30157="",118153.30157=0),"-",118153.30157)</f>
        <v>118153.30157</v>
      </c>
      <c r="C14" s="65">
        <f>IF(OR(95135.47025="",95135.47025=0),"-",95135.47025)</f>
        <v>95135.47025</v>
      </c>
      <c r="D14" s="65">
        <f>IF(OR(118153.30157="",95135.47025="",118153.30157=0,95135.47025=0),"-",95135.47025/118153.30157*100)</f>
        <v>80.51867276314486</v>
      </c>
    </row>
    <row r="15" spans="1:4" ht="15.75">
      <c r="A15" s="22" t="s">
        <v>31</v>
      </c>
      <c r="B15" s="65">
        <f>IF(OR(6603.93553="",6603.93553=0),"-",6603.93553)</f>
        <v>6603.93553</v>
      </c>
      <c r="C15" s="65">
        <f>IF(OR(13657.14615="",13657.14615=0),"-",13657.14615)</f>
        <v>13657.14615</v>
      </c>
      <c r="D15" s="71" t="s">
        <v>144</v>
      </c>
    </row>
    <row r="16" spans="1:4" ht="15.75">
      <c r="A16" s="22" t="s">
        <v>32</v>
      </c>
      <c r="B16" s="65">
        <f>IF(OR(-32201.41935="",-32201.41935=0),"-",-32201.41935)</f>
        <v>-32201.41935</v>
      </c>
      <c r="C16" s="65">
        <f>IF(OR(-34106.40575="",-34106.40575=0),"-",-34106.40575)</f>
        <v>-34106.40575</v>
      </c>
      <c r="D16" s="65">
        <f>IF(OR(-32201.41935="",-34106.40575="",-32201.41935=0,-34106.40575=0),"-",-34106.40575/-32201.41935*100)</f>
        <v>105.91584606658029</v>
      </c>
    </row>
    <row r="17" spans="1:4" ht="15.75">
      <c r="A17" s="22" t="s">
        <v>33</v>
      </c>
      <c r="B17" s="65">
        <f>IF(OR(-14846.7614="",-14846.7614=0),"-",-14846.7614)</f>
        <v>-14846.7614</v>
      </c>
      <c r="C17" s="65">
        <f>IF(OR(-14956.83254="",-14956.83254=0),"-",-14956.83254)</f>
        <v>-14956.83254</v>
      </c>
      <c r="D17" s="65">
        <f>IF(OR(-14846.7614="",-14956.83254="",-14846.7614=0,-14956.83254=0),"-",-14956.83254/-14846.7614*100)</f>
        <v>100.7413814840454</v>
      </c>
    </row>
    <row r="18" spans="1:4" ht="15.75">
      <c r="A18" s="22" t="s">
        <v>34</v>
      </c>
      <c r="B18" s="65">
        <f>IF(OR(-54679.33692="",-54679.33692=0),"-",-54679.33692)</f>
        <v>-54679.33692</v>
      </c>
      <c r="C18" s="65">
        <f>IF(OR(-56174.23471="",-56174.23471=0),"-",-56174.23471)</f>
        <v>-56174.23471</v>
      </c>
      <c r="D18" s="65">
        <f>IF(OR(-54679.33692="",-56174.23471="",-54679.33692=0,-56174.23471=0),"-",-56174.23471/-54679.33692*100)</f>
        <v>102.73393547582177</v>
      </c>
    </row>
    <row r="19" spans="1:4" ht="15.75">
      <c r="A19" s="44" t="s">
        <v>35</v>
      </c>
      <c r="B19" s="63">
        <f>IF(66244.42162="","-",66244.42162)</f>
        <v>66244.42162</v>
      </c>
      <c r="C19" s="63">
        <f>IF(84172.47457="","-",84172.47457)</f>
        <v>84172.47457</v>
      </c>
      <c r="D19" s="63">
        <f>IF(66244.42162="","-",84172.47457/66244.42162*100)</f>
        <v>127.06349079903102</v>
      </c>
    </row>
    <row r="20" spans="1:4" ht="15.75">
      <c r="A20" s="22" t="s">
        <v>293</v>
      </c>
      <c r="B20" s="65">
        <f>IF(OR(99996.46346="",99996.46346=0),"-",99996.46346)</f>
        <v>99996.46346</v>
      </c>
      <c r="C20" s="65">
        <f>IF(OR(111604.9498="",111604.9498=0),"-",111604.9498)</f>
        <v>111604.9498</v>
      </c>
      <c r="D20" s="65">
        <f>IF(OR(99996.46346="",111604.9498="",99996.46346=0,111604.9498=0),"-",111604.9498/99996.46346*100)</f>
        <v>111.60889689328219</v>
      </c>
    </row>
    <row r="21" spans="1:4" ht="15.75">
      <c r="A21" s="22" t="s">
        <v>36</v>
      </c>
      <c r="B21" s="65">
        <f>IF(OR(-33752.04184="",-33752.04184=0),"-",-33752.04184)</f>
        <v>-33752.04184</v>
      </c>
      <c r="C21" s="65">
        <f>IF(OR(-27432.47523="",-27432.47523=0),"-",-27432.47523)</f>
        <v>-27432.47523</v>
      </c>
      <c r="D21" s="65">
        <f>IF(OR(-33752.04184="",-27432.47523="",-33752.04184=0,-27432.47523=0),"-",-27432.47523/-33752.04184*100)</f>
        <v>81.27649094547343</v>
      </c>
    </row>
    <row r="22" spans="1:4" ht="15.75">
      <c r="A22" s="44" t="s">
        <v>37</v>
      </c>
      <c r="B22" s="63">
        <f>IF(118165.62549="","-",118165.62549)</f>
        <v>118165.62549</v>
      </c>
      <c r="C22" s="63">
        <f>IF(104289.82098="","-",104289.82098)</f>
        <v>104289.82098</v>
      </c>
      <c r="D22" s="63">
        <f>IF(118165.62549="","-",104289.82098/118165.62549*100)</f>
        <v>88.25732572187479</v>
      </c>
    </row>
    <row r="23" spans="1:4" ht="15.75">
      <c r="A23" s="22" t="s">
        <v>38</v>
      </c>
      <c r="B23" s="65">
        <f>IF(OR(3153.99294="",3153.99294=0),"-",3153.99294)</f>
        <v>3153.99294</v>
      </c>
      <c r="C23" s="65">
        <f>IF(OR(2553.3663="",2553.3663=0),"-",2553.3663)</f>
        <v>2553.3663</v>
      </c>
      <c r="D23" s="65">
        <f>IF(OR(3153.99294="",2553.3663="",3153.99294=0,2553.3663=0),"-",2553.3663/3153.99294*100)</f>
        <v>80.95662699866412</v>
      </c>
    </row>
    <row r="24" spans="1:4" ht="15.75">
      <c r="A24" s="22" t="s">
        <v>39</v>
      </c>
      <c r="B24" s="65">
        <f>IF(OR(156494.84894="",156494.84894=0),"-",156494.84894)</f>
        <v>156494.84894</v>
      </c>
      <c r="C24" s="65">
        <f>IF(OR(153938.53254="",153938.53254=0),"-",153938.53254)</f>
        <v>153938.53254</v>
      </c>
      <c r="D24" s="65">
        <f>IF(OR(156494.84894="",153938.53254="",156494.84894=0,153938.53254=0),"-",153938.53254/156494.84894*100)</f>
        <v>98.36651722576498</v>
      </c>
    </row>
    <row r="25" spans="1:4" ht="15.75">
      <c r="A25" s="22" t="s">
        <v>40</v>
      </c>
      <c r="B25" s="65">
        <f>IF(OR(-611.07044="",-611.07044=0),"-",-611.07044)</f>
        <v>-611.07044</v>
      </c>
      <c r="C25" s="65">
        <f>IF(OR(-774.84927="",-774.84927=0),"-",-774.84927)</f>
        <v>-774.84927</v>
      </c>
      <c r="D25" s="65">
        <f>IF(OR(-611.07044="",-774.84927="",-611.07044=0,-774.84927=0),"-",-774.84927/-611.07044*100)</f>
        <v>126.80195592508126</v>
      </c>
    </row>
    <row r="26" spans="1:4" ht="15.75">
      <c r="A26" s="22" t="s">
        <v>41</v>
      </c>
      <c r="B26" s="65">
        <f>IF(OR(-27395.91556="",-27395.91556=0),"-",-27395.91556)</f>
        <v>-27395.91556</v>
      </c>
      <c r="C26" s="65">
        <f>IF(OR(-29218.36999="",-29218.36999=0),"-",-29218.36999)</f>
        <v>-29218.36999</v>
      </c>
      <c r="D26" s="65">
        <f>IF(OR(-27395.91556="",-29218.36999="",-27395.91556=0,-29218.36999=0),"-",-29218.36999/-27395.91556*100)</f>
        <v>106.65228517736021</v>
      </c>
    </row>
    <row r="27" spans="1:4" ht="15.75">
      <c r="A27" s="22" t="s">
        <v>217</v>
      </c>
      <c r="B27" s="65">
        <f>IF(OR(1942.27792="",1942.27792=0),"-",1942.27792)</f>
        <v>1942.27792</v>
      </c>
      <c r="C27" s="65">
        <f>IF(OR(2288.21093="",2288.21093=0),"-",2288.21093)</f>
        <v>2288.21093</v>
      </c>
      <c r="D27" s="65">
        <f>IF(OR(1942.27792="",2288.21093="",1942.27792=0,2288.21093=0),"-",2288.21093/1942.27792*100)</f>
        <v>117.81068540386848</v>
      </c>
    </row>
    <row r="28" spans="1:4" ht="25.5">
      <c r="A28" s="22" t="s">
        <v>232</v>
      </c>
      <c r="B28" s="65">
        <f>IF(OR(-7037.13259="",-7037.13259=0),"-",-7037.13259)</f>
        <v>-7037.13259</v>
      </c>
      <c r="C28" s="65">
        <f>IF(OR(-6742.08274="",-6742.08274=0),"-",-6742.08274)</f>
        <v>-6742.08274</v>
      </c>
      <c r="D28" s="65">
        <f>IF(OR(-7037.13259="",-6742.08274="",-7037.13259=0,-6742.08274=0),"-",-6742.08274/-7037.13259*100)</f>
        <v>95.80724327378347</v>
      </c>
    </row>
    <row r="29" spans="1:4" ht="25.5">
      <c r="A29" s="22" t="s">
        <v>42</v>
      </c>
      <c r="B29" s="65">
        <f>IF(OR(183.16191="",183.16191=0),"-",183.16191)</f>
        <v>183.16191</v>
      </c>
      <c r="C29" s="65">
        <f>IF(OR(-3256.03833="",-3256.03833=0),"-",-3256.03833)</f>
        <v>-3256.03833</v>
      </c>
      <c r="D29" s="71" t="s">
        <v>22</v>
      </c>
    </row>
    <row r="30" spans="1:4" ht="15.75">
      <c r="A30" s="22" t="s">
        <v>233</v>
      </c>
      <c r="B30" s="65">
        <f>IF(OR(11868.51209="",11868.51209=0),"-",11868.51209)</f>
        <v>11868.51209</v>
      </c>
      <c r="C30" s="65">
        <f>IF(OR(11061.85194="",11061.85194=0),"-",11061.85194)</f>
        <v>11061.85194</v>
      </c>
      <c r="D30" s="65">
        <f>IF(OR(11868.51209="",11061.85194="",11868.51209=0,11061.85194=0),"-",11061.85194/11868.51209*100)</f>
        <v>93.20335907413649</v>
      </c>
    </row>
    <row r="31" spans="1:4" ht="15.75">
      <c r="A31" s="22" t="s">
        <v>43</v>
      </c>
      <c r="B31" s="65">
        <f>IF(OR(-20433.04972="",-20433.04972=0),"-",-20433.04972)</f>
        <v>-20433.04972</v>
      </c>
      <c r="C31" s="65">
        <f>IF(OR(-25560.8004="",-25560.8004=0),"-",-25560.8004)</f>
        <v>-25560.8004</v>
      </c>
      <c r="D31" s="65">
        <f>IF(OR(-20433.04972="",-25560.8004="",-20433.04972=0,-25560.8004=0),"-",-25560.8004/-20433.04972*100)</f>
        <v>125.09537611989916</v>
      </c>
    </row>
    <row r="32" spans="1:4" ht="15.75">
      <c r="A32" s="44" t="s">
        <v>44</v>
      </c>
      <c r="B32" s="63">
        <f>IF(-589641.55455="","-",-589641.55455)</f>
        <v>-589641.55455</v>
      </c>
      <c r="C32" s="63">
        <f>IF(-765917.94569="","-",-765917.94569)</f>
        <v>-765917.94569</v>
      </c>
      <c r="D32" s="63">
        <f>IF(-589641.55455="","-",-765917.94569/-589641.55455*100)</f>
        <v>129.89551699329093</v>
      </c>
    </row>
    <row r="33" spans="1:4" ht="15.75">
      <c r="A33" s="22" t="s">
        <v>243</v>
      </c>
      <c r="B33" s="65">
        <f>IF(OR(-19884.78663="",-19884.78663=0),"-",-19884.78663)</f>
        <v>-19884.78663</v>
      </c>
      <c r="C33" s="65">
        <f>IF(OR(-14679.47298="",-14679.47298=0),"-",-14679.47298)</f>
        <v>-14679.47298</v>
      </c>
      <c r="D33" s="65">
        <f>IF(OR(-19884.78663="",-14679.47298="",-19884.78663=0,-14679.47298=0),"-",-14679.47298/-19884.78663*100)</f>
        <v>73.82263261428821</v>
      </c>
    </row>
    <row r="34" spans="1:4" ht="15.75">
      <c r="A34" s="22" t="s">
        <v>45</v>
      </c>
      <c r="B34" s="65">
        <f>IF(OR(-371188.63751="",-371188.63751=0),"-",-371188.63751)</f>
        <v>-371188.63751</v>
      </c>
      <c r="C34" s="65">
        <f>IF(OR(-516201.98514="",-516201.98514=0),"-",-516201.98514)</f>
        <v>-516201.98514</v>
      </c>
      <c r="D34" s="65">
        <f>IF(OR(-371188.63751="",-516201.98514="",-371188.63751=0,-516201.98514=0),"-",-516201.98514/-371188.63751*100)</f>
        <v>139.06729166139772</v>
      </c>
    </row>
    <row r="35" spans="1:4" ht="15.75">
      <c r="A35" s="22" t="s">
        <v>46</v>
      </c>
      <c r="B35" s="65">
        <f>IF(OR(-146926.94083="",-146926.94083=0),"-",-146926.94083)</f>
        <v>-146926.94083</v>
      </c>
      <c r="C35" s="65">
        <f>IF(OR(-189833.74361="",-189833.74361=0),"-",-189833.74361)</f>
        <v>-189833.74361</v>
      </c>
      <c r="D35" s="65">
        <f>IF(OR(-146926.94083="",-189833.74361="",-146926.94083=0,-189833.74361=0),"-",-189833.74361/-146926.94083*100)</f>
        <v>129.20281504373307</v>
      </c>
    </row>
    <row r="36" spans="1:4" ht="15.75">
      <c r="A36" s="22" t="s">
        <v>47</v>
      </c>
      <c r="B36" s="65">
        <f>IF(OR(-51641.18958="",-51641.18958=0),"-",-51641.18958)</f>
        <v>-51641.18958</v>
      </c>
      <c r="C36" s="65">
        <f>IF(OR(-45202.74396="",-45202.74396=0),"-",-45202.74396)</f>
        <v>-45202.74396</v>
      </c>
      <c r="D36" s="65">
        <f>IF(OR(-51641.18958="",-45202.74396="",-51641.18958=0,-45202.74396=0),"-",-45202.74396/-51641.18958*100)</f>
        <v>87.53234448632158</v>
      </c>
    </row>
    <row r="37" spans="1:4" ht="15.75">
      <c r="A37" s="44" t="s">
        <v>48</v>
      </c>
      <c r="B37" s="63">
        <f>IF(22083.70169="","-",22083.70169)</f>
        <v>22083.70169</v>
      </c>
      <c r="C37" s="63">
        <f>IF(45397.85355="","-",45397.85355)</f>
        <v>45397.85355</v>
      </c>
      <c r="D37" s="64" t="s">
        <v>144</v>
      </c>
    </row>
    <row r="38" spans="1:4" ht="15.75">
      <c r="A38" s="22" t="s">
        <v>49</v>
      </c>
      <c r="B38" s="65">
        <f>IF(OR(-1055.03996="",-1055.03996=0),"-",-1055.03996)</f>
        <v>-1055.03996</v>
      </c>
      <c r="C38" s="65">
        <f>IF(OR(-1318.43746="",-1318.43746=0),"-",-1318.43746)</f>
        <v>-1318.43746</v>
      </c>
      <c r="D38" s="65">
        <f>IF(OR(-1055.03996="",-1318.43746="",-1055.03996=0,-1318.43746=0),"-",-1318.43746/-1055.03996*100)</f>
        <v>124.9656420596619</v>
      </c>
    </row>
    <row r="39" spans="1:4" ht="15" customHeight="1">
      <c r="A39" s="22" t="s">
        <v>50</v>
      </c>
      <c r="B39" s="65">
        <f>IF(OR(24934.42019="",24934.42019=0),"-",24934.42019)</f>
        <v>24934.42019</v>
      </c>
      <c r="C39" s="65">
        <f>IF(OR(48806.06338="",48806.06338=0),"-",48806.06338)</f>
        <v>48806.06338</v>
      </c>
      <c r="D39" s="71" t="s">
        <v>19</v>
      </c>
    </row>
    <row r="40" spans="1:4" ht="38.25">
      <c r="A40" s="22" t="s">
        <v>218</v>
      </c>
      <c r="B40" s="65">
        <f>IF(OR(-1795.67854="",-1795.67854=0),"-",-1795.67854)</f>
        <v>-1795.67854</v>
      </c>
      <c r="C40" s="65">
        <f>IF(OR(-2089.77237="",-2089.77237=0),"-",-2089.77237)</f>
        <v>-2089.77237</v>
      </c>
      <c r="D40" s="65">
        <f>IF(OR(-1795.67854="",-2089.77237="",-1795.67854=0,-2089.77237=0),"-",-2089.77237/-1795.67854*100)</f>
        <v>116.37786627443907</v>
      </c>
    </row>
    <row r="41" spans="1:4" ht="25.5">
      <c r="A41" s="44" t="s">
        <v>51</v>
      </c>
      <c r="B41" s="63">
        <f>IF(-493545.12712="","-",-493545.12712)</f>
        <v>-493545.12712</v>
      </c>
      <c r="C41" s="63">
        <f>IF(-574282.1369="","-",-574282.1369)</f>
        <v>-574282.1369</v>
      </c>
      <c r="D41" s="63">
        <f>IF(-493545.12712="","-",-574282.1369/-493545.12712*100)</f>
        <v>116.35858715719216</v>
      </c>
    </row>
    <row r="42" spans="1:4" ht="15.75">
      <c r="A42" s="22" t="s">
        <v>52</v>
      </c>
      <c r="B42" s="65">
        <f>IF(OR(1153.53007="",1153.53007=0),"-",1153.53007)</f>
        <v>1153.53007</v>
      </c>
      <c r="C42" s="65">
        <f>IF(OR(2973.52302="",2973.52302=0),"-",2973.52302)</f>
        <v>2973.52302</v>
      </c>
      <c r="D42" s="71" t="s">
        <v>152</v>
      </c>
    </row>
    <row r="43" spans="1:4" ht="15.75">
      <c r="A43" s="22" t="s">
        <v>53</v>
      </c>
      <c r="B43" s="65">
        <f>IF(OR(-10062.35489="",-10062.35489=0),"-",-10062.35489)</f>
        <v>-10062.35489</v>
      </c>
      <c r="C43" s="65">
        <f>IF(OR(-12500.31529="",-12500.31529=0),"-",-12500.31529)</f>
        <v>-12500.31529</v>
      </c>
      <c r="D43" s="65">
        <f>IF(OR(-10062.35489="",-12500.31529="",-10062.35489=0,-12500.31529=0),"-",-12500.31529/-10062.35489*100)</f>
        <v>124.22852728463047</v>
      </c>
    </row>
    <row r="44" spans="1:4" ht="15.75">
      <c r="A44" s="22" t="s">
        <v>54</v>
      </c>
      <c r="B44" s="65">
        <f>IF(OR(-27200.37078="",-27200.37078=0),"-",-27200.37078)</f>
        <v>-27200.37078</v>
      </c>
      <c r="C44" s="65">
        <f>IF(OR(-29568.5964="",-29568.5964=0),"-",-29568.5964)</f>
        <v>-29568.5964</v>
      </c>
      <c r="D44" s="65">
        <f>IF(OR(-27200.37078="",-29568.5964="",-27200.37078=0,-29568.5964=0),"-",-29568.5964/-27200.37078*100)</f>
        <v>108.7065931532864</v>
      </c>
    </row>
    <row r="45" spans="1:4" ht="15.75">
      <c r="A45" s="22" t="s">
        <v>55</v>
      </c>
      <c r="B45" s="65">
        <f>IF(OR(-127197.97101="",-127197.97101=0),"-",-127197.97101)</f>
        <v>-127197.97101</v>
      </c>
      <c r="C45" s="65">
        <f>IF(OR(-132845.95756="",-132845.95756=0),"-",-132845.95756)</f>
        <v>-132845.95756</v>
      </c>
      <c r="D45" s="65">
        <f>IF(OR(-127197.97101="",-132845.95756="",-127197.97101=0,-132845.95756=0),"-",-132845.95756/-127197.97101*100)</f>
        <v>104.44031182663753</v>
      </c>
    </row>
    <row r="46" spans="1:4" ht="25.5">
      <c r="A46" s="22" t="s">
        <v>244</v>
      </c>
      <c r="B46" s="65">
        <f>IF(OR(-66070.89801="",-66070.89801=0),"-",-66070.89801)</f>
        <v>-66070.89801</v>
      </c>
      <c r="C46" s="65">
        <f>IF(OR(-73979.31156="",-73979.31156=0),"-",-73979.31156)</f>
        <v>-73979.31156</v>
      </c>
      <c r="D46" s="65">
        <f>IF(OR(-66070.89801="",-73979.31156="",-66070.89801=0,-73979.31156=0),"-",-73979.31156/-66070.89801*100)</f>
        <v>111.96958689558456</v>
      </c>
    </row>
    <row r="47" spans="1:4" ht="15.75">
      <c r="A47" s="22" t="s">
        <v>56</v>
      </c>
      <c r="B47" s="65">
        <f>IF(OR(-55755.16446="",-55755.16446=0),"-",-55755.16446)</f>
        <v>-55755.16446</v>
      </c>
      <c r="C47" s="65">
        <f>IF(OR(-77321.4307="",-77321.4307=0),"-",-77321.4307)</f>
        <v>-77321.4307</v>
      </c>
      <c r="D47" s="65">
        <f>IF(OR(-55755.16446="",-77321.4307="",-55755.16446=0,-77321.4307=0),"-",-77321.4307/-55755.16446*100)</f>
        <v>138.68030244170853</v>
      </c>
    </row>
    <row r="48" spans="1:4" ht="15.75">
      <c r="A48" s="22" t="s">
        <v>57</v>
      </c>
      <c r="B48" s="65">
        <f>IF(OR(-40181.84376="",-40181.84376=0),"-",-40181.84376)</f>
        <v>-40181.84376</v>
      </c>
      <c r="C48" s="65">
        <f>IF(OR(-47828.46019="",-47828.46019=0),"-",-47828.46019)</f>
        <v>-47828.46019</v>
      </c>
      <c r="D48" s="65">
        <f>IF(OR(-40181.84376="",-47828.46019="",-40181.84376=0,-47828.46019=0),"-",-47828.46019/-40181.84376*100)</f>
        <v>119.03002877536449</v>
      </c>
    </row>
    <row r="49" spans="1:4" ht="15.75">
      <c r="A49" s="22" t="s">
        <v>58</v>
      </c>
      <c r="B49" s="65">
        <f>IF(OR(-78699.29876="",-78699.29876=0),"-",-78699.29876)</f>
        <v>-78699.29876</v>
      </c>
      <c r="C49" s="65">
        <f>IF(OR(-92099.17153="",-92099.17153=0),"-",-92099.17153)</f>
        <v>-92099.17153</v>
      </c>
      <c r="D49" s="65">
        <f>IF(OR(-78699.29876="",-92099.17153="",-78699.29876=0,-92099.17153=0),"-",-92099.17153/-78699.29876*100)</f>
        <v>117.02667365672981</v>
      </c>
    </row>
    <row r="50" spans="1:4" ht="15.75">
      <c r="A50" s="22" t="s">
        <v>59</v>
      </c>
      <c r="B50" s="65">
        <f>IF(OR(-89530.75552="",-89530.75552=0),"-",-89530.75552)</f>
        <v>-89530.75552</v>
      </c>
      <c r="C50" s="65">
        <f>IF(OR(-111112.41669="",-111112.41669=0),"-",-111112.41669)</f>
        <v>-111112.41669</v>
      </c>
      <c r="D50" s="65">
        <f>IF(OR(-89530.75552="",-111112.41669="",-89530.75552=0,-111112.41669=0),"-",-111112.41669/-89530.75552*100)</f>
        <v>124.1053044226561</v>
      </c>
    </row>
    <row r="51" spans="1:4" ht="27.75" customHeight="1">
      <c r="A51" s="44" t="s">
        <v>294</v>
      </c>
      <c r="B51" s="63">
        <f>IF(-674855.58344="","-",-674855.58344)</f>
        <v>-674855.58344</v>
      </c>
      <c r="C51" s="63">
        <f>IF(-810604.21745="","-",-810604.21745)</f>
        <v>-810604.21745</v>
      </c>
      <c r="D51" s="63">
        <f>IF(-674855.58344="","-",-810604.21745/-674855.58344*100)</f>
        <v>120.11521240115354</v>
      </c>
    </row>
    <row r="52" spans="1:4" ht="15.75">
      <c r="A52" s="22" t="s">
        <v>60</v>
      </c>
      <c r="B52" s="65">
        <f>IF(OR(-34428.76884="",-34428.76884=0),"-",-34428.76884)</f>
        <v>-34428.76884</v>
      </c>
      <c r="C52" s="65">
        <f>IF(OR(-46112.76502="",-46112.76502=0),"-",-46112.76502)</f>
        <v>-46112.76502</v>
      </c>
      <c r="D52" s="65">
        <f>IF(OR(-34428.76884="",-46112.76502="",-34428.76884=0,-46112.76502=0),"-",-46112.76502/-34428.76884*100)</f>
        <v>133.93672377394253</v>
      </c>
    </row>
    <row r="53" spans="1:4" ht="15.75">
      <c r="A53" s="22" t="s">
        <v>61</v>
      </c>
      <c r="B53" s="65">
        <f>IF(OR(-45552.99506="",-45552.99506=0),"-",-45552.99506)</f>
        <v>-45552.99506</v>
      </c>
      <c r="C53" s="65">
        <f>IF(OR(-55371.28759="",-55371.28759=0),"-",-55371.28759)</f>
        <v>-55371.28759</v>
      </c>
      <c r="D53" s="65">
        <f>IF(OR(-45552.99506="",-55371.28759="",-45552.99506=0,-55371.28759=0),"-",-55371.28759/-45552.99506*100)</f>
        <v>121.55356089554125</v>
      </c>
    </row>
    <row r="54" spans="1:4" ht="15.75">
      <c r="A54" s="22" t="s">
        <v>62</v>
      </c>
      <c r="B54" s="65">
        <f>IF(OR(-49914.31047="",-49914.31047=0),"-",-49914.31047)</f>
        <v>-49914.31047</v>
      </c>
      <c r="C54" s="65">
        <f>IF(OR(-59416.74934="",-59416.74934=0),"-",-59416.74934)</f>
        <v>-59416.74934</v>
      </c>
      <c r="D54" s="65">
        <f>IF(OR(-49914.31047="",-59416.74934="",-49914.31047=0,-59416.74934=0),"-",-59416.74934/-49914.31047*100)</f>
        <v>119.03750403546344</v>
      </c>
    </row>
    <row r="55" spans="1:4" ht="25.5">
      <c r="A55" s="22" t="s">
        <v>234</v>
      </c>
      <c r="B55" s="65">
        <f>IF(OR(-65838.61884="",-65838.61884=0),"-",-65838.61884)</f>
        <v>-65838.61884</v>
      </c>
      <c r="C55" s="65">
        <f>IF(OR(-75057.25005="",-75057.25005=0),"-",-75057.25005)</f>
        <v>-75057.25005</v>
      </c>
      <c r="D55" s="65">
        <f>IF(OR(-65838.61884="",-75057.25005="",-65838.61884=0,-75057.25005=0),"-",-75057.25005/-65838.61884*100)</f>
        <v>114.00185996064556</v>
      </c>
    </row>
    <row r="56" spans="1:4" ht="25.5">
      <c r="A56" s="22" t="s">
        <v>235</v>
      </c>
      <c r="B56" s="65">
        <f>IF(OR(-160055.46032="",-160055.46032=0),"-",-160055.46032)</f>
        <v>-160055.46032</v>
      </c>
      <c r="C56" s="65">
        <f>IF(OR(-188674.57777="",-188674.57777=0),"-",-188674.57777)</f>
        <v>-188674.57777</v>
      </c>
      <c r="D56" s="65">
        <f>IF(OR(-160055.46032="",-188674.57777="",-160055.46032=0,-188674.57777=0),"-",-188674.57777/-160055.46032*100)</f>
        <v>117.8807504553619</v>
      </c>
    </row>
    <row r="57" spans="1:4" ht="15.75">
      <c r="A57" s="22" t="s">
        <v>63</v>
      </c>
      <c r="B57" s="65">
        <f>IF(OR(-70016.23761="",-70016.23761=0),"-",-70016.23761)</f>
        <v>-70016.23761</v>
      </c>
      <c r="C57" s="65">
        <f>IF(OR(-65861.35352="",-65861.35352=0),"-",-65861.35352)</f>
        <v>-65861.35352</v>
      </c>
      <c r="D57" s="65">
        <f>IF(OR(-70016.23761="",-65861.35352="",-70016.23761=0,-65861.35352=0),"-",-65861.35352/-70016.23761*100)</f>
        <v>94.06582782533494</v>
      </c>
    </row>
    <row r="58" spans="1:4" ht="15.75">
      <c r="A58" s="22" t="s">
        <v>236</v>
      </c>
      <c r="B58" s="65">
        <f>IF(OR(-91451.97155="",-91451.97155=0),"-",-91451.97155)</f>
        <v>-91451.97155</v>
      </c>
      <c r="C58" s="65">
        <f>IF(OR(-113146.34773="",-113146.34773=0),"-",-113146.34773)</f>
        <v>-113146.34773</v>
      </c>
      <c r="D58" s="65">
        <f>IF(OR(-91451.97155="",-113146.34773="",-91451.97155=0,-113146.34773=0),"-",-113146.34773/-91451.97155*100)</f>
        <v>123.72215252695665</v>
      </c>
    </row>
    <row r="59" spans="1:4" ht="15.75">
      <c r="A59" s="22" t="s">
        <v>64</v>
      </c>
      <c r="B59" s="65">
        <f>IF(OR(-65697.15963="",-65697.15963=0),"-",-65697.15963)</f>
        <v>-65697.15963</v>
      </c>
      <c r="C59" s="65">
        <f>IF(OR(-88478.21508="",-88478.21508=0),"-",-88478.21508)</f>
        <v>-88478.21508</v>
      </c>
      <c r="D59" s="65">
        <f>IF(OR(-65697.15963="",-88478.21508="",-65697.15963=0,-88478.21508=0),"-",-88478.21508/-65697.15963*100)</f>
        <v>134.67586053689487</v>
      </c>
    </row>
    <row r="60" spans="1:4" ht="15.75">
      <c r="A60" s="22" t="s">
        <v>65</v>
      </c>
      <c r="B60" s="65">
        <f>IF(OR(-91900.06112="",-91900.06112=0),"-",-91900.06112)</f>
        <v>-91900.06112</v>
      </c>
      <c r="C60" s="65">
        <f>IF(OR(-118485.67135="",-118485.67135=0),"-",-118485.67135)</f>
        <v>-118485.67135</v>
      </c>
      <c r="D60" s="65">
        <f>IF(OR(-91900.06112="",-118485.67135="",-91900.06112=0,-118485.67135=0),"-",-118485.67135/-91900.06112*100)</f>
        <v>128.92882758291685</v>
      </c>
    </row>
    <row r="61" spans="1:4" ht="15.75">
      <c r="A61" s="44" t="s">
        <v>66</v>
      </c>
      <c r="B61" s="63">
        <f>IF(-507412.11516="","-",-507412.11516)</f>
        <v>-507412.11516</v>
      </c>
      <c r="C61" s="63">
        <f>IF(-657253.06545="","-",-657253.06545)</f>
        <v>-657253.06545</v>
      </c>
      <c r="D61" s="63">
        <f>IF(-507412.11516="","-",-657253.06545/-507412.11516*100)</f>
        <v>129.53042424750765</v>
      </c>
    </row>
    <row r="62" spans="1:4" ht="15.75">
      <c r="A62" s="22" t="s">
        <v>67</v>
      </c>
      <c r="B62" s="65">
        <f>IF(OR(-11055.58641="",-11055.58641=0),"-",-11055.58641)</f>
        <v>-11055.58641</v>
      </c>
      <c r="C62" s="65">
        <f>IF(OR(-18173.15306="",-18173.15306=0),"-",-18173.15306)</f>
        <v>-18173.15306</v>
      </c>
      <c r="D62" s="71" t="s">
        <v>203</v>
      </c>
    </row>
    <row r="63" spans="1:4" ht="15.75">
      <c r="A63" s="22" t="s">
        <v>68</v>
      </c>
      <c r="B63" s="65">
        <f>IF(OR(-123863.76805="",-123863.76805=0),"-",-123863.76805)</f>
        <v>-123863.76805</v>
      </c>
      <c r="C63" s="65">
        <f>IF(OR(-171764.60427="",-171764.60427=0),"-",-171764.60427)</f>
        <v>-171764.60427</v>
      </c>
      <c r="D63" s="80">
        <f>IF(OR(-123863.76805="",-171764.60427="",-123863.76805=0,-171764.60427=0),"-",-171764.60427/-123863.76805*100)</f>
        <v>138.67219363184876</v>
      </c>
    </row>
    <row r="64" spans="1:4" ht="15.75">
      <c r="A64" s="22" t="s">
        <v>69</v>
      </c>
      <c r="B64" s="65">
        <f>IF(OR(-6692.65664="",-6692.65664=0),"-",-6692.65664)</f>
        <v>-6692.65664</v>
      </c>
      <c r="C64" s="65">
        <f>IF(OR(-10084.17386="",-10084.17386=0),"-",-10084.17386)</f>
        <v>-10084.17386</v>
      </c>
      <c r="D64" s="71" t="s">
        <v>286</v>
      </c>
    </row>
    <row r="65" spans="1:4" ht="25.5">
      <c r="A65" s="22" t="s">
        <v>70</v>
      </c>
      <c r="B65" s="65">
        <f>IF(OR(-98963.60341="",-98963.60341=0),"-",-98963.60341)</f>
        <v>-98963.60341</v>
      </c>
      <c r="C65" s="65">
        <f>IF(OR(-128992.05364="",-128992.05364=0),"-",-128992.05364)</f>
        <v>-128992.05364</v>
      </c>
      <c r="D65" s="65">
        <f>IF(OR(-98963.60341="",-128992.05364="",-98963.60341=0,-128992.05364=0),"-",-128992.05364/-98963.60341*100)</f>
        <v>130.3429232518889</v>
      </c>
    </row>
    <row r="66" spans="1:4" ht="25.5">
      <c r="A66" s="22" t="s">
        <v>71</v>
      </c>
      <c r="B66" s="65">
        <f>IF(OR(-34575.74516="",-34575.74516=0),"-",-34575.74516)</f>
        <v>-34575.74516</v>
      </c>
      <c r="C66" s="65">
        <f>IF(OR(-43788.75992="",-43788.75992=0),"-",-43788.75992)</f>
        <v>-43788.75992</v>
      </c>
      <c r="D66" s="65">
        <f>IF(OR(-34575.74516="",-43788.75992="",-34575.74516=0,-43788.75992=0),"-",-43788.75992/-34575.74516*100)</f>
        <v>126.6458892422031</v>
      </c>
    </row>
    <row r="67" spans="1:4" ht="25.5">
      <c r="A67" s="22" t="s">
        <v>72</v>
      </c>
      <c r="B67" s="65">
        <f>IF(OR(-85622.82926="",-85622.82926=0),"-",-85622.82926)</f>
        <v>-85622.82926</v>
      </c>
      <c r="C67" s="65">
        <f>IF(OR(-119420.47216="",-119420.47216=0),"-",-119420.47216)</f>
        <v>-119420.47216</v>
      </c>
      <c r="D67" s="65">
        <f>IF(OR(-85622.82926="",-119420.47216="",-85622.82926=0,-119420.47216=0),"-",-119420.47216/-85622.82926*100)</f>
        <v>139.4727004376029</v>
      </c>
    </row>
    <row r="68" spans="1:4" ht="27.75" customHeight="1">
      <c r="A68" s="22" t="s">
        <v>295</v>
      </c>
      <c r="B68" s="65">
        <f>IF(OR(22606.89843="",22606.89843=0),"-",22606.89843)</f>
        <v>22606.89843</v>
      </c>
      <c r="C68" s="65">
        <f>IF(OR(70371.71384="",70371.71384=0),"-",70371.71384)</f>
        <v>70371.71384</v>
      </c>
      <c r="D68" s="71" t="s">
        <v>279</v>
      </c>
    </row>
    <row r="69" spans="1:4" ht="15.75">
      <c r="A69" s="22" t="s">
        <v>74</v>
      </c>
      <c r="B69" s="65">
        <f>IF(OR(-182701.85537="",-182701.85537=0),"-",-182701.85537)</f>
        <v>-182701.85537</v>
      </c>
      <c r="C69" s="65">
        <f>IF(OR(-232056.04546="",-232056.04546=0),"-",-232056.04546)</f>
        <v>-232056.04546</v>
      </c>
      <c r="D69" s="65">
        <f>IF(OR(-182701.85537="",-232056.04546="",-182701.85537=0,-232056.04546=0),"-",-232056.04546/-182701.85537*100)</f>
        <v>127.01351334941289</v>
      </c>
    </row>
    <row r="70" spans="1:4" ht="15.75">
      <c r="A70" s="22" t="s">
        <v>75</v>
      </c>
      <c r="B70" s="65">
        <f>IF(OR(13457.03071="",13457.03071=0),"-",13457.03071)</f>
        <v>13457.03071</v>
      </c>
      <c r="C70" s="65">
        <f>IF(OR(-3345.51692="",-3345.51692=0),"-",-3345.51692)</f>
        <v>-3345.51692</v>
      </c>
      <c r="D70" s="71" t="s">
        <v>22</v>
      </c>
    </row>
    <row r="71" spans="1:4" ht="15.75">
      <c r="A71" s="44" t="s">
        <v>76</v>
      </c>
      <c r="B71" s="63">
        <f>IF(23581.93234="","-",23581.93234)</f>
        <v>23581.93234</v>
      </c>
      <c r="C71" s="63">
        <f>IF(33804.18307="","-",33804.18307)</f>
        <v>33804.18307</v>
      </c>
      <c r="D71" s="63">
        <f>IF(23581.93234="","-",33804.18307/23581.93234*100)</f>
        <v>143.3478079006311</v>
      </c>
    </row>
    <row r="72" spans="1:4" ht="25.5">
      <c r="A72" s="22" t="s">
        <v>219</v>
      </c>
      <c r="B72" s="65">
        <f>IF(OR(-24587.69988="",-24587.69988=0),"-",-24587.69988)</f>
        <v>-24587.69988</v>
      </c>
      <c r="C72" s="65">
        <f>IF(OR(-29932.90651="",-29932.90651=0),"-",-29932.90651)</f>
        <v>-29932.90651</v>
      </c>
      <c r="D72" s="65">
        <f>IF(OR(-24587.69988="",-29932.90651="",-24587.69988=0,-29932.90651=0),"-",-29932.90651/-24587.69988*100)</f>
        <v>121.73935201782689</v>
      </c>
    </row>
    <row r="73" spans="1:4" ht="15.75">
      <c r="A73" s="22" t="s">
        <v>77</v>
      </c>
      <c r="B73" s="65">
        <f>IF(OR(71814.3783="",71814.3783=0),"-",71814.3783)</f>
        <v>71814.3783</v>
      </c>
      <c r="C73" s="65">
        <f>IF(OR(90434.90461="",90434.90461=0),"-",90434.90461)</f>
        <v>90434.90461</v>
      </c>
      <c r="D73" s="65">
        <f>IF(OR(71814.3783="",90434.90461="",71814.3783=0,90434.90461=0),"-",90434.90461/71814.3783*100)</f>
        <v>125.92868830836903</v>
      </c>
    </row>
    <row r="74" spans="1:4" ht="15.75">
      <c r="A74" s="22" t="s">
        <v>78</v>
      </c>
      <c r="B74" s="65">
        <f>IF(OR(-1901.62472="",-1901.62472=0),"-",-1901.62472)</f>
        <v>-1901.62472</v>
      </c>
      <c r="C74" s="65">
        <f>IF(OR(7506.2851="",7506.2851=0),"-",7506.2851)</f>
        <v>7506.2851</v>
      </c>
      <c r="D74" s="71" t="s">
        <v>22</v>
      </c>
    </row>
    <row r="75" spans="1:4" ht="15.75">
      <c r="A75" s="22" t="s">
        <v>79</v>
      </c>
      <c r="B75" s="65">
        <f>IF(OR(123203.77248="",123203.77248=0),"-",123203.77248)</f>
        <v>123203.77248</v>
      </c>
      <c r="C75" s="65">
        <f>IF(OR(140530.72738="",140530.72738=0),"-",140530.72738)</f>
        <v>140530.72738</v>
      </c>
      <c r="D75" s="65">
        <f>IF(OR(123203.77248="",140530.72738="",123203.77248=0,140530.72738=0),"-",140530.72738/123203.77248*100)</f>
        <v>114.06365612937115</v>
      </c>
    </row>
    <row r="76" spans="1:4" ht="15.75">
      <c r="A76" s="22" t="s">
        <v>80</v>
      </c>
      <c r="B76" s="65">
        <f>IF(OR(-7837.69785="",-7837.69785=0),"-",-7837.69785)</f>
        <v>-7837.69785</v>
      </c>
      <c r="C76" s="65">
        <f>IF(OR(-5074.99965="",-5074.99965=0),"-",-5074.99965)</f>
        <v>-5074.99965</v>
      </c>
      <c r="D76" s="65">
        <f>IF(OR(-7837.69785="",-5074.99965="",-7837.69785=0,-5074.99965=0),"-",-5074.99965/-7837.69785*100)</f>
        <v>64.75115202354988</v>
      </c>
    </row>
    <row r="77" spans="1:4" ht="15.75">
      <c r="A77" s="22" t="s">
        <v>296</v>
      </c>
      <c r="B77" s="65">
        <f>IF(OR(-20976.95796="",-20976.95796=0),"-",-20976.95796)</f>
        <v>-20976.95796</v>
      </c>
      <c r="C77" s="65">
        <f>IF(OR(-29554.68699="",-29554.68699=0),"-",-29554.68699)</f>
        <v>-29554.68699</v>
      </c>
      <c r="D77" s="65">
        <f>IF(OR(-20976.95796="",-29554.68699="",-20976.95796=0,-29554.68699=0),"-",-29554.68699/-20976.95796*100)</f>
        <v>140.8911961703717</v>
      </c>
    </row>
    <row r="78" spans="1:4" ht="25.5">
      <c r="A78" s="22" t="s">
        <v>82</v>
      </c>
      <c r="B78" s="65">
        <f>IF(OR(-5782.96661="",-5782.96661=0),"-",-5782.96661)</f>
        <v>-5782.96661</v>
      </c>
      <c r="C78" s="65">
        <f>IF(OR(-6961.90128="",-6961.90128=0),"-",-6961.90128)</f>
        <v>-6961.90128</v>
      </c>
      <c r="D78" s="65">
        <f>IF(OR(-5782.96661="",-6961.90128="",-5782.96661=0,-6961.90128=0),"-",-6961.90128/-5782.96661*100)</f>
        <v>120.38633022645102</v>
      </c>
    </row>
    <row r="79" spans="1:4" s="1" customFormat="1" ht="15.75">
      <c r="A79" s="22" t="s">
        <v>83</v>
      </c>
      <c r="B79" s="65">
        <f>IF(OR(-110349.27142="",-110349.27142=0),"-",-110349.27142)</f>
        <v>-110349.27142</v>
      </c>
      <c r="C79" s="65">
        <f>IF(OR(-133143.23959="",-133143.23959=0),"-",-133143.23959)</f>
        <v>-133143.23959</v>
      </c>
      <c r="D79" s="65">
        <f>IF(OR(-110349.27142="",-133143.23959="",-110349.27142=0,-133143.23959=0),"-",-133143.23959/-110349.27142*100)</f>
        <v>120.65620178246937</v>
      </c>
    </row>
    <row r="80" spans="1:4" s="1" customFormat="1" ht="15.75">
      <c r="A80" s="39" t="s">
        <v>202</v>
      </c>
      <c r="B80" s="74">
        <f>IF(-297.57044="","-",-297.57044)</f>
        <v>-297.57044</v>
      </c>
      <c r="C80" s="74">
        <f>IF(382.45574="","-",382.45574)</f>
        <v>382.45574</v>
      </c>
      <c r="D80" s="76" t="s">
        <v>22</v>
      </c>
    </row>
    <row r="81" spans="1:4" s="1" customFormat="1" ht="15.75">
      <c r="A81" s="77" t="s">
        <v>20</v>
      </c>
      <c r="B81" s="37"/>
      <c r="C81" s="37"/>
      <c r="D81" s="37"/>
    </row>
    <row r="82" spans="2:4" ht="15.75">
      <c r="B82" s="13"/>
      <c r="C82" s="23"/>
      <c r="D82" s="14"/>
    </row>
    <row r="83" spans="2:4" ht="15.75">
      <c r="B83" s="13"/>
      <c r="C83" s="13"/>
      <c r="D83" s="14"/>
    </row>
    <row r="84" spans="2:4" ht="15.75">
      <c r="B84" s="13"/>
      <c r="C84" s="13"/>
      <c r="D84" s="14"/>
    </row>
    <row r="85" ht="15.75">
      <c r="C85" s="13"/>
    </row>
  </sheetData>
  <sheetProtection/>
  <mergeCells count="5">
    <mergeCell ref="A1:D1"/>
    <mergeCell ref="A2:D2"/>
    <mergeCell ref="A4:A5"/>
    <mergeCell ref="D4:D5"/>
    <mergeCell ref="B4:C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TatianaGrosu</dc:creator>
  <cp:keywords/>
  <dc:description/>
  <cp:lastModifiedBy>Doina Vudvud</cp:lastModifiedBy>
  <cp:lastPrinted>2018-12-08T09:49:16Z</cp:lastPrinted>
  <dcterms:created xsi:type="dcterms:W3CDTF">2016-09-01T07:59:47Z</dcterms:created>
  <dcterms:modified xsi:type="dcterms:W3CDTF">2018-12-08T11:49:56Z</dcterms:modified>
  <cp:category/>
  <cp:version/>
  <cp:contentType/>
  <cp:contentStatus/>
</cp:coreProperties>
</file>