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Comerciala_Tari'!$3:$3</definedName>
    <definedName name="_xlnm.Print_Titles" localSheetId="7">'Balanta_Comerciala_Gr_Marf_CSCI'!$4:$4</definedName>
    <definedName name="_xlnm.Print_Titles" localSheetId="5">'Export_Grupe_Marfuri_CSCI'!$4:$5</definedName>
    <definedName name="_xlnm.Print_Titles" localSheetId="0">'Export_Tari'!$3:$4</definedName>
    <definedName name="_xlnm.Print_Titles" localSheetId="6">'Import_Grupe_Marfuri_CSCI'!$4:$5</definedName>
    <definedName name="_xlnm.Print_Titles" localSheetId="1">'Import_Tari'!$3:$4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<sst xmlns="http://schemas.openxmlformats.org/spreadsheetml/2006/main" count="822" uniqueCount="308">
  <si>
    <t>Structura, %</t>
  </si>
  <si>
    <t>Gradul de influenţă a ţărilor, grupelor de ţări  la creşterea (+),  scăderea (-) exporturilor, %</t>
  </si>
  <si>
    <t xml:space="preserve">      din care: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</si>
  <si>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</si>
  <si>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</si>
  <si>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</si>
  <si>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</si>
  <si>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</si>
  <si>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</si>
  <si>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</si>
  <si>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</si>
  <si>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</si>
  <si>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</si>
  <si>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</si>
  <si>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</si>
  <si>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</si>
  <si>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</si>
  <si>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</si>
  <si>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</si>
  <si>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¹ În preţuri curente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</si>
  <si>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</si>
  <si>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</si>
  <si>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</si>
  <si>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</si>
  <si>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</si>
  <si>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</si>
  <si>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</si>
  <si>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</si>
  <si>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</si>
  <si>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</si>
  <si>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</si>
  <si>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</si>
  <si>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</si>
  <si>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</si>
  <si>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</si>
  <si>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</si>
  <si>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</si>
  <si>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</si>
  <si>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</si>
  <si>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</si>
  <si>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</si>
  <si>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</si>
  <si>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</si>
  <si>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</si>
  <si>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</si>
  <si>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</si>
  <si>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</si>
  <si>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</si>
  <si>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</si>
  <si>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</si>
  <si>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</si>
  <si>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</si>
  <si>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</si>
  <si>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</si>
  <si>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</si>
  <si>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Îngrăşăminte minerale sau chimice</t>
  </si>
  <si>
    <t>Materiale plastice sub forme primare</t>
  </si>
  <si>
    <t>Materiale plastice prelucrate</t>
  </si>
  <si>
    <t>Alte materiale şi produse chimice</t>
  </si>
  <si>
    <t>Piele, altă piele şi blană prelucrate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</si>
  <si>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</si>
  <si>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</si>
  <si>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</si>
  <si>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</si>
  <si>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</si>
  <si>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</si>
  <si>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</si>
  <si>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</si>
  <si>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</si>
  <si>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</si>
  <si>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</si>
  <si>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</si>
  <si>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</si>
  <si>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</si>
  <si>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</si>
  <si>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</si>
  <si>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</si>
  <si>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</si>
  <si>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</si>
  <si>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</si>
  <si>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Alte articole diverse</t>
  </si>
  <si>
    <t>Coreea de Sud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</si>
  <si>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</si>
  <si>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</si>
  <si>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</si>
  <si>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</si>
  <si>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</si>
  <si>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</si>
  <si>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</si>
  <si>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</si>
  <si>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</si>
  <si>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</si>
  <si>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</si>
  <si>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</si>
  <si>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</si>
  <si>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</si>
  <si>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</si>
  <si>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</si>
  <si>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</si>
  <si>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</si>
  <si>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</si>
  <si>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</si>
  <si>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</si>
  <si>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</si>
  <si>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</si>
  <si>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</si>
  <si>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</si>
  <si>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</si>
  <si>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</si>
  <si>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</si>
  <si>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</si>
  <si>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</si>
  <si>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</si>
  <si>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</si>
  <si>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</si>
  <si>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</si>
  <si>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</si>
  <si>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</si>
  <si>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</si>
  <si>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</si>
  <si>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</si>
  <si>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</si>
  <si>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</si>
  <si>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</si>
  <si>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</si>
  <si>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</si>
  <si>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</si>
  <si>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</si>
  <si>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</si>
  <si>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</si>
  <si>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</si>
  <si>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</si>
  <si>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</si>
  <si>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</si>
  <si>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</si>
  <si>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</si>
  <si>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</si>
  <si>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</si>
  <si>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</si>
  <si>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</si>
  <si>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</si>
  <si>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2017¹</t>
  </si>
  <si>
    <t>Mongolia</t>
  </si>
  <si>
    <t>Peru</t>
  </si>
  <si>
    <t>Kenya</t>
  </si>
  <si>
    <t>mii dolari        SUA</t>
  </si>
  <si>
    <t>EXPORT - total</t>
  </si>
  <si>
    <t>Oman</t>
  </si>
  <si>
    <t>Ghana</t>
  </si>
  <si>
    <t>Albania</t>
  </si>
  <si>
    <t>de 1,8 ori</t>
  </si>
  <si>
    <t>Gradul de influenţă a grupelor de mărfuri  la creşterea (+),  scăderea (-) exporturilor, %</t>
  </si>
  <si>
    <t>Panama</t>
  </si>
  <si>
    <t>Qatar</t>
  </si>
  <si>
    <t xml:space="preserve">. </t>
  </si>
  <si>
    <t>Ponderea, %</t>
  </si>
  <si>
    <t>Swaziland</t>
  </si>
  <si>
    <t>de 2,3 ori</t>
  </si>
  <si>
    <t>Andorra</t>
  </si>
  <si>
    <t>2018¹</t>
  </si>
  <si>
    <t>Belize</t>
  </si>
  <si>
    <t>Angola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</si>
  <si>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</si>
  <si>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</si>
  <si>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</si>
  <si>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</si>
  <si>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</si>
  <si>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</si>
  <si>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</si>
  <si>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</si>
  <si>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</si>
  <si>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</si>
  <si>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Etiopia</t>
  </si>
  <si>
    <t>Senegal</t>
  </si>
  <si>
    <t>Mali</t>
  </si>
  <si>
    <t>Siria</t>
  </si>
  <si>
    <t>Kosovo</t>
  </si>
  <si>
    <t>San Marino</t>
  </si>
  <si>
    <t>Madagascar</t>
  </si>
  <si>
    <t>mii dolari SUA</t>
  </si>
  <si>
    <t>Benin</t>
  </si>
  <si>
    <r>
      <rPr>
        <b/>
        <sz val="12"/>
        <rFont val="Times New Roman"/>
        <family val="1"/>
      </rPr>
      <t xml:space="preserve">Anexa 1. 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</si>
  <si>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</si>
  <si>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</si>
  <si>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</si>
  <si>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</si>
  <si>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</rPr>
      <t xml:space="preserve">Anexa 8. 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</si>
  <si>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Libia</t>
  </si>
  <si>
    <t>Palau</t>
  </si>
  <si>
    <t>Guatemala</t>
  </si>
  <si>
    <t>Cuba</t>
  </si>
  <si>
    <t xml:space="preserve">   din care:</t>
  </si>
  <si>
    <t>Bunuri neclasificate în altă secţiune din CSCI</t>
  </si>
  <si>
    <t>de 1,6 ori</t>
  </si>
  <si>
    <t>România</t>
  </si>
  <si>
    <t>Republica Cehă</t>
  </si>
  <si>
    <t>Arabia Saudită</t>
  </si>
  <si>
    <t>IMPORT - total</t>
  </si>
  <si>
    <t>Noua Zeelandă</t>
  </si>
  <si>
    <t xml:space="preserve">Celelalte ţări ale lumii </t>
  </si>
  <si>
    <t xml:space="preserve">Ţările CSI </t>
  </si>
  <si>
    <t>Pastă de hârtie şi deşeuri de hârtie</t>
  </si>
  <si>
    <t>Alte uleiuri şi grăsimi animale sau vegetale prelucrate; ceară de origine animală sau vegetală, amestecuri sau preparate necomestibile din uleiuri animale sau vegetale</t>
  </si>
  <si>
    <t>Construcţii prefabricate; alte instalaţii şi accesorii pentru instalaţii sanitare, de încălzit şi de iluminat</t>
  </si>
  <si>
    <t>BALANŢA COMERCIALĂ - total, mii dolari SUA</t>
  </si>
  <si>
    <t xml:space="preserve">Țările CSI </t>
  </si>
  <si>
    <t xml:space="preserve">Celelalte țări ale lumii </t>
  </si>
  <si>
    <t xml:space="preserve">IMPORT - total      </t>
  </si>
  <si>
    <t>Celelalte țări ale lumii</t>
  </si>
  <si>
    <t>Țările Uniunii Europene (UE-28)</t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</si>
  <si>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 Importurile structurate pe moduri de transport a mărfurilor și grupe de ţări   </t>
    </r>
  </si>
  <si>
    <r>
      <rPr>
        <b/>
        <sz val="12"/>
        <rFont val="Times New Roman"/>
        <family val="1"/>
      </rPr>
      <t xml:space="preserve">Anexa 4.  </t>
    </r>
    <r>
      <rPr>
        <b/>
        <i/>
        <sz val="12"/>
        <rFont val="Times New Roman"/>
        <family val="1"/>
      </rPr>
      <t xml:space="preserve">Exporturile structurate pe moduri de transport a mărfurilor și  grupe de ţări </t>
    </r>
  </si>
  <si>
    <t>Haiti</t>
  </si>
  <si>
    <t>Kuwait</t>
  </si>
  <si>
    <t>Republica Yemen</t>
  </si>
  <si>
    <t>Fibre textile (cu excepţia lânii în fuior şi a lânii pieptănate) şi deşeurile lor (neprelucrate în fire sau ţesături)</t>
  </si>
  <si>
    <t>Minereuri metalifere şi deşeuri de metale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</si>
  <si>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</si>
  <si>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</si>
  <si>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</si>
  <si>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Insulele Virgine Britanice</t>
  </si>
  <si>
    <t>Insulele Faroe</t>
  </si>
  <si>
    <t>Insulele Folkland</t>
  </si>
  <si>
    <t>Cărbune, cocs şi brichete</t>
  </si>
  <si>
    <t>Uleiuri esenţiale, rezinoide şi substanţe parfumate, preparate pentru toaletă, produse pentru înfrumuseţare</t>
  </si>
  <si>
    <t>Ţările Uniunii Europene (UE-28)</t>
  </si>
  <si>
    <t>Celelalte ţări ale lumii</t>
  </si>
  <si>
    <t>Afganistan</t>
  </si>
  <si>
    <t>Liberia</t>
  </si>
  <si>
    <t>Burkina Faso</t>
  </si>
  <si>
    <t>de 1,5 ori</t>
  </si>
  <si>
    <t>Bauturi (alcoolice şi nealcoolice)</t>
  </si>
  <si>
    <t>Marfuri manufacturate, clasificate mai ales după materia primă</t>
  </si>
  <si>
    <t>Maşini şi aparate electrice şi părti ale acestora (inclusiv echivalente neelectrice ale maşinilor şi aparatelor de uz casnic)</t>
  </si>
  <si>
    <t>Instrumente şi aparate, profesionale, stiinţifice şi de control</t>
  </si>
  <si>
    <t>Zimbabwe</t>
  </si>
  <si>
    <t>Mauritius</t>
  </si>
  <si>
    <t>Republica Dominicană</t>
  </si>
  <si>
    <t>de 1,7 ori</t>
  </si>
  <si>
    <t>de 2,5 ori</t>
  </si>
  <si>
    <t>de 2,2 ori</t>
  </si>
  <si>
    <t>de 2,4 ori</t>
  </si>
  <si>
    <t>de 2,0 ori</t>
  </si>
  <si>
    <t>de 2,1 ori</t>
  </si>
  <si>
    <t>de 116,7 ori</t>
  </si>
  <si>
    <t>de 1,9 ori</t>
  </si>
  <si>
    <t>de 44,9 ori</t>
  </si>
  <si>
    <t>de 13,2 ori</t>
  </si>
  <si>
    <t>de 4,1 ori</t>
  </si>
  <si>
    <t>de 3,0 ori</t>
  </si>
  <si>
    <t>în % faţă de  2017¹</t>
  </si>
  <si>
    <t>în % faţă de 2017¹</t>
  </si>
  <si>
    <t>Regatul Unit al Marii Britanii şi Irlandei de Nord</t>
  </si>
  <si>
    <t>Franţa</t>
  </si>
  <si>
    <t>Croaţia</t>
  </si>
  <si>
    <t>Federaţia Rusă</t>
  </si>
  <si>
    <t>Kîrgîzstan</t>
  </si>
  <si>
    <t>Elveţia</t>
  </si>
  <si>
    <t>Sudan</t>
  </si>
  <si>
    <t>Bosnia şi Hertegovina</t>
  </si>
  <si>
    <t>Şri Lanka</t>
  </si>
  <si>
    <t>de 25,7 ori</t>
  </si>
  <si>
    <t>de 2,7 ori</t>
  </si>
  <si>
    <t>de 4,8 ori</t>
  </si>
  <si>
    <t>de 2,8 ori</t>
  </si>
  <si>
    <t>de 8,1 ori</t>
  </si>
  <si>
    <t>de 1670,3 ori</t>
  </si>
  <si>
    <t>de 7,1 ori</t>
  </si>
  <si>
    <t>de 64,0 ori</t>
  </si>
  <si>
    <t>de 23,9 ori</t>
  </si>
  <si>
    <t>de 1119,4 ori</t>
  </si>
  <si>
    <t>de 9,6 ori</t>
  </si>
  <si>
    <t>de 13,6 ori</t>
  </si>
  <si>
    <t>de 237,1 ori</t>
  </si>
  <si>
    <t>de 6,5 ori</t>
  </si>
  <si>
    <t>de 2377,9 ori</t>
  </si>
  <si>
    <t>de 3,5 ori</t>
  </si>
  <si>
    <t>de 3,2 ori</t>
  </si>
  <si>
    <t>de 5,4 ori</t>
  </si>
  <si>
    <t>de 14,0 ori</t>
  </si>
  <si>
    <t>de 5,1 ori</t>
  </si>
  <si>
    <t>de 5,3 ori</t>
  </si>
  <si>
    <t>de 9,7 ori</t>
  </si>
  <si>
    <t>Băuturi (alcoolice şi nealcoolice)</t>
  </si>
  <si>
    <t>Îngăşăminte naturale şi minerale naturale (exclusiv cărbune, petrol şi pietre preţioase)</t>
  </si>
  <si>
    <t>Produse chimice şi produse derivate nespecificate îin altă parte</t>
  </si>
  <si>
    <t>Maşini şi aparate electrice şi părţi ale acestora (inclusiv echivalente neelectrice ale maşinilor şi aparatelor de uz casnic)</t>
  </si>
  <si>
    <t>Mobilă si părţile ei</t>
  </si>
  <si>
    <t>Instrumente şi aparate, profesionale, ştiinţifice şi de control</t>
  </si>
  <si>
    <t xml:space="preserve"> de 2,5 ori</t>
  </si>
  <si>
    <t>Mărfuri manufacturate, clasificate mai ales după materia primă</t>
  </si>
  <si>
    <t>Maţini şi echipamente pentru transport</t>
  </si>
  <si>
    <t>Masini si aparate specializate pentru industriile specifice</t>
  </si>
  <si>
    <t>de 4,6 ori</t>
  </si>
  <si>
    <t>de 4,3 ori</t>
  </si>
  <si>
    <t>de 3,3 ori</t>
  </si>
  <si>
    <t xml:space="preserve"> 2018                               în % faţă de                     2017¹ </t>
  </si>
  <si>
    <t xml:space="preserve"> 2018                               în % faţă de                     2017¹</t>
  </si>
  <si>
    <t>de 3,4 ori</t>
  </si>
  <si>
    <t>de 8,9 ori</t>
  </si>
  <si>
    <t>de 9,2 ori</t>
  </si>
  <si>
    <t>Montenegro</t>
  </si>
  <si>
    <t>Gibraltar</t>
  </si>
  <si>
    <t>de 13,8 ori</t>
  </si>
  <si>
    <t>de 1094,6 ori</t>
  </si>
  <si>
    <t>de 26,2 ori</t>
  </si>
  <si>
    <t>de 12,1 ori</t>
  </si>
  <si>
    <t xml:space="preserve">EXPORT - total    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</si>
</sst>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</numFmts>
  <fonts count="70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Calibri"/>
      <family val="2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165" fontId="13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" fontId="15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38" fontId="13" fillId="0" borderId="13" xfId="0" applyNumberFormat="1" applyFont="1" applyFill="1" applyBorder="1" applyAlignment="1" applyProtection="1">
      <alignment horizontal="left" vertical="top" wrapText="1"/>
      <protection/>
    </xf>
    <xf numFmtId="166" fontId="15" fillId="0" borderId="0" xfId="0" applyNumberFormat="1" applyFont="1" applyAlignment="1">
      <alignment/>
    </xf>
    <xf numFmtId="38" fontId="11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top" wrapText="1"/>
    </xf>
    <xf numFmtId="38" fontId="13" fillId="0" borderId="0" xfId="0" applyNumberFormat="1" applyFont="1" applyFill="1" applyAlignment="1" applyProtection="1">
      <alignment horizontal="left" vertical="top" wrapText="1"/>
      <protection/>
    </xf>
    <xf numFmtId="4" fontId="65" fillId="0" borderId="0" xfId="0" applyNumberFormat="1" applyFont="1" applyBorder="1" applyAlignment="1">
      <alignment horizontal="right" vertical="top" wrapText="1"/>
    </xf>
    <xf numFmtId="4" fontId="66" fillId="0" borderId="0" xfId="0" applyNumberFormat="1" applyFont="1" applyFill="1" applyAlignment="1" applyProtection="1">
      <alignment horizontal="right" vertical="top" wrapText="1"/>
      <protection/>
    </xf>
    <xf numFmtId="4" fontId="65" fillId="0" borderId="0" xfId="0" applyNumberFormat="1" applyFont="1" applyAlignment="1">
      <alignment horizontal="right" vertical="top" wrapText="1"/>
    </xf>
    <xf numFmtId="4" fontId="66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4" fontId="66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Alignment="1">
      <alignment horizontal="left" vertical="top" wrapText="1"/>
    </xf>
    <xf numFmtId="4" fontId="66" fillId="0" borderId="0" xfId="0" applyNumberFormat="1" applyFont="1" applyAlignment="1">
      <alignment horizontal="right" vertical="top" wrapText="1" indent="1"/>
    </xf>
    <xf numFmtId="4" fontId="3" fillId="0" borderId="0" xfId="0" applyNumberFormat="1" applyFont="1" applyAlignment="1">
      <alignment horizontal="left" vertical="top" wrapText="1"/>
    </xf>
    <xf numFmtId="4" fontId="13" fillId="0" borderId="0" xfId="0" applyNumberFormat="1" applyFont="1" applyFill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left" vertical="top" wrapText="1"/>
      <protection/>
    </xf>
    <xf numFmtId="4" fontId="67" fillId="0" borderId="0" xfId="0" applyNumberFormat="1" applyFont="1" applyFill="1" applyBorder="1" applyAlignment="1" applyProtection="1">
      <alignment horizontal="right" vertical="top" wrapText="1"/>
      <protection/>
    </xf>
    <xf numFmtId="38" fontId="11" fillId="0" borderId="13" xfId="0" applyNumberFormat="1" applyFont="1" applyFill="1" applyBorder="1" applyAlignment="1" applyProtection="1">
      <alignment horizontal="left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38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4" fontId="68" fillId="0" borderId="0" xfId="0" applyNumberFormat="1" applyFont="1" applyAlignment="1">
      <alignment horizontal="right" vertical="top" wrapText="1"/>
    </xf>
    <xf numFmtId="4" fontId="66" fillId="0" borderId="0" xfId="0" applyNumberFormat="1" applyFont="1" applyFill="1" applyBorder="1" applyAlignment="1" applyProtection="1">
      <alignment horizontal="right" vertical="top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3" fillId="0" borderId="0" xfId="0" applyNumberFormat="1" applyFont="1" applyFill="1" applyAlignment="1" applyProtection="1">
      <alignment horizontal="right" vertical="top" wrapText="1"/>
      <protection/>
    </xf>
    <xf numFmtId="4" fontId="11" fillId="0" borderId="0" xfId="0" applyNumberFormat="1" applyFont="1" applyFill="1" applyAlignment="1" applyProtection="1">
      <alignment horizontal="righ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 wrapText="1"/>
      <protection/>
    </xf>
    <xf numFmtId="4" fontId="14" fillId="0" borderId="14" xfId="0" applyNumberFormat="1" applyFont="1" applyFill="1" applyBorder="1" applyAlignment="1" applyProtection="1">
      <alignment horizontal="righ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top" wrapText="1"/>
      <protection/>
    </xf>
    <xf numFmtId="4" fontId="13" fillId="0" borderId="13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Border="1" applyAlignment="1">
      <alignment/>
    </xf>
    <xf numFmtId="4" fontId="11" fillId="0" borderId="0" xfId="0" applyNumberFormat="1" applyFont="1" applyAlignment="1">
      <alignment horizontal="right" vertical="top" wrapText="1"/>
    </xf>
    <xf numFmtId="4" fontId="11" fillId="0" borderId="0" xfId="0" applyNumberFormat="1" applyFont="1" applyBorder="1" applyAlignment="1">
      <alignment horizontal="right" vertical="top" wrapText="1"/>
    </xf>
    <xf numFmtId="4" fontId="11" fillId="0" borderId="13" xfId="0" applyNumberFormat="1" applyFont="1" applyBorder="1" applyAlignment="1">
      <alignment horizontal="right" vertical="top" wrapText="1"/>
    </xf>
    <xf numFmtId="4" fontId="14" fillId="0" borderId="0" xfId="0" applyNumberFormat="1" applyFont="1" applyFill="1" applyAlignment="1" applyProtection="1">
      <alignment horizontal="right" vertical="top" wrapText="1"/>
      <protection/>
    </xf>
    <xf numFmtId="4" fontId="69" fillId="0" borderId="0" xfId="0" applyNumberFormat="1" applyFont="1" applyFill="1" applyAlignment="1" applyProtection="1">
      <alignment horizontal="right" vertical="top" wrapText="1"/>
      <protection/>
    </xf>
    <xf numFmtId="0" fontId="19" fillId="0" borderId="0" xfId="0" applyFont="1" applyAlignment="1">
      <alignment horizontal="center"/>
    </xf>
    <xf numFmtId="0" fontId="11" fillId="0" borderId="17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3"/>
  <sheetViews>
    <sheetView tabSelected="1" zoomScalePageLayoutView="0" workbookViewId="0" topLeftCell="A1">
      <selection activeCell="L4" sqref="L4"/>
    </sheetView>
  </sheetViews>
  <sheetFormatPr defaultColWidth="9.00390625" defaultRowHeight="15.75"/>
  <cols>
    <col min="1" max="1" width="26.50390625" style="10" customWidth="1"/>
    <col min="2" max="2" width="12.875" style="10" customWidth="1"/>
    <col min="3" max="3" width="12.50390625" style="10" customWidth="1"/>
    <col min="4" max="4" width="8.50390625" style="10" customWidth="1"/>
    <col min="5" max="5" width="8.25390625" style="10" customWidth="1"/>
    <col min="6" max="6" width="10.00390625" style="10" customWidth="1"/>
    <col min="7" max="7" width="10.125" style="10" customWidth="1"/>
  </cols>
  <sheetData>
    <row r="1" spans="1:7" ht="15.75">
      <c r="A1" s="83" t="s">
        <v>181</v>
      </c>
      <c r="B1" s="83"/>
      <c r="C1" s="83"/>
      <c r="D1" s="83"/>
      <c r="E1" s="83"/>
      <c r="F1" s="83"/>
      <c r="G1" s="83"/>
    </row>
    <row r="3" spans="1:7" ht="56.25" customHeight="1">
      <c r="A3" s="84"/>
      <c r="B3" s="86">
        <v>2018</v>
      </c>
      <c r="C3" s="87"/>
      <c r="D3" s="86" t="s">
        <v>155</v>
      </c>
      <c r="E3" s="87"/>
      <c r="F3" s="88" t="s">
        <v>1</v>
      </c>
      <c r="G3" s="89"/>
    </row>
    <row r="4" spans="1:7" ht="25.5">
      <c r="A4" s="85"/>
      <c r="B4" s="64" t="s">
        <v>145</v>
      </c>
      <c r="C4" s="64" t="s">
        <v>250</v>
      </c>
      <c r="D4" s="27">
        <v>2017</v>
      </c>
      <c r="E4" s="27">
        <v>2018</v>
      </c>
      <c r="F4" s="27" t="s">
        <v>141</v>
      </c>
      <c r="G4" s="23" t="s">
        <v>159</v>
      </c>
    </row>
    <row r="5" spans="1:7" ht="15.75" customHeight="1">
      <c r="A5" s="56" t="s">
        <v>146</v>
      </c>
      <c r="B5" s="74">
        <f>IF(2706901.80962="","-",2706901.80962)</f>
        <v>2706901.80962</v>
      </c>
      <c r="C5" s="74">
        <f>IF(2424972.02699="","-",2706901.80962/2424972.02699*100)</f>
        <v>111.62610452789204</v>
      </c>
      <c r="D5" s="74">
        <v>100</v>
      </c>
      <c r="E5" s="74">
        <v>100</v>
      </c>
      <c r="F5" s="74">
        <f>IF(2044610.75747="","-",(2424972.02699-2044610.75747)/2044610.75747*100)</f>
        <v>18.6031139731779</v>
      </c>
      <c r="G5" s="74">
        <f>IF(2424972.02699="","-",(2706901.80962-2424972.02699)/2424972.02699*100)</f>
        <v>11.626104527892041</v>
      </c>
    </row>
    <row r="6" spans="1:7" ht="13.5" customHeight="1">
      <c r="A6" s="47" t="s">
        <v>2</v>
      </c>
      <c r="B6" s="43"/>
      <c r="C6" s="48"/>
      <c r="D6" s="46"/>
      <c r="E6" s="46"/>
      <c r="F6" s="46"/>
      <c r="G6" s="46"/>
    </row>
    <row r="7" spans="1:7" ht="15.75" customHeight="1">
      <c r="A7" s="52" t="s">
        <v>225</v>
      </c>
      <c r="B7" s="71">
        <f>IF(1862127.50047="","-",1862127.50047)</f>
        <v>1862127.50047</v>
      </c>
      <c r="C7" s="71">
        <f>IF(1596839.59621="","-",1862127.50047/1596839.59621*100)</f>
        <v>116.61330949518313</v>
      </c>
      <c r="D7" s="71">
        <f>IF(1596839.59621="","-",1596839.59621/2424972.02699*100)</f>
        <v>65.84981510867486</v>
      </c>
      <c r="E7" s="71">
        <f>IF(1862127.50047="","-",1862127.50047/2706901.80962*100)</f>
        <v>68.79183773316879</v>
      </c>
      <c r="F7" s="71">
        <f>IF(2044610.75747="","-",(1596839.59621-1331898.45269)/2044610.75747*100)</f>
        <v>12.958023552993438</v>
      </c>
      <c r="G7" s="71">
        <f>IF(2424972.02699="","-",(1862127.50047-1596839.59621)/2424972.02699*100)</f>
        <v>10.93983358601002</v>
      </c>
    </row>
    <row r="8" spans="1:7" s="17" customFormat="1" ht="15.75">
      <c r="A8" s="21" t="s">
        <v>194</v>
      </c>
      <c r="B8" s="72">
        <f>IF(792306.86273="","-",792306.86273)</f>
        <v>792306.86273</v>
      </c>
      <c r="C8" s="72">
        <f>IF(OR(600607.99038="",792306.86273=""),"-",792306.86273/600607.99038*100)</f>
        <v>131.91746953428202</v>
      </c>
      <c r="D8" s="72">
        <f>IF(600607.99038="","-",600607.99038/2424972.02699*100)</f>
        <v>24.76762551053034</v>
      </c>
      <c r="E8" s="72">
        <f>IF(792306.86273="","-",792306.86273/2706901.80962*100)</f>
        <v>29.269878202239834</v>
      </c>
      <c r="F8" s="72">
        <f>IF(OR(2044610.75747="",513034.70724="",600607.99038=""),"-",(600607.99038-513034.70724)/2044610.75747*100)</f>
        <v>4.2831273786489845</v>
      </c>
      <c r="G8" s="72">
        <f>IF(OR(2424972.02699="",792306.86273="",600607.99038=""),"-",(792306.86273-600607.99038)/2424972.02699*100)</f>
        <v>7.905199326688588</v>
      </c>
    </row>
    <row r="9" spans="1:7" s="17" customFormat="1" ht="15.75">
      <c r="A9" s="21" t="s">
        <v>3</v>
      </c>
      <c r="B9" s="72">
        <f>IF(309657.64035="","-",309657.64035)</f>
        <v>309657.64035</v>
      </c>
      <c r="C9" s="72">
        <f>IF(OR(236025.89038="",309657.64035=""),"-",309657.64035/236025.89038*100)</f>
        <v>131.19647164616282</v>
      </c>
      <c r="D9" s="72">
        <f>IF(236025.89038="","-",236025.89038/2424972.02699*100)</f>
        <v>9.733138681726052</v>
      </c>
      <c r="E9" s="72">
        <f>IF(309657.64035="","-",309657.64035/2706901.80962*100)</f>
        <v>11.439559397740782</v>
      </c>
      <c r="F9" s="72">
        <f>IF(OR(2044610.75747="",197804.67892="",236025.89038=""),"-",(236025.89038-197804.67892)/2044610.75747*100)</f>
        <v>1.8693637075105136</v>
      </c>
      <c r="G9" s="72">
        <f>IF(OR(2424972.02699="",309657.64035="",236025.89038=""),"-",(309657.64035-236025.89038)/2424972.02699*100)</f>
        <v>3.0363958491263716</v>
      </c>
    </row>
    <row r="10" spans="1:7" s="17" customFormat="1" ht="15.75">
      <c r="A10" s="21" t="s">
        <v>4</v>
      </c>
      <c r="B10" s="72">
        <f>IF(219902.81725="","-",219902.81725)</f>
        <v>219902.81725</v>
      </c>
      <c r="C10" s="72">
        <f>IF(OR(166125.33701="",219902.81725=""),"-",219902.81725/166125.33701*100)</f>
        <v>132.3716304856994</v>
      </c>
      <c r="D10" s="72">
        <f>IF(166125.33701="","-",166125.33701/2424972.02699*100)</f>
        <v>6.8506083847987025</v>
      </c>
      <c r="E10" s="72">
        <f>IF(219902.81725="","-",219902.81725/2706901.80962*100)</f>
        <v>8.12378256457224</v>
      </c>
      <c r="F10" s="72">
        <f>IF(OR(2044610.75747="",126623.90039="",166125.33701=""),"-",(166125.33701-126623.90039)/2044610.75747*100)</f>
        <v>1.931978322802089</v>
      </c>
      <c r="G10" s="72">
        <f>IF(OR(2424972.02699="",219902.81725="",166125.33701=""),"-",(219902.81725-166125.33701)/2424972.02699*100)</f>
        <v>2.217653632349375</v>
      </c>
    </row>
    <row r="11" spans="1:7" s="17" customFormat="1" ht="15.75">
      <c r="A11" s="21" t="s">
        <v>5</v>
      </c>
      <c r="B11" s="72">
        <f>IF(98100.67916="","-",98100.67916)</f>
        <v>98100.67916</v>
      </c>
      <c r="C11" s="72">
        <f>IF(OR(102922.8802="",98100.67916=""),"-",98100.67916/102922.8802*100)</f>
        <v>95.31474339755214</v>
      </c>
      <c r="D11" s="72">
        <f>IF(102922.8802="","-",102922.8802/2424972.02699*100)</f>
        <v>4.244291441487396</v>
      </c>
      <c r="E11" s="72">
        <f>IF(98100.67916="","-",98100.67916/2706901.80962*100)</f>
        <v>3.6240944836403783</v>
      </c>
      <c r="F11" s="72">
        <f>IF(OR(2044610.75747="",73408.25711="",102922.8802=""),"-",(102922.8802-73408.25711)/2044610.75747*100)</f>
        <v>1.4435326128539678</v>
      </c>
      <c r="G11" s="72">
        <f>IF(OR(2424972.02699="",98100.67916="",102922.8802=""),"-",(98100.67916-102922.8802)/2424972.02699*100)</f>
        <v>-0.1988559449894176</v>
      </c>
    </row>
    <row r="12" spans="1:7" s="17" customFormat="1" ht="25.5">
      <c r="A12" s="21" t="s">
        <v>252</v>
      </c>
      <c r="B12" s="72">
        <f>IF(78816.81023="","-",78816.81023)</f>
        <v>78816.81023</v>
      </c>
      <c r="C12" s="72">
        <f>IF(OR(136149.05672="",78816.81023=""),"-",78816.81023/136149.05672*100)</f>
        <v>57.890089089704276</v>
      </c>
      <c r="D12" s="72">
        <f>IF(136149.05672="","-",136149.05672/2424972.02699*100)</f>
        <v>5.614458855799471</v>
      </c>
      <c r="E12" s="72">
        <f>IF(78816.81023="","-",78816.81023/2706901.80962*100)</f>
        <v>2.91169816170999</v>
      </c>
      <c r="F12" s="72">
        <f>IF(OR(2044610.75747="",114311.1499="",136149.05672=""),"-",(136149.05672-114311.1499)/2044610.75747*100)</f>
        <v>1.0680715994579917</v>
      </c>
      <c r="G12" s="72">
        <f>IF(OR(2424972.02699="",78816.81023="",136149.05672=""),"-",(78816.81023-136149.05672)/2424972.02699*100)</f>
        <v>-2.3642436222723657</v>
      </c>
    </row>
    <row r="13" spans="1:7" s="17" customFormat="1" ht="15.75">
      <c r="A13" s="21" t="s">
        <v>6</v>
      </c>
      <c r="B13" s="72">
        <f>IF(48422.27168="","-",48422.27168)</f>
        <v>48422.27168</v>
      </c>
      <c r="C13" s="72">
        <f>IF(OR(78127.71864="",48422.27168=""),"-",48422.27168/78127.71864*100)</f>
        <v>61.97835099105102</v>
      </c>
      <c r="D13" s="72">
        <f>IF(78127.71864="","-",78127.71864/2424972.02699*100)</f>
        <v>3.221798757694378</v>
      </c>
      <c r="E13" s="72">
        <f>IF(48422.27168="","-",48422.27168/2706901.80962*100)</f>
        <v>1.788844778481182</v>
      </c>
      <c r="F13" s="72">
        <f>IF(OR(2044610.75747="",76015.91664="",78127.71864=""),"-",(78127.71864-76015.91664)/2044610.75747*100)</f>
        <v>0.10328626083397668</v>
      </c>
      <c r="G13" s="72">
        <f>IF(OR(2424972.02699="",48422.27168="",78127.71864=""),"-",(48422.27168-78127.71864)/2424972.02699*100)</f>
        <v>-1.224981015425235</v>
      </c>
    </row>
    <row r="14" spans="1:7" s="19" customFormat="1" ht="15.75">
      <c r="A14" s="21" t="s">
        <v>253</v>
      </c>
      <c r="B14" s="72">
        <f>IF(48358.65056="","-",48358.65056)</f>
        <v>48358.65056</v>
      </c>
      <c r="C14" s="72">
        <f>IF(OR(50832.82295="",48358.65056=""),"-",48358.65056/50832.82295*100)</f>
        <v>95.13272675721034</v>
      </c>
      <c r="D14" s="72">
        <f>IF(50832.82295="","-",50832.82295/2424972.02699*100)</f>
        <v>2.0962230650180453</v>
      </c>
      <c r="E14" s="72">
        <f>IF(48358.65056="","-",48358.65056/2706901.80962*100)</f>
        <v>1.7864944486770535</v>
      </c>
      <c r="F14" s="72">
        <f>IF(OR(2044610.75747="",44746.08607="",50832.82295=""),"-",(50832.82295-44746.08607)/2044610.75747*100)</f>
        <v>0.29769660840148016</v>
      </c>
      <c r="G14" s="72">
        <f>IF(OR(2424972.02699="",48358.65056="",50832.82295=""),"-",(48358.65056-50832.82295)/2424972.02699*100)</f>
        <v>-0.10202890435280895</v>
      </c>
    </row>
    <row r="15" spans="1:7" s="17" customFormat="1" ht="15.75">
      <c r="A15" s="21" t="s">
        <v>195</v>
      </c>
      <c r="B15" s="72">
        <f>IF(42723.27087="","-",42723.27087)</f>
        <v>42723.27087</v>
      </c>
      <c r="C15" s="72">
        <f>IF(OR(29881.34593="",42723.27087=""),"-",42723.27087/29881.34593*100)</f>
        <v>142.97639393514427</v>
      </c>
      <c r="D15" s="72">
        <f>IF(29881.34593="","-",29881.34593/2424972.02699*100)</f>
        <v>1.2322346648711764</v>
      </c>
      <c r="E15" s="72">
        <f>IF(42723.27087="","-",42723.27087/2706901.80962*100)</f>
        <v>1.5783088517716708</v>
      </c>
      <c r="F15" s="72">
        <f>IF(OR(2044610.75747="",28286.10775="",29881.34593=""),"-",(29881.34593-28286.10775)/2044610.75747*100)</f>
        <v>0.07802160749530375</v>
      </c>
      <c r="G15" s="72">
        <f>IF(OR(2424972.02699="",42723.27087="",29881.34593=""),"-",(42723.27087-29881.34593)/2424972.02699*100)</f>
        <v>0.5295700237804416</v>
      </c>
    </row>
    <row r="16" spans="1:7" s="17" customFormat="1" ht="15.75">
      <c r="A16" s="21" t="s">
        <v>7</v>
      </c>
      <c r="B16" s="72">
        <f>IF(39362.85908="","-",39362.85908)</f>
        <v>39362.85908</v>
      </c>
      <c r="C16" s="72">
        <f>IF(OR(40861.22697="",39362.85908=""),"-",39362.85908/40861.22697*100)</f>
        <v>96.33303255651111</v>
      </c>
      <c r="D16" s="72">
        <f>IF(40861.22697="","-",40861.22697/2424972.02699*100)</f>
        <v>1.6850184874387626</v>
      </c>
      <c r="E16" s="72">
        <f>IF(39362.85908="","-",39362.85908/2706901.80962*100)</f>
        <v>1.4541664917474726</v>
      </c>
      <c r="F16" s="72">
        <f>IF(OR(2044610.75747="",27232.32505="",40861.22697=""),"-",(40861.22697-27232.32505)/2044610.75747*100)</f>
        <v>0.6665768469723009</v>
      </c>
      <c r="G16" s="72">
        <f>IF(OR(2424972.02699="",39362.85908="",40861.22697=""),"-",(39362.85908-40861.22697)/2424972.02699*100)</f>
        <v>-0.061789079351148336</v>
      </c>
    </row>
    <row r="17" spans="1:7" s="17" customFormat="1" ht="15.75">
      <c r="A17" s="21" t="s">
        <v>9</v>
      </c>
      <c r="B17" s="72">
        <f>IF(37627.89775="","-",37627.89775)</f>
        <v>37627.89775</v>
      </c>
      <c r="C17" s="72">
        <f>IF(OR(27854.53346="",37627.89775=""),"-",37627.89775/27854.53346*100)</f>
        <v>135.08715844777964</v>
      </c>
      <c r="D17" s="72">
        <f>IF(27854.53346="","-",27854.53346/2424972.02699*100)</f>
        <v>1.1486538050739692</v>
      </c>
      <c r="E17" s="72">
        <f>IF(37627.89775="","-",37627.89775/2706901.80962*100)</f>
        <v>1.3900725034160832</v>
      </c>
      <c r="F17" s="72">
        <f>IF(OR(2044610.75747="",26898.00139="",27854.53346=""),"-",(27854.53346-26898.00139)/2044610.75747*100)</f>
        <v>0.046783088981866144</v>
      </c>
      <c r="G17" s="72">
        <f>IF(OR(2424972.02699="",37627.89775="",27854.53346=""),"-",(37627.89775-27854.53346)/2424972.02699*100)</f>
        <v>0.4030299806027536</v>
      </c>
    </row>
    <row r="18" spans="1:7" s="17" customFormat="1" ht="15.75">
      <c r="A18" s="21" t="s">
        <v>8</v>
      </c>
      <c r="B18" s="72">
        <f>IF(37442.38178="","-",37442.38178)</f>
        <v>37442.38178</v>
      </c>
      <c r="C18" s="72">
        <f>IF(OR(29492.2928="",37442.38178=""),"-",37442.38178/29492.2928*100)</f>
        <v>126.95649685127228</v>
      </c>
      <c r="D18" s="72">
        <f>IF(29492.2928="","-",29492.2928/2424972.02699*100)</f>
        <v>1.2161910517626608</v>
      </c>
      <c r="E18" s="72">
        <f>IF(37442.38178="","-",37442.38178/2706901.80962*100)</f>
        <v>1.3832190605117014</v>
      </c>
      <c r="F18" s="72">
        <f>IF(OR(2044610.75747="",29494.4867="",29492.2928=""),"-",(29492.2928-29494.4867)/2044610.75747*100)</f>
        <v>-0.00010730159723490656</v>
      </c>
      <c r="G18" s="72">
        <f>IF(OR(2424972.02699="",37442.38178="",29492.2928=""),"-",(37442.38178-29492.2928)/2424972.02699*100)</f>
        <v>0.32784250257385705</v>
      </c>
    </row>
    <row r="19" spans="1:9" s="17" customFormat="1" ht="15.75">
      <c r="A19" s="21" t="s">
        <v>84</v>
      </c>
      <c r="B19" s="72">
        <f>IF(25556.29445="","-",25556.29445)</f>
        <v>25556.29445</v>
      </c>
      <c r="C19" s="72">
        <f>IF(OR(27939.42992="",25556.29445=""),"-",25556.29445/27939.42992*100)</f>
        <v>91.47035040863855</v>
      </c>
      <c r="D19" s="72">
        <f>IF(27939.42992="","-",27939.42992/2424972.02699*100)</f>
        <v>1.1521547304065134</v>
      </c>
      <c r="E19" s="72">
        <f>IF(25556.29445="","-",25556.29445/2706901.80962*100)</f>
        <v>0.9441160502821357</v>
      </c>
      <c r="F19" s="72">
        <f>IF(OR(2044610.75747="",18796.54173="",27939.42992=""),"-",(27939.42992-18796.54173)/2044610.75747*100)</f>
        <v>0.4471701108192056</v>
      </c>
      <c r="G19" s="72">
        <f>IF(OR(2424972.02699="",25556.29445="",27939.42992=""),"-",(25556.29445-27939.42992)/2424972.02699*100)</f>
        <v>-0.09827476125397072</v>
      </c>
      <c r="I19" s="17" t="s">
        <v>169</v>
      </c>
    </row>
    <row r="20" spans="1:7" s="17" customFormat="1" ht="15.75">
      <c r="A20" s="21" t="s">
        <v>88</v>
      </c>
      <c r="B20" s="72">
        <f>IF(17526.75276="","-",17526.75276)</f>
        <v>17526.75276</v>
      </c>
      <c r="C20" s="72" t="s">
        <v>238</v>
      </c>
      <c r="D20" s="72">
        <f>IF(10046.05284="","-",10046.05284/2424972.02699*100)</f>
        <v>0.414274998976779</v>
      </c>
      <c r="E20" s="72">
        <f>IF(17526.75276="","-",17526.75276/2706901.80962*100)</f>
        <v>0.6474838761314522</v>
      </c>
      <c r="F20" s="72">
        <f>IF(OR(2044610.75747="",6830.29523="",10046.05284=""),"-",(10046.05284-6830.29523)/2044610.75747*100)</f>
        <v>0.15727969728473778</v>
      </c>
      <c r="G20" s="72">
        <f>IF(OR(2424972.02699="",17526.75276="",10046.05284=""),"-",(17526.75276-10046.05284)/2424972.02699*100)</f>
        <v>0.3084860293949629</v>
      </c>
    </row>
    <row r="21" spans="1:7" s="10" customFormat="1" ht="15.75">
      <c r="A21" s="21" t="s">
        <v>85</v>
      </c>
      <c r="B21" s="72">
        <f>IF(14755.67927="","-",14755.67927)</f>
        <v>14755.67927</v>
      </c>
      <c r="C21" s="72">
        <f>IF(OR(12930.65402="",14755.67927=""),"-",14755.67927/12930.65402*100)</f>
        <v>114.11394386685478</v>
      </c>
      <c r="D21" s="72">
        <f>IF(12930.65402="","-",12930.65402/2424972.02699*100)</f>
        <v>0.5332289971216778</v>
      </c>
      <c r="E21" s="72">
        <f>IF(14755.67927="","-",14755.67927/2706901.80962*100)</f>
        <v>0.5451132071935565</v>
      </c>
      <c r="F21" s="72">
        <f>IF(OR(2044610.75747="",9859.47639="",12930.65402=""),"-",(12930.65402-9859.47639)/2044610.75747*100)</f>
        <v>0.15020842567610634</v>
      </c>
      <c r="G21" s="72">
        <f>IF(OR(2424972.02699="",14755.67927="",12930.65402=""),"-",(14755.67927-12930.65402)/2424972.02699*100)</f>
        <v>0.07525964133554629</v>
      </c>
    </row>
    <row r="22" spans="1:7" s="10" customFormat="1" ht="15.75">
      <c r="A22" s="21" t="s">
        <v>91</v>
      </c>
      <c r="B22" s="72">
        <f>IF(10403.68991="","-",10403.68991)</f>
        <v>10403.68991</v>
      </c>
      <c r="C22" s="72">
        <f>IF(OR(7802.82751="",10403.68991=""),"-",10403.68991/7802.82751*100)</f>
        <v>133.33230673966287</v>
      </c>
      <c r="D22" s="72">
        <f>IF(7802.82751="","-",7802.82751/2424972.02699*100)</f>
        <v>0.3217697945854357</v>
      </c>
      <c r="E22" s="72">
        <f>IF(10403.68991="","-",10403.68991/2706901.80962*100)</f>
        <v>0.3843393902588764</v>
      </c>
      <c r="F22" s="72">
        <f>IF(OR(2044610.75747="",3744.68132="",7802.82751=""),"-",(7802.82751-3744.68132)/2044610.75747*100)</f>
        <v>0.19848013491925218</v>
      </c>
      <c r="G22" s="72">
        <f>IF(OR(2424972.02699="",10403.68991="",7802.82751=""),"-",(10403.68991-7802.82751)/2424972.02699*100)</f>
        <v>0.10725329492680058</v>
      </c>
    </row>
    <row r="23" spans="1:7" s="17" customFormat="1" ht="15.75">
      <c r="A23" s="21" t="s">
        <v>95</v>
      </c>
      <c r="B23" s="72">
        <f>IF(9375.33506="","-",9375.33506)</f>
        <v>9375.33506</v>
      </c>
      <c r="C23" s="72" t="s">
        <v>193</v>
      </c>
      <c r="D23" s="72">
        <f>IF(5732.2128="","-",5732.2128/2424972.02699*100)</f>
        <v>0.2363826360139551</v>
      </c>
      <c r="E23" s="72">
        <f>IF(9375.33506="","-",9375.33506/2706901.80962*100)</f>
        <v>0.3463492848791633</v>
      </c>
      <c r="F23" s="72">
        <f>IF(OR(2044610.75747="",5465.9262="",5732.2128=""),"-",(5732.2128-5465.9262)/2044610.75747*100)</f>
        <v>0.013023828571141004</v>
      </c>
      <c r="G23" s="72">
        <f>IF(OR(2424972.02699="",9375.33506="",5732.2128=""),"-",(9375.33506-5732.2128)/2424972.02699*100)</f>
        <v>0.1502335787568663</v>
      </c>
    </row>
    <row r="24" spans="1:7" s="17" customFormat="1" ht="15.75">
      <c r="A24" s="21" t="s">
        <v>87</v>
      </c>
      <c r="B24" s="72">
        <f>IF(9005.66065="","-",9005.66065)</f>
        <v>9005.66065</v>
      </c>
      <c r="C24" s="72">
        <f>IF(OR(9080.02737="",9005.66065=""),"-",9005.66065/9080.02737*100)</f>
        <v>99.18098572868068</v>
      </c>
      <c r="D24" s="72">
        <f>IF(9080.02737="","-",9080.02737/2424972.02699*100)</f>
        <v>0.3744384375959419</v>
      </c>
      <c r="E24" s="72">
        <f>IF(9005.66065="","-",9005.66065/2706901.80962*100)</f>
        <v>0.3326925497627944</v>
      </c>
      <c r="F24" s="72">
        <f>IF(OR(2044610.75747="",7538.86657="",9080.02737=""),"-",(9080.02737-7538.86657)/2044610.75747*100)</f>
        <v>0.07537673341340681</v>
      </c>
      <c r="G24" s="72">
        <f>IF(OR(2424972.02699="",9005.66065="",9080.02737=""),"-",(9005.66065-9080.02737)/2424972.02699*100)</f>
        <v>-0.0030667042412158368</v>
      </c>
    </row>
    <row r="25" spans="1:7" s="10" customFormat="1" ht="15.75">
      <c r="A25" s="21" t="s">
        <v>86</v>
      </c>
      <c r="B25" s="72">
        <f>IF(8233.02862="","-",8233.02862)</f>
        <v>8233.02862</v>
      </c>
      <c r="C25" s="72">
        <f>IF(OR(9927.99007="",8233.02862=""),"-",8233.02862/9927.99007*100)</f>
        <v>82.927446159301</v>
      </c>
      <c r="D25" s="72">
        <f>IF(9927.99007="","-",9927.99007/2424972.02699*100)</f>
        <v>0.40940637498087473</v>
      </c>
      <c r="E25" s="72">
        <f>IF(8233.02862="","-",8233.02862/2706901.80962*100)</f>
        <v>0.3041495111030927</v>
      </c>
      <c r="F25" s="72">
        <f>IF(OR(2044610.75747="",9213.33643="",9927.99007=""),"-",(9927.99007-9213.33643)/2044610.75747*100)</f>
        <v>0.034953041178571925</v>
      </c>
      <c r="G25" s="72">
        <f>IF(OR(2424972.02699="",8233.02862="",9927.99007=""),"-",(8233.02862-9927.99007)/2424972.02699*100)</f>
        <v>-0.06989612379586391</v>
      </c>
    </row>
    <row r="26" spans="1:7" s="10" customFormat="1" ht="15.75">
      <c r="A26" s="21" t="s">
        <v>89</v>
      </c>
      <c r="B26" s="72">
        <f>IF(6641.96888="","-",6641.96888)</f>
        <v>6641.96888</v>
      </c>
      <c r="C26" s="72">
        <f>IF(OR(6384.52336="",6641.96888=""),"-",6641.96888/6384.52336*100)</f>
        <v>104.03233734898576</v>
      </c>
      <c r="D26" s="72">
        <f>IF(6384.52336="","-",6384.52336/2424972.02699*100)</f>
        <v>0.26328235084529195</v>
      </c>
      <c r="E26" s="72">
        <f>IF(6641.96888="","-",6641.96888/2706901.80962*100)</f>
        <v>0.2453716221399406</v>
      </c>
      <c r="F26" s="72">
        <f>IF(OR(2044610.75747="",5307.20095="",6384.52336=""),"-",(6384.52336-5307.20095)/2044610.75747*100)</f>
        <v>0.052690831546493365</v>
      </c>
      <c r="G26" s="72">
        <f>IF(OR(2424972.02699="",6641.96888="",6384.52336=""),"-",(6641.96888-6384.52336)/2424972.02699*100)</f>
        <v>0.010616432566422418</v>
      </c>
    </row>
    <row r="27" spans="1:7" s="10" customFormat="1" ht="15.75">
      <c r="A27" s="21" t="s">
        <v>90</v>
      </c>
      <c r="B27" s="72">
        <f>IF(3135.95604="","-",3135.95604)</f>
        <v>3135.95604</v>
      </c>
      <c r="C27" s="72">
        <f>IF(OR(3615.54822="",3135.95604=""),"-",3135.95604/3615.54822*100)</f>
        <v>86.73528464239372</v>
      </c>
      <c r="D27" s="72">
        <f>IF(3615.54822="","-",3615.54822/2424972.02699*100)</f>
        <v>0.14909649182583787</v>
      </c>
      <c r="E27" s="72">
        <f>IF(3135.95604="","-",3135.95604/2706901.80962*100)</f>
        <v>0.11585038027072846</v>
      </c>
      <c r="F27" s="72">
        <f>IF(OR(2044610.75747="",3432.7131="",3615.54822=""),"-",(3615.54822-3432.7131)/2044610.75747*100)</f>
        <v>0.008942294729302913</v>
      </c>
      <c r="G27" s="72">
        <f>IF(OR(2424972.02699="",3135.95604="",3615.54822=""),"-",(3135.95604-3615.54822)/2424972.02699*100)</f>
        <v>-0.019777225248874087</v>
      </c>
    </row>
    <row r="28" spans="1:7" s="10" customFormat="1" ht="15.75">
      <c r="A28" s="21" t="s">
        <v>92</v>
      </c>
      <c r="B28" s="72">
        <f>IF(1611.76679="","-",1611.76679)</f>
        <v>1611.76679</v>
      </c>
      <c r="C28" s="72">
        <f>IF(OR(1480.11979="",1611.76679=""),"-",1611.76679/1480.11979*100)</f>
        <v>108.89434766627907</v>
      </c>
      <c r="D28" s="72">
        <f>IF(1480.11979="","-",1480.11979/2424972.02699*100)</f>
        <v>0.06103657170170333</v>
      </c>
      <c r="E28" s="72">
        <f>IF(1611.76679="","-",1611.76679/2706901.80962*100)</f>
        <v>0.05954286129892029</v>
      </c>
      <c r="F28" s="72">
        <f>IF(OR(2044610.75747="",1094.20754="",1480.11979=""),"-",(1480.11979-1094.20754)/2044610.75747*100)</f>
        <v>0.01887460723710206</v>
      </c>
      <c r="G28" s="72">
        <f>IF(OR(2424972.02699="",1611.76679="",1480.11979=""),"-",(1611.76679-1480.11979)/2424972.02699*100)</f>
        <v>0.005428804890727212</v>
      </c>
    </row>
    <row r="29" spans="1:7" s="10" customFormat="1" ht="15.75">
      <c r="A29" s="21" t="s">
        <v>254</v>
      </c>
      <c r="B29" s="72">
        <f>IF(986.10014="","-",986.10014)</f>
        <v>986.10014</v>
      </c>
      <c r="C29" s="72">
        <f>IF(OR(803.93446="",986.10014=""),"-",986.10014/803.93446*100)</f>
        <v>122.65927001064243</v>
      </c>
      <c r="D29" s="72">
        <f>IF(803.93446="","-",803.93446/2424972.02699*100)</f>
        <v>0.03315231891552517</v>
      </c>
      <c r="E29" s="72">
        <f>IF(986.10014="","-",986.10014/2706901.80962*100)</f>
        <v>0.036429106386331414</v>
      </c>
      <c r="F29" s="72">
        <f>IF(OR(2044610.75747="",202.2992="",803.93446=""),"-",(803.93446-202.2992)/2044610.75747*100)</f>
        <v>0.029425417909101824</v>
      </c>
      <c r="G29" s="72">
        <f>IF(OR(2424972.02699="",986.10014="",803.93446=""),"-",(986.10014-803.93446)/2424972.02699*100)</f>
        <v>0.007512073457858128</v>
      </c>
    </row>
    <row r="30" spans="1:7" s="10" customFormat="1" ht="15.75">
      <c r="A30" s="21" t="s">
        <v>94</v>
      </c>
      <c r="B30" s="72">
        <f>IF(755.52356="","-",755.52356)</f>
        <v>755.52356</v>
      </c>
      <c r="C30" s="72">
        <f>IF(OR(1014.42085="",755.52356=""),"-",755.52356/1014.42085*100)</f>
        <v>74.47831538557197</v>
      </c>
      <c r="D30" s="72">
        <f>IF(1014.42085="","-",1014.42085/2424972.02699*100)</f>
        <v>0.04183227017505646</v>
      </c>
      <c r="E30" s="72">
        <f>IF(755.52356="","-",755.52356/2706901.80962*100)</f>
        <v>0.02791100723768262</v>
      </c>
      <c r="F30" s="72">
        <f>IF(OR(2044610.75747="",697.45707="",1014.42085=""),"-",(1014.42085-697.45707)/2044610.75747*100)</f>
        <v>0.015502402050951287</v>
      </c>
      <c r="G30" s="72">
        <f>IF(OR(2424972.02699="",755.52356="",1014.42085=""),"-",(755.52356-1014.42085)/2424972.02699*100)</f>
        <v>-0.010676300061133348</v>
      </c>
    </row>
    <row r="31" spans="1:7" s="10" customFormat="1" ht="15.75">
      <c r="A31" s="21" t="s">
        <v>99</v>
      </c>
      <c r="B31" s="72">
        <f>IF(592.0215="","-",592.0215)</f>
        <v>592.0215</v>
      </c>
      <c r="C31" s="72" t="s">
        <v>261</v>
      </c>
      <c r="D31" s="72">
        <f>IF(23.06785="","-",23.06785/2424972.02699*100)</f>
        <v>0.0009512625194540079</v>
      </c>
      <c r="E31" s="72">
        <f>IF(592.0215="","-",592.0215/2706901.80962*100)</f>
        <v>0.021870815479749856</v>
      </c>
      <c r="F31" s="72">
        <f>IF(OR(2044610.75747="",75.19141="",23.06785=""),"-",(23.06785-75.19141)/2044610.75747*100)</f>
        <v>-0.0025493145729360077</v>
      </c>
      <c r="G31" s="72">
        <f>IF(OR(2424972.02699="",592.0215="",23.06785=""),"-",(592.0215-23.06785)/2424972.02699*100)</f>
        <v>0.02346227682907396</v>
      </c>
    </row>
    <row r="32" spans="1:7" s="10" customFormat="1" ht="15.75">
      <c r="A32" s="21" t="s">
        <v>93</v>
      </c>
      <c r="B32" s="72">
        <f>IF(388.59108="","-",388.59108)</f>
        <v>388.59108</v>
      </c>
      <c r="C32" s="72" t="s">
        <v>230</v>
      </c>
      <c r="D32" s="72">
        <f>IF(253.55923="","-",253.55923/2424972.02699*100)</f>
        <v>0.010456171336323856</v>
      </c>
      <c r="E32" s="72">
        <f>IF(388.59108="","-",388.59108/2706901.80962*100)</f>
        <v>0.014355566153858796</v>
      </c>
      <c r="F32" s="72">
        <f>IF(OR(2044610.75747="",955.09384="",253.55923=""),"-",(253.55923-955.09384)/2044610.75747*100)</f>
        <v>-0.03431140169036763</v>
      </c>
      <c r="G32" s="72">
        <f>IF(OR(2424972.02699="",388.59108="",253.55923=""),"-",(388.59108-253.55923)/2424972.02699*100)</f>
        <v>0.005568387944153254</v>
      </c>
    </row>
    <row r="33" spans="1:7" s="10" customFormat="1" ht="15.75">
      <c r="A33" s="21" t="s">
        <v>97</v>
      </c>
      <c r="B33" s="72">
        <f>IF(330.22087="","-",330.22087)</f>
        <v>330.22087</v>
      </c>
      <c r="C33" s="72">
        <f>IF(OR(616.67545="",330.22087=""),"-",330.22087/616.67545*100)</f>
        <v>53.54856756499712</v>
      </c>
      <c r="D33" s="72">
        <f>IF(616.67545="","-",616.67545/2424972.02699*100)</f>
        <v>0.02543020880803517</v>
      </c>
      <c r="E33" s="72">
        <f>IF(330.22087="","-",330.22087/2706901.80962*100)</f>
        <v>0.01219921863535778</v>
      </c>
      <c r="F33" s="72">
        <f>IF(OR(2044610.75747="",283.66302="",616.67545=""),"-",(616.67545-283.66302)/2044610.75747*100)</f>
        <v>0.01628732651353499</v>
      </c>
      <c r="G33" s="72">
        <f>IF(OR(2424972.02699="",330.22087="",616.67545=""),"-",(330.22087-616.67545)/2424972.02699*100)</f>
        <v>-0.011812696262544607</v>
      </c>
    </row>
    <row r="34" spans="1:7" s="10" customFormat="1" ht="15.75">
      <c r="A34" s="21" t="s">
        <v>98</v>
      </c>
      <c r="B34" s="72">
        <f>IF(98.41519="","-",98.41519)</f>
        <v>98.41519</v>
      </c>
      <c r="C34" s="72" t="s">
        <v>262</v>
      </c>
      <c r="D34" s="72">
        <f>IF(36.15205="","-",36.15205/2424972.02699*100)</f>
        <v>0.0014908233826051091</v>
      </c>
      <c r="E34" s="72">
        <f>IF(98.41519="","-",98.41519/2706901.80962*100)</f>
        <v>0.003635713332868018</v>
      </c>
      <c r="F34" s="72">
        <f>IF(OR(2044610.75747="",98.8475="",36.15205=""),"-",(36.15205-98.8475)/2044610.75747*100)</f>
        <v>-0.003066375825860336</v>
      </c>
      <c r="G34" s="72">
        <f>IF(OR(2424972.02699="",98.41519="",36.15205=""),"-",(98.41519-36.15205)/2424972.02699*100)</f>
        <v>0.002567581782676652</v>
      </c>
    </row>
    <row r="35" spans="1:7" s="10" customFormat="1" ht="15.75">
      <c r="A35" s="21" t="s">
        <v>96</v>
      </c>
      <c r="B35" s="72">
        <f>IF(8.35426="","-",8.35426)</f>
        <v>8.35426</v>
      </c>
      <c r="C35" s="72">
        <f>IF(OR(271.30498="",8.35426=""),"-",8.35426/271.30498*100)</f>
        <v>3.0792873761476844</v>
      </c>
      <c r="D35" s="72">
        <f>IF(271.30498="","-",271.30498/2424972.02699*100)</f>
        <v>0.011187963282890222</v>
      </c>
      <c r="E35" s="72">
        <f>IF(8.35426="","-",8.35426/2706901.80962*100)</f>
        <v>0.0003086281138942674</v>
      </c>
      <c r="F35" s="72">
        <f>IF(OR(2044610.75747="",447.03803="",271.30498=""),"-",(271.30498-447.03803)/2044610.75747*100)</f>
        <v>-0.0085949391275556</v>
      </c>
      <c r="G35" s="72">
        <f>IF(OR(2424972.02699="",8.35426="",271.30498=""),"-",(8.35426-271.30498)/2424972.02699*100)</f>
        <v>-0.010843453741872146</v>
      </c>
    </row>
    <row r="36" spans="1:7" s="10" customFormat="1" ht="14.25" customHeight="1">
      <c r="A36" s="52" t="s">
        <v>200</v>
      </c>
      <c r="B36" s="71">
        <f>IF(415999.838="","-",415999.838)</f>
        <v>415999.838</v>
      </c>
      <c r="C36" s="71">
        <f>IF(462820.44579="","-",415999.838/462820.44579*100)</f>
        <v>89.88363452481431</v>
      </c>
      <c r="D36" s="71">
        <f>IF(462820.44579="","-",462820.44579/2424972.02699*100)</f>
        <v>19.0855993652214</v>
      </c>
      <c r="E36" s="71">
        <f>IF(415999.838="","-",415999.838/2706901.80962*100)</f>
        <v>15.368117030384596</v>
      </c>
      <c r="F36" s="71">
        <f>IF(2044610.75747="","-",(462820.44579-414185.25312)/2044610.75747*100)</f>
        <v>2.378701789194398</v>
      </c>
      <c r="G36" s="71">
        <f>IF(2424972.02699="","-",(415999.838-462820.44579)/2424972.02699*100)</f>
        <v>-1.9307689849155159</v>
      </c>
    </row>
    <row r="37" spans="1:7" s="18" customFormat="1" ht="14.25" customHeight="1">
      <c r="A37" s="21" t="s">
        <v>255</v>
      </c>
      <c r="B37" s="72">
        <f>IF(218622.36391="","-",218622.36391)</f>
        <v>218622.36391</v>
      </c>
      <c r="C37" s="72">
        <f>IF(OR(254534.81514="",218622.36391=""),"-",218622.36391/254534.81514*100)</f>
        <v>85.8909472913372</v>
      </c>
      <c r="D37" s="72">
        <f>IF(254534.81514="","-",254534.81514/2424972.02699*100)</f>
        <v>10.496402115447975</v>
      </c>
      <c r="E37" s="72">
        <f>IF(218622.36391="","-",218622.36391/2706901.80962*100)</f>
        <v>8.076479284658301</v>
      </c>
      <c r="F37" s="72">
        <f>IF(OR(2044610.75747="",233177.39608="",254534.81514=""),"-",(254534.81514-233177.39608)/2044610.75747*100)</f>
        <v>1.044571392475096</v>
      </c>
      <c r="G37" s="72">
        <f>IF(OR(2424972.02699="",218622.36391="",254534.81514=""),"-",(218622.36391-254534.81514)/2424972.02699*100)</f>
        <v>-1.4809429069817512</v>
      </c>
    </row>
    <row r="38" spans="1:7" s="18" customFormat="1" ht="14.25" customHeight="1">
      <c r="A38" s="21" t="s">
        <v>10</v>
      </c>
      <c r="B38" s="72">
        <f>IF(87234.59782="","-",87234.59782)</f>
        <v>87234.59782</v>
      </c>
      <c r="C38" s="72">
        <f>IF(OR(109993.99949="",87234.59782=""),"-",87234.59782/109993.99949*100)</f>
        <v>79.30850612258247</v>
      </c>
      <c r="D38" s="72">
        <f>IF(109993.99949="","-",109993.99949/2424972.02699*100)</f>
        <v>4.53588735316383</v>
      </c>
      <c r="E38" s="72">
        <f>IF(87234.59782="","-",87234.59782/2706901.80962*100)</f>
        <v>3.2226731501666905</v>
      </c>
      <c r="F38" s="72">
        <f>IF(OR(2044610.75747="",103539.0969="",109993.99949=""),"-",(109993.99949-103539.0969)/2044610.75747*100)</f>
        <v>0.31570324896398816</v>
      </c>
      <c r="G38" s="72">
        <f>IF(OR(2424972.02699="",87234.59782="",109993.99949=""),"-",(87234.59782-109993.99949)/2424972.02699*100)</f>
        <v>-0.9385428539664495</v>
      </c>
    </row>
    <row r="39" spans="1:7" s="18" customFormat="1" ht="14.25" customHeight="1">
      <c r="A39" s="21" t="s">
        <v>11</v>
      </c>
      <c r="B39" s="72">
        <f>IF(80301.72094="","-",80301.72094)</f>
        <v>80301.72094</v>
      </c>
      <c r="C39" s="72">
        <f>IF(OR(65524.03276="",80301.72094=""),"-",80301.72094/65524.03276*100)</f>
        <v>122.55308099568198</v>
      </c>
      <c r="D39" s="72">
        <f>IF(65524.03276="","-",65524.03276/2424972.02699*100)</f>
        <v>2.7020531383750352</v>
      </c>
      <c r="E39" s="72">
        <f>IF(80301.72094="","-",80301.72094/2706901.80962*100)</f>
        <v>2.9665546291563825</v>
      </c>
      <c r="F39" s="72">
        <f>IF(OR(2044610.75747="",49706.44998="",65524.03276=""),"-",(65524.03276-49706.44998)/2044610.75747*100)</f>
        <v>0.7736231809507189</v>
      </c>
      <c r="G39" s="72">
        <f>IF(OR(2424972.02699="",80301.72094="",65524.03276=""),"-",(80301.72094-65524.03276)/2424972.02699*100)</f>
        <v>0.6093962328440886</v>
      </c>
    </row>
    <row r="40" spans="1:7" s="16" customFormat="1" ht="14.25" customHeight="1">
      <c r="A40" s="21" t="s">
        <v>12</v>
      </c>
      <c r="B40" s="72">
        <f>IF(16118.54397="","-",16118.54397)</f>
        <v>16118.54397</v>
      </c>
      <c r="C40" s="72">
        <f>IF(OR(17041.15958="",16118.54397=""),"-",16118.54397/17041.15958*100)</f>
        <v>94.58595757132157</v>
      </c>
      <c r="D40" s="72">
        <f>IF(17041.15958="","-",17041.15958/2424972.02699*100)</f>
        <v>0.7027363363507481</v>
      </c>
      <c r="E40" s="72">
        <f>IF(16118.54397="","-",16118.54397/2706901.80962*100)</f>
        <v>0.5954609772957651</v>
      </c>
      <c r="F40" s="72">
        <f>IF(OR(2044610.75747="",13183.14392="",17041.15958=""),"-",(17041.15958-13183.14392)/2044610.75747*100)</f>
        <v>0.18869193786175248</v>
      </c>
      <c r="G40" s="72">
        <f>IF(OR(2424972.02699="",16118.54397="",17041.15958=""),"-",(16118.54397-17041.15958)/2424972.02699*100)</f>
        <v>-0.03804644341176986</v>
      </c>
    </row>
    <row r="41" spans="1:7" s="18" customFormat="1" ht="14.25" customHeight="1">
      <c r="A41" s="21" t="s">
        <v>13</v>
      </c>
      <c r="B41" s="72">
        <f>IF(5341.97176="","-",5341.97176)</f>
        <v>5341.97176</v>
      </c>
      <c r="C41" s="72">
        <f>IF(OR(6587.42692="",5341.97176=""),"-",5341.97176/6587.42692*100)</f>
        <v>81.09345006593259</v>
      </c>
      <c r="D41" s="72">
        <f>IF(6587.42692="","-",6587.42692/2424972.02699*100)</f>
        <v>0.2716496044771557</v>
      </c>
      <c r="E41" s="72">
        <f>IF(5341.97176="","-",5341.97176/2706901.80962*100)</f>
        <v>0.19734634411249355</v>
      </c>
      <c r="F41" s="72">
        <f>IF(OR(2044610.75747="",4665.18693="",6587.42692=""),"-",(6587.42692-4665.18693)/2044610.75747*100)</f>
        <v>0.09401496020585251</v>
      </c>
      <c r="G41" s="72">
        <f>IF(OR(2424972.02699="",5341.97176="",6587.42692=""),"-",(5341.97176-6587.42692)/2424972.02699*100)</f>
        <v>-0.05135956811617009</v>
      </c>
    </row>
    <row r="42" spans="1:7" s="16" customFormat="1" ht="14.25" customHeight="1">
      <c r="A42" s="21" t="s">
        <v>14</v>
      </c>
      <c r="B42" s="72">
        <f>IF(3913.20599="","-",3913.20599)</f>
        <v>3913.20599</v>
      </c>
      <c r="C42" s="72">
        <f>IF(OR(5563.01228="",3913.20599=""),"-",3913.20599/5563.01228*100)</f>
        <v>70.34329232147587</v>
      </c>
      <c r="D42" s="72">
        <f>IF(5563.01228="","-",5563.01228/2424972.02699*100)</f>
        <v>0.22940521449664295</v>
      </c>
      <c r="E42" s="72">
        <f>IF(3913.20599="","-",3913.20599/2706901.80962*100)</f>
        <v>0.14456401691753065</v>
      </c>
      <c r="F42" s="72">
        <f>IF(OR(2044610.75747="",5619.83118="",5563.01228=""),"-",(5563.01228-5619.83118)/2044610.75747*100)</f>
        <v>-0.002778959261190031</v>
      </c>
      <c r="G42" s="72">
        <f>IF(OR(2424972.02699="",3913.20599="",5563.01228=""),"-",(3913.20599-5563.01228)/2424972.02699*100)</f>
        <v>-0.06803403386256066</v>
      </c>
    </row>
    <row r="43" spans="1:7" s="16" customFormat="1" ht="14.25" customHeight="1">
      <c r="A43" s="21" t="s">
        <v>16</v>
      </c>
      <c r="B43" s="72">
        <f>IF(2327.34721="","-",2327.34721)</f>
        <v>2327.34721</v>
      </c>
      <c r="C43" s="72" t="s">
        <v>245</v>
      </c>
      <c r="D43" s="72">
        <f>IF(1249.8772="","-",1249.8772/2424972.02699*100)</f>
        <v>0.051541922384622796</v>
      </c>
      <c r="E43" s="72">
        <f>IF(2327.34721="","-",2327.34721/2706901.80962*100)</f>
        <v>0.08597826495696632</v>
      </c>
      <c r="F43" s="72">
        <f>IF(OR(2044610.75747="",904.30731="",1249.8772=""),"-",(1249.8772-904.30731)/2044610.75747*100)</f>
        <v>0.01690150013822718</v>
      </c>
      <c r="G43" s="72">
        <f>IF(OR(2424972.02699="",2327.34721="",1249.8772=""),"-",(2327.34721-1249.8772)/2424972.02699*100)</f>
        <v>0.04443226552750842</v>
      </c>
    </row>
    <row r="44" spans="1:7" s="16" customFormat="1" ht="14.25" customHeight="1">
      <c r="A44" s="21" t="s">
        <v>256</v>
      </c>
      <c r="B44" s="72">
        <f>IF(1230.88088="","-",1230.88088)</f>
        <v>1230.88088</v>
      </c>
      <c r="C44" s="72">
        <f>IF(OR(1285.5327="",1230.88088=""),"-",1230.88088/1285.5327*100)</f>
        <v>95.74870246396688</v>
      </c>
      <c r="D44" s="72">
        <f>IF(1285.5327="","-",1285.5327/2424972.02699*100)</f>
        <v>0.05301226924236604</v>
      </c>
      <c r="E44" s="72">
        <f>IF(1230.88088="","-",1230.88088/2706901.80962*100)</f>
        <v>0.04547194418451378</v>
      </c>
      <c r="F44" s="72">
        <f>IF(OR(2044610.75747="",1784.93007="",1285.5327=""),"-",(1285.5327-1784.93007)/2044610.75747*100)</f>
        <v>-0.02442505832347052</v>
      </c>
      <c r="G44" s="72">
        <f>IF(OR(2424972.02699="",1230.88088="",1285.5327=""),"-",(1230.88088-1285.5327)/2424972.02699*100)</f>
        <v>-0.0022537092960959507</v>
      </c>
    </row>
    <row r="45" spans="1:7" s="16" customFormat="1" ht="14.25" customHeight="1">
      <c r="A45" s="21" t="s">
        <v>15</v>
      </c>
      <c r="B45" s="72">
        <f>IF(554.38407="","-",554.38407)</f>
        <v>554.38407</v>
      </c>
      <c r="C45" s="72">
        <f>IF(OR(633.23341="",554.38407=""),"-",554.38407/633.23341*100)</f>
        <v>87.54813963464119</v>
      </c>
      <c r="D45" s="72">
        <f>IF(633.23341="","-",633.23341/2424972.02699*100)</f>
        <v>0.026113019158658164</v>
      </c>
      <c r="E45" s="72">
        <f>IF(554.38407="","-",554.38407/2706901.80962*100)</f>
        <v>0.020480390830202498</v>
      </c>
      <c r="F45" s="72">
        <f>IF(OR(2044610.75747="",1056.6181="",633.23341=""),"-",(633.23341-1056.6181)/2044610.75747*100)</f>
        <v>-0.02070734923276525</v>
      </c>
      <c r="G45" s="72">
        <f>IF(OR(2424972.02699="",554.38407="",633.23341=""),"-",(554.38407-633.23341)/2424972.02699*100)</f>
        <v>-0.003251556682815511</v>
      </c>
    </row>
    <row r="46" spans="1:7" s="16" customFormat="1" ht="14.25" customHeight="1">
      <c r="A46" s="21" t="s">
        <v>17</v>
      </c>
      <c r="B46" s="72">
        <f>IF(354.82145="","-",354.82145)</f>
        <v>354.82145</v>
      </c>
      <c r="C46" s="72">
        <f>IF(OR(407.35631="",354.82145=""),"-",354.82145/407.35631*100)</f>
        <v>87.10346232270221</v>
      </c>
      <c r="D46" s="72">
        <f>IF(407.35631="","-",407.35631/2424972.02699*100)</f>
        <v>0.01679839212436737</v>
      </c>
      <c r="E46" s="72">
        <f>IF(354.82145="","-",354.82145/2706901.80962*100)</f>
        <v>0.013108028105748341</v>
      </c>
      <c r="F46" s="72">
        <f>IF(OR(2044610.75747="",548.29265="",407.35631=""),"-",(407.35631-548.29265)/2044610.75747*100)</f>
        <v>-0.006893064583813229</v>
      </c>
      <c r="G46" s="72">
        <f>IF(OR(2424972.02699="",354.82145="",407.35631=""),"-",(354.82145-407.35631)/2424972.02699*100)</f>
        <v>-0.0021664109694992627</v>
      </c>
    </row>
    <row r="47" spans="1:7" s="10" customFormat="1" ht="15.75">
      <c r="A47" s="52" t="s">
        <v>226</v>
      </c>
      <c r="B47" s="71">
        <f>IF(428774.47115="","-",428774.47115)</f>
        <v>428774.47115</v>
      </c>
      <c r="C47" s="71">
        <f>IF(365311.98499="","-",428774.47115/365311.98499*100)</f>
        <v>117.37213361936023</v>
      </c>
      <c r="D47" s="71">
        <f>IF(365311.98499="","-",365311.98499/2424972.02699*100)</f>
        <v>15.064585526103738</v>
      </c>
      <c r="E47" s="71">
        <f>IF(428774.47115="","-",428774.47115/2706901.80962*100)</f>
        <v>15.840045236446615</v>
      </c>
      <c r="F47" s="71">
        <f>IF(2044610.75747="","-",(365311.98499-298527.05166)/2044610.75747*100)</f>
        <v>3.26638863099007</v>
      </c>
      <c r="G47" s="71">
        <f>IF(2424972.02699="","-",(428774.47115-365311.98499)/2424972.02699*100)</f>
        <v>2.617039926797542</v>
      </c>
    </row>
    <row r="48" spans="1:7" s="10" customFormat="1" ht="15.75">
      <c r="A48" s="21" t="s">
        <v>100</v>
      </c>
      <c r="B48" s="72">
        <f>IF(106276.63401="","-",106276.63401)</f>
        <v>106276.63401</v>
      </c>
      <c r="C48" s="72">
        <f>IF(OR(104063.31636="",106276.63401=""),"-",106276.63401/104063.31636*100)</f>
        <v>102.126895170574</v>
      </c>
      <c r="D48" s="72">
        <f>IF(104063.31636="","-",104063.31636/2424972.02699*100)</f>
        <v>4.2913202792350855</v>
      </c>
      <c r="E48" s="72">
        <f>IF(106276.63401="","-",106276.63401/2706901.80962*100)</f>
        <v>3.926135541093724</v>
      </c>
      <c r="F48" s="72">
        <f>IF(OR(2044610.75747="",61473.92194="",104063.31636=""),"-",(104063.31636-61473.92194)/2044610.75747*100)</f>
        <v>2.083007450899852</v>
      </c>
      <c r="G48" s="72">
        <f>IF(OR(2424972.02699="",106276.63401="",104063.31636=""),"-",(106276.63401-104063.31636)/2424972.02699*100)</f>
        <v>0.09127188377291431</v>
      </c>
    </row>
    <row r="49" spans="1:7" s="17" customFormat="1" ht="15.75">
      <c r="A49" s="21" t="s">
        <v>257</v>
      </c>
      <c r="B49" s="72">
        <f>IF(61183.86701="","-",61183.86701)</f>
        <v>61183.86701</v>
      </c>
      <c r="C49" s="72">
        <f>IF(OR(44055.18099="",61183.86701=""),"-",61183.86701/44055.18099*100)</f>
        <v>138.88007184419016</v>
      </c>
      <c r="D49" s="72">
        <f>IF(44055.18099="","-",44055.18099/2424972.02699*100)</f>
        <v>1.8167294508829264</v>
      </c>
      <c r="E49" s="72">
        <f>IF(61183.86701="","-",61183.86701/2706901.80962*100)</f>
        <v>2.2602913335297194</v>
      </c>
      <c r="F49" s="72">
        <f>IF(OR(2044610.75747="",44498.28102="",44055.18099=""),"-",(44055.18099-44498.28102)/2044610.75747*100)</f>
        <v>-0.02167160807411055</v>
      </c>
      <c r="G49" s="72">
        <f>IF(OR(2424972.02699="",61183.86701="",44055.18099=""),"-",(61183.86701-44055.18099)/2424972.02699*100)</f>
        <v>0.706345715717843</v>
      </c>
    </row>
    <row r="50" spans="1:7" s="19" customFormat="1" ht="15.75">
      <c r="A50" s="21" t="s">
        <v>18</v>
      </c>
      <c r="B50" s="72">
        <f>IF(21770.3183="","-",21770.3183)</f>
        <v>21770.3183</v>
      </c>
      <c r="C50" s="72">
        <f>IF(OR(18829.07644="",21770.3183=""),"-",21770.3183/18829.07644*100)</f>
        <v>115.62074416858653</v>
      </c>
      <c r="D50" s="72">
        <f>IF(18829.07644="","-",18829.07644/2424972.02699*100)</f>
        <v>0.7764657171477404</v>
      </c>
      <c r="E50" s="72">
        <f>IF(21770.3183="","-",21770.3183/2706901.80962*100)</f>
        <v>0.8042522348845804</v>
      </c>
      <c r="F50" s="72">
        <f>IF(OR(2044610.75747="",17016.36593="",18829.07644=""),"-",(18829.07644-17016.36593)/2044610.75747*100)</f>
        <v>0.08865797577251562</v>
      </c>
      <c r="G50" s="72">
        <f>IF(OR(2424972.02699="",21770.3183="",18829.07644=""),"-",(21770.3183-18829.07644)/2424972.02699*100)</f>
        <v>0.12128972323242915</v>
      </c>
    </row>
    <row r="51" spans="1:7" s="17" customFormat="1" ht="15.75">
      <c r="A51" s="21" t="s">
        <v>111</v>
      </c>
      <c r="B51" s="72">
        <f>IF(20847.21472="","-",20847.21472)</f>
        <v>20847.21472</v>
      </c>
      <c r="C51" s="72" t="s">
        <v>245</v>
      </c>
      <c r="D51" s="72">
        <f>IF(10948.7462="","-",10948.7462/2424972.02699*100)</f>
        <v>0.45149989682933156</v>
      </c>
      <c r="E51" s="72">
        <f>IF(20847.21472="","-",20847.21472/2706901.80962*100)</f>
        <v>0.7701503854299973</v>
      </c>
      <c r="F51" s="72">
        <f>IF(OR(2044610.75747="",3706.95491="",10948.7462=""),"-",(10948.7462-3706.95491)/2044610.75747*100)</f>
        <v>0.35418923937194713</v>
      </c>
      <c r="G51" s="72">
        <f>IF(OR(2424972.02699="",20847.21472="",10948.7462=""),"-",(20847.21472-10948.7462)/2424972.02699*100)</f>
        <v>0.40818897743272065</v>
      </c>
    </row>
    <row r="52" spans="1:7" s="10" customFormat="1" ht="15.75">
      <c r="A52" s="21" t="s">
        <v>102</v>
      </c>
      <c r="B52" s="72">
        <f>IF(20811.87308="","-",20811.87308)</f>
        <v>20811.87308</v>
      </c>
      <c r="C52" s="72">
        <f>IF(OR(18037.84859="",20811.87308=""),"-",20811.87308/18037.84859*100)</f>
        <v>115.37890994127697</v>
      </c>
      <c r="D52" s="72">
        <f>IF(18037.84859="","-",18037.84859/2424972.02699*100)</f>
        <v>0.7438373881941024</v>
      </c>
      <c r="E52" s="72">
        <f>IF(20811.87308="","-",20811.87308/2706901.80962*100)</f>
        <v>0.7688447732399134</v>
      </c>
      <c r="F52" s="72">
        <f>IF(OR(2044610.75747="",16892.17641="",18037.84859=""),"-",(18037.84859-16892.17641)/2044610.75747*100)</f>
        <v>0.05603375487555662</v>
      </c>
      <c r="G52" s="72">
        <f>IF(OR(2424972.02699="",20811.87308="",18037.84859=""),"-",(20811.87308-18037.84859)/2424972.02699*100)</f>
        <v>0.11439408203991784</v>
      </c>
    </row>
    <row r="53" spans="1:7" s="10" customFormat="1" ht="15.75">
      <c r="A53" s="21" t="s">
        <v>103</v>
      </c>
      <c r="B53" s="72">
        <f>IF(18818.80994="","-",18818.80994)</f>
        <v>18818.80994</v>
      </c>
      <c r="C53" s="72">
        <f>IF(OR(19003.80862="",18818.80994=""),"-",18818.80994/19003.80862*100)</f>
        <v>99.02651787492059</v>
      </c>
      <c r="D53" s="72">
        <f>IF(19003.80862="","-",19003.80862/2424972.02699*100)</f>
        <v>0.7836712509871094</v>
      </c>
      <c r="E53" s="72">
        <f>IF(18818.80994="","-",18818.80994/2706901.80962*100)</f>
        <v>0.6952158321044464</v>
      </c>
      <c r="F53" s="72">
        <f>IF(OR(2044610.75747="",14513.04283="",19003.80862=""),"-",(19003.80862-14513.04283)/2044610.75747*100)</f>
        <v>0.21963915496350364</v>
      </c>
      <c r="G53" s="72">
        <f>IF(OR(2424972.02699="",18818.80994="",19003.80862=""),"-",(18818.80994-19003.80862)/2424972.02699*100)</f>
        <v>-0.007628899547745731</v>
      </c>
    </row>
    <row r="54" spans="1:7" s="19" customFormat="1" ht="15.75">
      <c r="A54" s="21" t="s">
        <v>104</v>
      </c>
      <c r="B54" s="72">
        <f>IF(13952.91019="","-",13952.91019)</f>
        <v>13952.91019</v>
      </c>
      <c r="C54" s="72" t="s">
        <v>238</v>
      </c>
      <c r="D54" s="72">
        <f>IF(7986.94117="","-",7986.94117/2424972.02699*100)</f>
        <v>0.32936219804208633</v>
      </c>
      <c r="E54" s="72">
        <f>IF(13952.91019="","-",13952.91019/2706901.80962*100)</f>
        <v>0.5154568274480091</v>
      </c>
      <c r="F54" s="72">
        <f>IF(OR(2044610.75747="",11244.76998="",7986.94117=""),"-",(7986.94117-11244.76998)/2044610.75747*100)</f>
        <v>-0.15933736033117785</v>
      </c>
      <c r="G54" s="72">
        <f>IF(OR(2424972.02699="",13952.91019="",7986.94117=""),"-",(13952.91019-7986.94117)/2424972.02699*100)</f>
        <v>0.24602217896118445</v>
      </c>
    </row>
    <row r="55" spans="1:7" s="10" customFormat="1" ht="15.75">
      <c r="A55" s="21" t="s">
        <v>120</v>
      </c>
      <c r="B55" s="72">
        <f>IF(11714.70429="","-",11714.70429)</f>
        <v>11714.70429</v>
      </c>
      <c r="C55" s="72" t="s">
        <v>263</v>
      </c>
      <c r="D55" s="72">
        <f>IF(2462.72739="","-",2462.72739/2424972.02699*100)</f>
        <v>0.10155694014569165</v>
      </c>
      <c r="E55" s="72">
        <f>IF(11714.70429="","-",11714.70429/2706901.80962*100)</f>
        <v>0.43277167455307636</v>
      </c>
      <c r="F55" s="72">
        <f>IF(OR(2044610.75747="",788.2225="",2462.72739=""),"-",(2462.72739-788.2225)/2044610.75747*100)</f>
        <v>0.08189846815009579</v>
      </c>
      <c r="G55" s="72">
        <f>IF(OR(2424972.02699="",11714.70429="",2462.72739=""),"-",(11714.70429-2462.72739)/2424972.02699*100)</f>
        <v>0.3815292216580341</v>
      </c>
    </row>
    <row r="56" spans="1:7" s="17" customFormat="1" ht="15.75">
      <c r="A56" s="21" t="s">
        <v>101</v>
      </c>
      <c r="B56" s="72">
        <f>IF(11143.6216="","-",11143.6216)</f>
        <v>11143.6216</v>
      </c>
      <c r="C56" s="72">
        <f>IF(OR(13176.34272="",11143.6216=""),"-",11143.6216/13176.34272*100)</f>
        <v>84.57294893434587</v>
      </c>
      <c r="D56" s="72">
        <f>IF(13176.34272="","-",13176.34272/2424972.02699*100)</f>
        <v>0.5433606067759533</v>
      </c>
      <c r="E56" s="72">
        <f>IF(11143.6216="","-",11143.6216/2706901.80962*100)</f>
        <v>0.41167439322685895</v>
      </c>
      <c r="F56" s="72">
        <f>IF(OR(2044610.75747="",26275.5896="",13176.34272=""),"-",(13176.34272-26275.5896)/2044610.75747*100)</f>
        <v>-0.6406719143065156</v>
      </c>
      <c r="G56" s="72">
        <f>IF(OR(2424972.02699="",11143.6216="",13176.34272=""),"-",(11143.6216-13176.34272)/2424972.02699*100)</f>
        <v>-0.08382451827797445</v>
      </c>
    </row>
    <row r="57" spans="1:7" s="10" customFormat="1" ht="15.75">
      <c r="A57" s="21" t="s">
        <v>105</v>
      </c>
      <c r="B57" s="72">
        <f>IF(9543.5019="","-",9543.5019)</f>
        <v>9543.5019</v>
      </c>
      <c r="C57" s="72">
        <f>IF(OR(7824.81706="",9543.5019=""),"-",9543.5019/7824.81706*100)</f>
        <v>121.9645370213933</v>
      </c>
      <c r="D57" s="72">
        <f>IF(7824.81706="","-",7824.81706/2424972.02699*100)</f>
        <v>0.32267659061257564</v>
      </c>
      <c r="E57" s="72">
        <f>IF(9543.5019="","-",9543.5019/2706901.80962*100)</f>
        <v>0.35256180575459195</v>
      </c>
      <c r="F57" s="72">
        <f>IF(OR(2044610.75747="",10362.03801="",7824.81706=""),"-",(7824.81706-10362.03801)/2044610.75747*100)</f>
        <v>-0.12409310382087371</v>
      </c>
      <c r="G57" s="72">
        <f>IF(OR(2424972.02699="",9543.5019="",7824.81706=""),"-",(9543.5019-7824.81706)/2424972.02699*100)</f>
        <v>0.07087441920446888</v>
      </c>
    </row>
    <row r="58" spans="1:7" s="17" customFormat="1" ht="15.75">
      <c r="A58" s="21" t="s">
        <v>110</v>
      </c>
      <c r="B58" s="72">
        <f>IF(8755.66798="","-",8755.66798)</f>
        <v>8755.66798</v>
      </c>
      <c r="C58" s="72" t="s">
        <v>150</v>
      </c>
      <c r="D58" s="72">
        <f>IF(4937.19075="","-",4937.19075/2424972.02699*100)</f>
        <v>0.20359784339979767</v>
      </c>
      <c r="E58" s="72">
        <f>IF(8755.66798="","-",8755.66798/2706901.80962*100)</f>
        <v>0.3234571697016649</v>
      </c>
      <c r="F58" s="72">
        <f>IF(OR(2044610.75747="",3880.27649="",4937.19075=""),"-",(4937.19075-3880.27649)/2044610.75747*100)</f>
        <v>0.051692688015973494</v>
      </c>
      <c r="G58" s="72">
        <f>IF(OR(2424972.02699="",8755.66798="",4937.19075=""),"-",(8755.66798-4937.19075)/2424972.02699*100)</f>
        <v>0.1574647949543439</v>
      </c>
    </row>
    <row r="59" spans="1:7" s="10" customFormat="1" ht="15.75">
      <c r="A59" s="21" t="s">
        <v>196</v>
      </c>
      <c r="B59" s="72">
        <f>IF(6599.96393="","-",6599.96393)</f>
        <v>6599.96393</v>
      </c>
      <c r="C59" s="72" t="s">
        <v>238</v>
      </c>
      <c r="D59" s="72">
        <f>IF(3856.41045="","-",3856.41045/2424972.02699*100)</f>
        <v>0.15902906949350565</v>
      </c>
      <c r="E59" s="72">
        <f>IF(6599.96393="","-",6599.96393/2706901.80962*100)</f>
        <v>0.24381984993118444</v>
      </c>
      <c r="F59" s="72">
        <f>IF(OR(2044610.75747="",1760.65886="",3856.41045=""),"-",(3856.41045-1760.65886)/2044610.75747*100)</f>
        <v>0.10250125029143842</v>
      </c>
      <c r="G59" s="72">
        <f>IF(OR(2424972.02699="",6599.96393="",3856.41045=""),"-",(6599.96393-3856.41045)/2424972.02699*100)</f>
        <v>0.11313753105042781</v>
      </c>
    </row>
    <row r="60" spans="1:7" s="17" customFormat="1" ht="15.75">
      <c r="A60" s="21" t="s">
        <v>106</v>
      </c>
      <c r="B60" s="72">
        <f>IF(4825.64907="","-",4825.64907)</f>
        <v>4825.64907</v>
      </c>
      <c r="C60" s="72">
        <f>IF(OR(3820.05726="",4825.64907=""),"-",4825.64907/3820.05726*100)</f>
        <v>126.32399834760592</v>
      </c>
      <c r="D60" s="72">
        <f>IF(3820.05726="","-",3820.05726/2424972.02699*100)</f>
        <v>0.1575299515822313</v>
      </c>
      <c r="E60" s="72">
        <f>IF(4825.64907="","-",4825.64907/2706901.80962*100)</f>
        <v>0.17827203974855055</v>
      </c>
      <c r="F60" s="72">
        <f>IF(OR(2044610.75747="",7726.64546="",3820.05726=""),"-",(3820.05726-7726.64546)/2044610.75747*100)</f>
        <v>-0.19106757536745084</v>
      </c>
      <c r="G60" s="72">
        <f>IF(OR(2424972.02699="",4825.64907="",3820.05726=""),"-",(4825.64907-3820.05726)/2424972.02699*100)</f>
        <v>0.04146818185149098</v>
      </c>
    </row>
    <row r="61" spans="1:7" s="10" customFormat="1" ht="15.75">
      <c r="A61" s="21" t="s">
        <v>113</v>
      </c>
      <c r="B61" s="72">
        <f>IF(4536.4406="","-",4536.4406)</f>
        <v>4536.4406</v>
      </c>
      <c r="C61" s="72">
        <f>IF(OR(4837.67416="",4536.4406=""),"-",4536.4406/4837.67416*100)</f>
        <v>93.77317384269634</v>
      </c>
      <c r="D61" s="72">
        <f>IF(4837.67416="","-",4837.67416/2424972.02699*100)</f>
        <v>0.1994940191538939</v>
      </c>
      <c r="E61" s="72">
        <f>IF(4536.4406="","-",4536.4406/2706901.80962*100)</f>
        <v>0.16758792594094257</v>
      </c>
      <c r="F61" s="72">
        <f>IF(OR(2044610.75747="",2424.53298="",4837.67416=""),"-",(4837.67416-2424.53298)/2044610.75747*100)</f>
        <v>0.11802447831126639</v>
      </c>
      <c r="G61" s="72">
        <f>IF(OR(2424972.02699="",4536.4406="",4837.67416=""),"-",(4536.4406-4837.67416)/2424972.02699*100)</f>
        <v>-0.012422145766931021</v>
      </c>
    </row>
    <row r="62" spans="1:7" s="10" customFormat="1" ht="15.75">
      <c r="A62" s="21" t="s">
        <v>175</v>
      </c>
      <c r="B62" s="72">
        <f>IF(4263.42163="","-",4263.42163)</f>
        <v>4263.42163</v>
      </c>
      <c r="C62" s="72">
        <f>IF(OR(5011.79659="",4263.42163=""),"-",4263.42163/5011.79659*100)</f>
        <v>85.06773077157148</v>
      </c>
      <c r="D62" s="72">
        <f>IF(5011.79659="","-",5011.79659/2424972.02699*100)</f>
        <v>0.20667440837331633</v>
      </c>
      <c r="E62" s="72">
        <f>IF(4263.42163="","-",4263.42163/2706901.80962*100)</f>
        <v>0.15750189441110563</v>
      </c>
      <c r="F62" s="72">
        <f>IF(OR(2044610.75747="",5636.1095="",5011.79659=""),"-",(5011.79659-5636.1095)/2044610.75747*100)</f>
        <v>-0.030534560562154336</v>
      </c>
      <c r="G62" s="72">
        <f>IF(OR(2424972.02699="",4263.42163="",5011.79659=""),"-",(4263.42163-5011.79659)/2424972.02699*100)</f>
        <v>-0.030861179084565423</v>
      </c>
    </row>
    <row r="63" spans="1:7" s="17" customFormat="1" ht="15.75">
      <c r="A63" s="21" t="s">
        <v>108</v>
      </c>
      <c r="B63" s="72">
        <f>IF(3526.15639="","-",3526.15639)</f>
        <v>3526.15639</v>
      </c>
      <c r="C63" s="72">
        <f>IF(OR(4567.61742="",3526.15639=""),"-",3526.15639/4567.61742*100)</f>
        <v>77.19903104319101</v>
      </c>
      <c r="D63" s="72">
        <f>IF(4567.61742="","-",4567.61742/2424972.02699*100)</f>
        <v>0.1883575302792074</v>
      </c>
      <c r="E63" s="72">
        <f>IF(3526.15639="","-",3526.15639/2706901.80962*100)</f>
        <v>0.13026539704796344</v>
      </c>
      <c r="F63" s="72">
        <f>IF(OR(2044610.75747="",4617.49433="",4567.61742=""),"-",(4567.61742-4617.49433)/2044610.75747*100)</f>
        <v>-0.0024394330225337617</v>
      </c>
      <c r="G63" s="72">
        <f>IF(OR(2424972.02699="",3526.15639="",4567.61742=""),"-",(3526.15639-4567.61742)/2424972.02699*100)</f>
        <v>-0.04294734200677418</v>
      </c>
    </row>
    <row r="64" spans="1:7" s="19" customFormat="1" ht="15.75">
      <c r="A64" s="21" t="s">
        <v>258</v>
      </c>
      <c r="B64" s="72">
        <f>IF(3494.73402="","-",3494.73402)</f>
        <v>3494.73402</v>
      </c>
      <c r="C64" s="72" t="s">
        <v>264</v>
      </c>
      <c r="D64" s="72">
        <f>IF(1251.56416="","-",1251.56416/2424972.02699*100)</f>
        <v>0.05161148854791144</v>
      </c>
      <c r="E64" s="72">
        <f>IF(3494.73402="","-",3494.73402/2706901.80962*100)</f>
        <v>0.1291045728951135</v>
      </c>
      <c r="F64" s="72">
        <f>IF(OR(2044610.75747="",162.78283="",1251.56416=""),"-",(1251.56416-162.78283)/2044610.75747*100)</f>
        <v>0.053251276607155146</v>
      </c>
      <c r="G64" s="72">
        <f>IF(OR(2424972.02699="",3494.73402="",1251.56416=""),"-",(3494.73402-1251.56416)/2424972.02699*100)</f>
        <v>0.09250291694227655</v>
      </c>
    </row>
    <row r="65" spans="1:7" s="10" customFormat="1" ht="15.75">
      <c r="A65" s="21" t="s">
        <v>109</v>
      </c>
      <c r="B65" s="72">
        <f>IF(2499.886="","-",2499.886)</f>
        <v>2499.886</v>
      </c>
      <c r="C65" s="72">
        <f>IF(OR(4550.26714="",2499.886=""),"-",2499.886/4550.26714*100)</f>
        <v>54.939323848137846</v>
      </c>
      <c r="D65" s="72">
        <f>IF(4550.26714="","-",4550.26714/2424972.02699*100)</f>
        <v>0.18764204656199787</v>
      </c>
      <c r="E65" s="72">
        <f>IF(2499.886="","-",2499.886/2706901.80962*100)</f>
        <v>0.09235229704733688</v>
      </c>
      <c r="F65" s="72">
        <f>IF(OR(2044610.75747="",4830.55151="",4550.26714=""),"-",(4550.26714-4830.55151)/2044610.75747*100)</f>
        <v>-0.013708446410935644</v>
      </c>
      <c r="G65" s="72">
        <f>IF(OR(2424972.02699="",2499.886="",4550.26714=""),"-",(2499.886-4550.26714)/2424972.02699*100)</f>
        <v>-0.08455277492602825</v>
      </c>
    </row>
    <row r="66" spans="1:7" s="10" customFormat="1" ht="15.75">
      <c r="A66" s="21" t="s">
        <v>116</v>
      </c>
      <c r="B66" s="72">
        <f>IF(2301.01538="","-",2301.01538)</f>
        <v>2301.01538</v>
      </c>
      <c r="C66" s="72" t="s">
        <v>265</v>
      </c>
      <c r="D66" s="72">
        <f>IF(283.66265="","-",283.66265/2424972.02699*100)</f>
        <v>0.011697563800440892</v>
      </c>
      <c r="E66" s="72">
        <f>IF(2301.01538="","-",2301.01538/2706901.80962*100)</f>
        <v>0.08500549860443667</v>
      </c>
      <c r="F66" s="72">
        <f>IF(OR(2044610.75747="",1429.88723="",283.66265=""),"-",(283.66265-1429.88723)/2044610.75747*100)</f>
        <v>-0.05606077224294454</v>
      </c>
      <c r="G66" s="72">
        <f>IF(OR(2424972.02699="",2301.01538="",283.66265=""),"-",(2301.01538-283.66265)/2424972.02699*100)</f>
        <v>0.0831907629262034</v>
      </c>
    </row>
    <row r="67" spans="1:7" s="10" customFormat="1" ht="15.75">
      <c r="A67" s="21" t="s">
        <v>132</v>
      </c>
      <c r="B67" s="72">
        <f>IF(2196.9289="","-",2196.9289)</f>
        <v>2196.9289</v>
      </c>
      <c r="C67" s="72" t="s">
        <v>239</v>
      </c>
      <c r="D67" s="72">
        <f>IF(866.0086="","-",866.0086/2424972.02699*100)</f>
        <v>0.03571210679386411</v>
      </c>
      <c r="E67" s="72">
        <f>IF(2196.9289="","-",2196.9289/2706901.80962*100)</f>
        <v>0.0811602730543229</v>
      </c>
      <c r="F67" s="72">
        <f>IF(OR(2044610.75747="",70.55791="",866.0086=""),"-",(866.0086-70.55791)/2044610.75747*100)</f>
        <v>0.038904749331569115</v>
      </c>
      <c r="G67" s="72">
        <f>IF(OR(2424972.02699="",2196.9289="",866.0086=""),"-",(2196.9289-866.0086)/2424972.02699*100)</f>
        <v>0.05488394444087697</v>
      </c>
    </row>
    <row r="68" spans="1:7" s="10" customFormat="1" ht="15.75">
      <c r="A68" s="21" t="s">
        <v>129</v>
      </c>
      <c r="B68" s="72">
        <f>IF(1831.40841="","-",1831.40841)</f>
        <v>1831.40841</v>
      </c>
      <c r="C68" s="72" t="s">
        <v>241</v>
      </c>
      <c r="D68" s="72">
        <f>IF(758.2889="","-",758.2889/2424972.02699*100)</f>
        <v>0.031270006068532974</v>
      </c>
      <c r="E68" s="72">
        <f>IF(1831.40841="","-",1831.40841/2706901.80962*100)</f>
        <v>0.06765699455707617</v>
      </c>
      <c r="F68" s="72">
        <f>IF(OR(2044610.75747="",473.76905="",758.2889=""),"-",(758.2889-473.76905)/2044610.75747*100)</f>
        <v>0.013915599776656986</v>
      </c>
      <c r="G68" s="72">
        <f>IF(OR(2424972.02699="",1831.40841="",758.2889=""),"-",(1831.40841-758.2889)/2424972.02699*100)</f>
        <v>0.044252861396179115</v>
      </c>
    </row>
    <row r="69" spans="1:7" s="10" customFormat="1" ht="15.75">
      <c r="A69" s="21" t="s">
        <v>107</v>
      </c>
      <c r="B69" s="72">
        <f>IF(1824.60754="","-",1824.60754)</f>
        <v>1824.60754</v>
      </c>
      <c r="C69" s="72">
        <f>IF(OR(1229.80969="",1824.60754=""),"-",1824.60754/1229.80969*100)</f>
        <v>148.3650319912506</v>
      </c>
      <c r="D69" s="72">
        <f>IF(1229.80969="","-",1229.80969/2424972.02699*100)</f>
        <v>0.05071438665321443</v>
      </c>
      <c r="E69" s="72">
        <f>IF(1824.60754="","-",1824.60754/2706901.80962*100)</f>
        <v>0.06740575271388</v>
      </c>
      <c r="F69" s="72">
        <f>IF(OR(2044610.75747="",4210.03303="",1229.80969=""),"-",(1229.80969-4210.03303)/2044610.75747*100)</f>
        <v>-0.14575993641389845</v>
      </c>
      <c r="G69" s="72">
        <f>IF(OR(2424972.02699="",1824.60754="",1229.80969=""),"-",(1824.60754-1229.80969)/2424972.02699*100)</f>
        <v>0.024528029328993683</v>
      </c>
    </row>
    <row r="70" spans="1:7" s="10" customFormat="1" ht="15.75">
      <c r="A70" s="21" t="s">
        <v>161</v>
      </c>
      <c r="B70" s="72">
        <f>IF(1747.10378="","-",1747.10378)</f>
        <v>1747.10378</v>
      </c>
      <c r="C70" s="72" t="s">
        <v>266</v>
      </c>
      <c r="D70" s="72">
        <f>IF(1.046="","-",1.046/2424972.02699*100)</f>
        <v>4.3134518186519E-05</v>
      </c>
      <c r="E70" s="72">
        <f>IF(1747.10378="","-",1747.10378/2706901.80962*100)</f>
        <v>0.06454256204606335</v>
      </c>
      <c r="F70" s="72" t="str">
        <f>IF(OR(2044610.75747="",""="",1.046=""),"-",(1.046-"")/2044610.75747*100)</f>
        <v>-</v>
      </c>
      <c r="G70" s="72">
        <f>IF(OR(2424972.02699="",1747.10378="",1.046=""),"-",(1747.10378-1.046)/2424972.02699*100)</f>
        <v>0.07200321325633172</v>
      </c>
    </row>
    <row r="71" spans="1:7" s="10" customFormat="1" ht="15.75">
      <c r="A71" s="21" t="s">
        <v>172</v>
      </c>
      <c r="B71" s="72">
        <f>IF(1740.84344="","-",1740.84344)</f>
        <v>1740.84344</v>
      </c>
      <c r="C71" s="72" t="str">
        <f>IF(OR(""="",1740.84344=""),"-",1740.84344/""*100)</f>
        <v>-</v>
      </c>
      <c r="D71" s="72" t="str">
        <f>IF(""="","-",""/2424972.02699*100)</f>
        <v>-</v>
      </c>
      <c r="E71" s="72">
        <f>IF(1740.84344="","-",1740.84344/2706901.80962*100)</f>
        <v>0.06431128878828386</v>
      </c>
      <c r="F71" s="72" t="str">
        <f>IF(OR(2044610.75747="",""="",""=""),"-",(""-"")/2044610.75747*100)</f>
        <v>-</v>
      </c>
      <c r="G71" s="72" t="str">
        <f>IF(OR(2424972.02699="",1740.84344="",""=""),"-",(1740.84344-"")/2424972.02699*100)</f>
        <v>-</v>
      </c>
    </row>
    <row r="72" spans="1:7" s="10" customFormat="1" ht="15.75">
      <c r="A72" s="21" t="s">
        <v>115</v>
      </c>
      <c r="B72" s="72">
        <f>IF(1671.30575="","-",1671.30575)</f>
        <v>1671.30575</v>
      </c>
      <c r="C72" s="72">
        <f>IF(OR(1319.20847="",1671.30575=""),"-",1671.30575/1319.20847*100)</f>
        <v>126.69004088489517</v>
      </c>
      <c r="D72" s="72">
        <f>IF(1319.20847="","-",1319.20847/2424972.02699*100)</f>
        <v>0.0544009768078632</v>
      </c>
      <c r="E72" s="72">
        <f>IF(1671.30575="","-",1671.30575/2706901.80962*100)</f>
        <v>0.06174238548514699</v>
      </c>
      <c r="F72" s="72">
        <f>IF(OR(2044610.75747="",1684.04338="",1319.20847=""),"-",(1319.20847-1684.04338)/2044610.75747*100)</f>
        <v>-0.017843734249517816</v>
      </c>
      <c r="G72" s="72">
        <f>IF(OR(2424972.02699="",1671.30575="",1319.20847=""),"-",(1671.30575-1319.20847)/2424972.02699*100)</f>
        <v>0.014519642951801024</v>
      </c>
    </row>
    <row r="73" spans="1:7" s="10" customFormat="1" ht="15.75">
      <c r="A73" s="21" t="s">
        <v>83</v>
      </c>
      <c r="B73" s="72">
        <f>IF(1607.57384="","-",1607.57384)</f>
        <v>1607.57384</v>
      </c>
      <c r="C73" s="72" t="s">
        <v>267</v>
      </c>
      <c r="D73" s="72">
        <f>IF(226.87066="","-",226.87066/2424972.02699*100)</f>
        <v>0.009355599053305514</v>
      </c>
      <c r="E73" s="72">
        <f>IF(1607.57384="","-",1607.57384/2706901.80962*100)</f>
        <v>0.05938796280998735</v>
      </c>
      <c r="F73" s="72">
        <f>IF(OR(2044610.75747="",56.39275="",226.87066=""),"-",(226.87066-56.39275)/2044610.75747*100)</f>
        <v>0.00833791514483418</v>
      </c>
      <c r="G73" s="72">
        <f>IF(OR(2424972.02699="",1607.57384="",226.87066=""),"-",(1607.57384-226.87066)/2424972.02699*100)</f>
        <v>0.056936870389956616</v>
      </c>
    </row>
    <row r="74" spans="1:7" ht="15.75">
      <c r="A74" s="21" t="s">
        <v>259</v>
      </c>
      <c r="B74" s="72">
        <f>IF(1588.22189="","-",1588.22189)</f>
        <v>1588.22189</v>
      </c>
      <c r="C74" s="72">
        <f>IF(OR(2041.05144="",1588.22189=""),"-",1588.22189/2041.05144*100)</f>
        <v>77.81390801203914</v>
      </c>
      <c r="D74" s="72">
        <f>IF(2041.05144="","-",2041.05144/2424972.02699*100)</f>
        <v>0.08416804059110974</v>
      </c>
      <c r="E74" s="72">
        <f>IF(1588.22189="","-",1588.22189/2706901.80962*100)</f>
        <v>0.05867305139608879</v>
      </c>
      <c r="F74" s="72">
        <f>IF(OR(2044610.75747="",1603.24="",2041.05144=""),"-",(2041.05144-1603.24)/2044610.75747*100)</f>
        <v>0.021412948083171953</v>
      </c>
      <c r="G74" s="72">
        <f>IF(OR(2424972.02699="",1588.22189="",2041.05144=""),"-",(1588.22189-2041.05144)/2424972.02699*100)</f>
        <v>-0.01867359891000785</v>
      </c>
    </row>
    <row r="75" spans="1:7" ht="15.75">
      <c r="A75" s="21" t="s">
        <v>121</v>
      </c>
      <c r="B75" s="72">
        <f>IF(1533.57003="","-",1533.57003)</f>
        <v>1533.57003</v>
      </c>
      <c r="C75" s="72">
        <f>IF(OR(1050.68346="",1533.57003=""),"-",1533.57003/1050.68346*100)</f>
        <v>145.95928158990912</v>
      </c>
      <c r="D75" s="72">
        <f>IF(1050.68346="","-",1050.68346/2424972.02699*100)</f>
        <v>0.04332765278551119</v>
      </c>
      <c r="E75" s="72">
        <f>IF(1533.57003="","-",1533.57003/2706901.80962*100)</f>
        <v>0.0566540694069463</v>
      </c>
      <c r="F75" s="72">
        <f>IF(OR(2044610.75747="",827.03792="",1050.68346=""),"-",(1050.68346-827.03792)/2044610.75747*100)</f>
        <v>0.010938294205041688</v>
      </c>
      <c r="G75" s="72">
        <f>IF(OR(2424972.02699="",1533.57003="",1050.68346=""),"-",(1533.57003-1050.68346)/2424972.02699*100)</f>
        <v>0.019913077949991188</v>
      </c>
    </row>
    <row r="76" spans="1:7" ht="15.75">
      <c r="A76" s="21" t="s">
        <v>122</v>
      </c>
      <c r="B76" s="72">
        <f>IF(1504.88143="","-",1504.88143)</f>
        <v>1504.88143</v>
      </c>
      <c r="C76" s="72" t="s">
        <v>193</v>
      </c>
      <c r="D76" s="72">
        <f>IF(930.07398="","-",930.07398/2424972.02699*100)</f>
        <v>0.03835400860909953</v>
      </c>
      <c r="E76" s="72">
        <f>IF(1504.88143="","-",1504.88143/2706901.80962*100)</f>
        <v>0.055594237834997715</v>
      </c>
      <c r="F76" s="72">
        <f>IF(OR(2044610.75747="",775.97094="",930.07398=""),"-",(930.07398-775.97094)/2044610.75747*100)</f>
        <v>0.007537035567135868</v>
      </c>
      <c r="G76" s="72">
        <f>IF(OR(2424972.02699="",1504.88143="",930.07398=""),"-",(1504.88143-930.07398)/2424972.02699*100)</f>
        <v>0.023703673428079927</v>
      </c>
    </row>
    <row r="77" spans="1:7" ht="15.75">
      <c r="A77" s="21" t="s">
        <v>117</v>
      </c>
      <c r="B77" s="72">
        <f>IF(1429.48117="","-",1429.48117)</f>
        <v>1429.48117</v>
      </c>
      <c r="C77" s="72">
        <f>IF(OR(2981.81627="",1429.48117=""),"-",1429.48117/2981.81627*100)</f>
        <v>47.93994802369229</v>
      </c>
      <c r="D77" s="72">
        <f>IF(2981.81627="","-",2981.81627/2424972.02699*100)</f>
        <v>0.12296291407951551</v>
      </c>
      <c r="E77" s="72">
        <f>IF(1429.48117="","-",1429.48117/2706901.80962*100)</f>
        <v>0.05280875593343644</v>
      </c>
      <c r="F77" s="72">
        <f>IF(OR(2044610.75747="",1322.4204="",2981.81627=""),"-",(2981.81627-1322.4204)/2044610.75747*100)</f>
        <v>0.08115950011205728</v>
      </c>
      <c r="G77" s="72">
        <f>IF(OR(2424972.02699="",1429.48117="",2981.81627=""),"-",(1429.48117-2981.81627)/2424972.02699*100)</f>
        <v>-0.06401455698137838</v>
      </c>
    </row>
    <row r="78" spans="1:7" ht="15.75">
      <c r="A78" s="21" t="s">
        <v>138</v>
      </c>
      <c r="B78" s="72">
        <f>IF(1136.89844="","-",1136.89844)</f>
        <v>1136.89844</v>
      </c>
      <c r="C78" s="72" t="s">
        <v>268</v>
      </c>
      <c r="D78" s="72">
        <f>IF(17.77175="","-",17.77175/2424972.02699*100)</f>
        <v>0.0007328641238826663</v>
      </c>
      <c r="E78" s="72">
        <f>IF(1136.89844="","-",1136.89844/2706901.80962*100)</f>
        <v>0.04199998817687443</v>
      </c>
      <c r="F78" s="72">
        <f>IF(OR(2044610.75747="",53.46778="",17.77175=""),"-",(17.77175-53.46778)/2044610.75747*100)</f>
        <v>-0.0017458594438860449</v>
      </c>
      <c r="G78" s="72">
        <f>IF(OR(2424972.02699="",1136.89844="",17.77175=""),"-",(1136.89844-17.77175)/2424972.02699*100)</f>
        <v>0.04615008658013748</v>
      </c>
    </row>
    <row r="79" spans="1:7" ht="15.75">
      <c r="A79" s="21" t="s">
        <v>152</v>
      </c>
      <c r="B79" s="72">
        <f>IF(1021.77666="","-",1021.77666)</f>
        <v>1021.77666</v>
      </c>
      <c r="C79" s="72">
        <f>IF(OR(1887.89814="",1021.77666=""),"-",1021.77666/1887.89814*100)</f>
        <v>54.12244645783697</v>
      </c>
      <c r="D79" s="72">
        <f>IF(1887.89814="","-",1887.89814/2424972.02699*100)</f>
        <v>0.07785236773816959</v>
      </c>
      <c r="E79" s="72">
        <f>IF(1021.77666="","-",1021.77666/2706901.80962*100)</f>
        <v>0.03774708991544244</v>
      </c>
      <c r="F79" s="72">
        <f>IF(OR(2044610.75747="",432.82922="",1887.89814=""),"-",(1887.89814-432.82922)/2044610.75747*100)</f>
        <v>0.07116606007690682</v>
      </c>
      <c r="G79" s="72">
        <f>IF(OR(2424972.02699="",1021.77666="",1887.89814=""),"-",(1021.77666-1887.89814)/2424972.02699*100)</f>
        <v>-0.03571676169292041</v>
      </c>
    </row>
    <row r="80" spans="1:7" ht="15.75">
      <c r="A80" s="21" t="s">
        <v>148</v>
      </c>
      <c r="B80" s="72">
        <f>IF(1016.46587="","-",1016.46587)</f>
        <v>1016.46587</v>
      </c>
      <c r="C80" s="72" t="s">
        <v>238</v>
      </c>
      <c r="D80" s="72">
        <f>IF(589.0533="","-",589.0533/2424972.02699*100)</f>
        <v>0.024291137936595632</v>
      </c>
      <c r="E80" s="72">
        <f>IF(1016.46587="","-",1016.46587/2706901.80962*100)</f>
        <v>0.03755089550672299</v>
      </c>
      <c r="F80" s="72">
        <f>IF(OR(2044610.75747="",485.669="",589.0533=""),"-",(589.0533-485.669)/2044610.75747*100)</f>
        <v>0.005056429426593046</v>
      </c>
      <c r="G80" s="72">
        <f>IF(OR(2424972.02699="",1016.46587="",589.0533=""),"-",(1016.46587-589.0533)/2424972.02699*100)</f>
        <v>0.017625463932898492</v>
      </c>
    </row>
    <row r="81" spans="1:7" ht="15.75">
      <c r="A81" s="21" t="s">
        <v>153</v>
      </c>
      <c r="B81" s="72">
        <f>IF(989.95466="","-",989.95466)</f>
        <v>989.95466</v>
      </c>
      <c r="C81" s="72">
        <f>IF(OR(993.71318="",989.95466=""),"-",989.95466/993.71318*100)</f>
        <v>99.62177013693227</v>
      </c>
      <c r="D81" s="72">
        <f>IF(993.71318="","-",993.71318/2424972.02699*100)</f>
        <v>0.04097833578861723</v>
      </c>
      <c r="E81" s="72">
        <f>IF(989.95466="","-",989.95466/2706901.80962*100)</f>
        <v>0.03657150238999514</v>
      </c>
      <c r="F81" s="72">
        <f>IF(OR(2044610.75747="",67.13405="",993.71318=""),"-",(993.71318-67.13405)/2044610.75747*100)</f>
        <v>0.045318118698864145</v>
      </c>
      <c r="G81" s="72">
        <f>IF(OR(2424972.02699="",989.95466="",993.71318=""),"-",(989.95466-993.71318)/2424972.02699*100)</f>
        <v>-0.00015499230334072118</v>
      </c>
    </row>
    <row r="82" spans="1:7" ht="15.75">
      <c r="A82" s="21" t="s">
        <v>174</v>
      </c>
      <c r="B82" s="72">
        <f>IF(964.16862="","-",964.16862)</f>
        <v>964.16862</v>
      </c>
      <c r="C82" s="72" t="s">
        <v>269</v>
      </c>
      <c r="D82" s="72">
        <f>IF(40.27163="","-",40.27163/2424972.02699*100)</f>
        <v>0.0016607049298621073</v>
      </c>
      <c r="E82" s="72">
        <f>IF(964.16862="","-",964.16862/2706901.80962*100)</f>
        <v>0.035618898940976064</v>
      </c>
      <c r="F82" s="72">
        <f>IF(OR(2044610.75747="",26.24="",40.27163=""),"-",(40.27163-26.24)/2044610.75747*100)</f>
        <v>0.0006862739007283094</v>
      </c>
      <c r="G82" s="72">
        <f>IF(OR(2424972.02699="",964.16862="",40.27163=""),"-",(964.16862-40.27163)/2424972.02699*100)</f>
        <v>0.038099284433676064</v>
      </c>
    </row>
    <row r="83" spans="1:7" ht="15.75">
      <c r="A83" s="21" t="s">
        <v>124</v>
      </c>
      <c r="B83" s="72">
        <f>IF(774.78693="","-",774.78693)</f>
        <v>774.78693</v>
      </c>
      <c r="C83" s="72">
        <f>IF(OR(558.22111="",774.78693=""),"-",774.78693/558.22111*100)</f>
        <v>138.79570588077544</v>
      </c>
      <c r="D83" s="72">
        <f>IF(558.22111="","-",558.22111/2424972.02699*100)</f>
        <v>0.023019692754678606</v>
      </c>
      <c r="E83" s="72">
        <f>IF(774.78693="","-",774.78693/2706901.80962*100)</f>
        <v>0.02862264627577186</v>
      </c>
      <c r="F83" s="72">
        <f>IF(OR(2044610.75747="",495.16209="",558.22111=""),"-",(558.22111-495.16209)/2044610.75747*100)</f>
        <v>0.0030841576945447144</v>
      </c>
      <c r="G83" s="72">
        <f>IF(OR(2424972.02699="",774.78693="",558.22111=""),"-",(774.78693-558.22111)/2424972.02699*100)</f>
        <v>0.00893065229576329</v>
      </c>
    </row>
    <row r="84" spans="1:7" ht="15.75">
      <c r="A84" s="21" t="s">
        <v>156</v>
      </c>
      <c r="B84" s="72">
        <f>IF(737.04172="","-",737.04172)</f>
        <v>737.04172</v>
      </c>
      <c r="C84" s="72" t="s">
        <v>230</v>
      </c>
      <c r="D84" s="72">
        <f>IF(482.15933="","-",482.15933/2424972.02699*100)</f>
        <v>0.0198830883257025</v>
      </c>
      <c r="E84" s="72">
        <f>IF(737.04172="","-",737.04172/2706901.80962*100)</f>
        <v>0.027228239952429872</v>
      </c>
      <c r="F84" s="72">
        <f>IF(OR(2044610.75747="",118.14958="",482.15933=""),"-",(482.15933-118.14958)/2044610.75747*100)</f>
        <v>0.017803376445618697</v>
      </c>
      <c r="G84" s="72">
        <f>IF(OR(2424972.02699="",737.04172="",482.15933=""),"-",(737.04172-482.15933)/2424972.02699*100)</f>
        <v>0.010510735264702132</v>
      </c>
    </row>
    <row r="85" spans="1:7" ht="15.75">
      <c r="A85" s="21" t="s">
        <v>82</v>
      </c>
      <c r="B85" s="72">
        <f>IF(711.66834="","-",711.66834)</f>
        <v>711.66834</v>
      </c>
      <c r="C85" s="72">
        <f>IF(OR(758.66905="",711.66834=""),"-",711.66834/758.66905*100)</f>
        <v>93.80484679057358</v>
      </c>
      <c r="D85" s="72">
        <f>IF(758.66905="","-",758.66905/2424972.02699*100)</f>
        <v>0.03128568253802494</v>
      </c>
      <c r="E85" s="72">
        <f>IF(711.66834="","-",711.66834/2706901.80962*100)</f>
        <v>0.026290881238130514</v>
      </c>
      <c r="F85" s="72">
        <f>IF(OR(2044610.75747="",243.05797="",758.66905=""),"-",(758.66905-243.05797)/2044610.75747*100)</f>
        <v>0.025218055716287862</v>
      </c>
      <c r="G85" s="72">
        <f>IF(OR(2424972.02699="",711.66834="",758.66905=""),"-",(711.66834-758.66905)/2424972.02699*100)</f>
        <v>-0.0019381959658454173</v>
      </c>
    </row>
    <row r="86" spans="1:7" ht="15.75">
      <c r="A86" s="21" t="s">
        <v>81</v>
      </c>
      <c r="B86" s="72">
        <f>IF(705.08306="","-",705.08306)</f>
        <v>705.08306</v>
      </c>
      <c r="C86" s="72" t="s">
        <v>243</v>
      </c>
      <c r="D86" s="72">
        <f>IF(340.21188="","-",340.21188/2424972.02699*100)</f>
        <v>0.014029517710449158</v>
      </c>
      <c r="E86" s="72">
        <f>IF(705.08306="","-",705.08306/2706901.80962*100)</f>
        <v>0.026047603850801702</v>
      </c>
      <c r="F86" s="72">
        <f>IF(OR(2044610.75747="",304.87012="",340.21188=""),"-",(340.21188-304.87012)/2044610.75747*100)</f>
        <v>0.0017285324295041808</v>
      </c>
      <c r="G86" s="72">
        <f>IF(OR(2424972.02699="",705.08306="",340.21188=""),"-",(705.08306-340.21188)/2424972.02699*100)</f>
        <v>0.015046407791057982</v>
      </c>
    </row>
    <row r="87" spans="1:7" ht="15.75">
      <c r="A87" s="21" t="s">
        <v>142</v>
      </c>
      <c r="B87" s="72">
        <f>IF(636.46013="","-",636.46013)</f>
        <v>636.46013</v>
      </c>
      <c r="C87" s="72" t="s">
        <v>238</v>
      </c>
      <c r="D87" s="72">
        <f>IF(373.79712="","-",373.79712/2424972.02699*100)</f>
        <v>0.015414492037006141</v>
      </c>
      <c r="E87" s="72">
        <f>IF(636.46013="","-",636.46013/2706901.80962*100)</f>
        <v>0.02351249416355252</v>
      </c>
      <c r="F87" s="72">
        <f>IF(OR(2044610.75747="",259.52713="",373.79712=""),"-",(373.79712-259.52713)/2044610.75747*100)</f>
        <v>0.005588838344047334</v>
      </c>
      <c r="G87" s="72">
        <f>IF(OR(2424972.02699="",636.46013="",373.79712=""),"-",(636.46013-373.79712)/2424972.02699*100)</f>
        <v>0.01083158927511551</v>
      </c>
    </row>
    <row r="88" spans="1:7" ht="15.75">
      <c r="A88" s="21" t="s">
        <v>180</v>
      </c>
      <c r="B88" s="72">
        <f>IF(599.98653="","-",599.98653)</f>
        <v>599.98653</v>
      </c>
      <c r="C88" s="72" t="s">
        <v>270</v>
      </c>
      <c r="D88" s="72">
        <f>IF(0.53598="","-",0.53598/2424972.02699*100)</f>
        <v>2.2102522999627583E-05</v>
      </c>
      <c r="E88" s="72">
        <f>IF(599.98653="","-",599.98653/2706901.80962*100)</f>
        <v>0.022165064424122104</v>
      </c>
      <c r="F88" s="72">
        <f>IF(OR(2044610.75747="",22.01314="",0.53598=""),"-",(0.53598-22.01314)/2044610.75747*100)</f>
        <v>-0.001050427809867137</v>
      </c>
      <c r="G88" s="72">
        <f>IF(OR(2424972.02699="",599.98653="",0.53598=""),"-",(599.98653-0.53598)/2424972.02699*100)</f>
        <v>0.024719895459745525</v>
      </c>
    </row>
    <row r="89" spans="1:7" ht="15.75">
      <c r="A89" s="21" t="s">
        <v>147</v>
      </c>
      <c r="B89" s="72">
        <f>IF(581.76587="","-",581.76587)</f>
        <v>581.76587</v>
      </c>
      <c r="C89" s="72">
        <f>IF(OR(782.2788="",581.76587=""),"-",581.76587/782.2788*100)</f>
        <v>74.3680986880892</v>
      </c>
      <c r="D89" s="72">
        <f>IF(782.2788="","-",782.2788/2424972.02699*100)</f>
        <v>0.032259291707005984</v>
      </c>
      <c r="E89" s="72">
        <f>IF(581.76587="","-",581.76587/2706901.80962*100)</f>
        <v>0.021491945808025794</v>
      </c>
      <c r="F89" s="72">
        <f>IF(OR(2044610.75747="",774.35532="",782.2788=""),"-",(782.2788-774.35532)/2044610.75747*100)</f>
        <v>0.00038752999665347303</v>
      </c>
      <c r="G89" s="72">
        <f>IF(OR(2424972.02699="",581.76587="",782.2788=""),"-",(581.76587-782.2788)/2424972.02699*100)</f>
        <v>-0.0082686698142612</v>
      </c>
    </row>
    <row r="90" spans="1:7" ht="15.75">
      <c r="A90" s="21" t="s">
        <v>134</v>
      </c>
      <c r="B90" s="72">
        <f>IF(570.51401="","-",570.51401)</f>
        <v>570.51401</v>
      </c>
      <c r="C90" s="72" t="s">
        <v>271</v>
      </c>
      <c r="D90" s="72">
        <f>IF(59.2493="","-",59.2493/2424972.02699*100)</f>
        <v>0.0024432982871783176</v>
      </c>
      <c r="E90" s="72">
        <f>IF(570.51401="","-",570.51401/2706901.80962*100)</f>
        <v>0.021076272806514907</v>
      </c>
      <c r="F90" s="72">
        <f>IF(OR(2044610.75747="",253.5538="",59.2493=""),"-",(59.2493-253.5538)/2044610.75747*100)</f>
        <v>-0.009503251378782348</v>
      </c>
      <c r="G90" s="72">
        <f>IF(OR(2424972.02699="",570.51401="",59.2493=""),"-",(570.51401-59.2493)/2424972.02699*100)</f>
        <v>0.021083324026405698</v>
      </c>
    </row>
    <row r="91" spans="1:7" ht="15.75">
      <c r="A91" s="21" t="s">
        <v>213</v>
      </c>
      <c r="B91" s="72">
        <f>IF(555.49575="","-",555.49575)</f>
        <v>555.49575</v>
      </c>
      <c r="C91" s="72" t="s">
        <v>272</v>
      </c>
      <c r="D91" s="72">
        <f>IF(40.7972="","-",40.7972/2424972.02699*100)</f>
        <v>0.0016823781695593238</v>
      </c>
      <c r="E91" s="72">
        <f>IF(555.49575="","-",555.49575/2706901.80962*100)</f>
        <v>0.020521459183552047</v>
      </c>
      <c r="F91" s="72">
        <f>IF(OR(2044610.75747="",9.61322="",40.7972=""),"-",(40.7972-9.61322)/2044610.75747*100)</f>
        <v>0.0015251792981167249</v>
      </c>
      <c r="G91" s="72">
        <f>IF(OR(2424972.02699="",555.49575="",40.7972=""),"-",(555.49575-40.7972)/2424972.02699*100)</f>
        <v>0.021224927309321184</v>
      </c>
    </row>
    <row r="92" spans="1:7" ht="15.75">
      <c r="A92" s="21" t="s">
        <v>260</v>
      </c>
      <c r="B92" s="72">
        <f>IF(553.40198="","-",553.40198)</f>
        <v>553.40198</v>
      </c>
      <c r="C92" s="72" t="str">
        <f>IF(OR(""="",553.40198=""),"-",553.40198/""*100)</f>
        <v>-</v>
      </c>
      <c r="D92" s="72" t="str">
        <f>IF(""="","-",""/2424972.02699*100)</f>
        <v>-</v>
      </c>
      <c r="E92" s="72">
        <f>IF(553.40198="","-",553.40198/2706901.80962*100)</f>
        <v>0.020444109868827776</v>
      </c>
      <c r="F92" s="72" t="str">
        <f>IF(OR(2044610.75747="",""="",""=""),"-",(""-"")/2044610.75747*100)</f>
        <v>-</v>
      </c>
      <c r="G92" s="72" t="str">
        <f>IF(OR(2424972.02699="",553.40198="",""=""),"-",(553.40198-"")/2424972.02699*100)</f>
        <v>-</v>
      </c>
    </row>
    <row r="93" spans="1:7" ht="15.75">
      <c r="A93" s="21" t="s">
        <v>173</v>
      </c>
      <c r="B93" s="72">
        <f>IF(497.59067="","-",497.59067)</f>
        <v>497.59067</v>
      </c>
      <c r="C93" s="72" t="s">
        <v>243</v>
      </c>
      <c r="D93" s="72">
        <f>IF(242.01661="","-",242.01661/2424972.02699*100)</f>
        <v>0.009980181515759728</v>
      </c>
      <c r="E93" s="72">
        <f>IF(497.59067="","-",497.59067/2706901.80962*100)</f>
        <v>0.018382294778171236</v>
      </c>
      <c r="F93" s="72">
        <f>IF(OR(2044610.75747="",282.85589="",242.01661=""),"-",(242.01661-282.85589)/2044610.75747*100)</f>
        <v>-0.0019974109913485196</v>
      </c>
      <c r="G93" s="72">
        <f>IF(OR(2424972.02699="",497.59067="",242.01661=""),"-",(497.59067-242.01661)/2424972.02699*100)</f>
        <v>0.010539258067946939</v>
      </c>
    </row>
    <row r="94" spans="1:7" ht="15.75">
      <c r="A94" s="21" t="s">
        <v>123</v>
      </c>
      <c r="B94" s="72">
        <f>IF(424.15862="","-",424.15862)</f>
        <v>424.15862</v>
      </c>
      <c r="C94" s="72" t="s">
        <v>245</v>
      </c>
      <c r="D94" s="72">
        <f>IF(222.86683="","-",222.86683/2424972.02699*100)</f>
        <v>0.009190490756985503</v>
      </c>
      <c r="E94" s="72">
        <f>IF(424.15862="","-",424.15862/2706901.80962*100)</f>
        <v>0.015669523678051116</v>
      </c>
      <c r="F94" s="72">
        <f>IF(OR(2044610.75747="",517.16083="",222.86683=""),"-",(222.86683-517.16083)/2044610.75747*100)</f>
        <v>-0.014393644312238642</v>
      </c>
      <c r="G94" s="72">
        <f>IF(OR(2424972.02699="",424.15862="",222.86683=""),"-",(424.15862-222.86683)/2424972.02699*100)</f>
        <v>0.008300788122898625</v>
      </c>
    </row>
    <row r="95" spans="1:7" ht="15.75">
      <c r="A95" s="21" t="s">
        <v>160</v>
      </c>
      <c r="B95" s="72">
        <f>IF(410.61178="","-",410.61178)</f>
        <v>410.61178</v>
      </c>
      <c r="C95" s="72" t="str">
        <f>IF(OR(""="",410.61178=""),"-",410.61178/""*100)</f>
        <v>-</v>
      </c>
      <c r="D95" s="72" t="str">
        <f>IF(""="","-",""/2424972.02699*100)</f>
        <v>-</v>
      </c>
      <c r="E95" s="72">
        <f>IF(410.61178="","-",410.61178/2706901.80962*100)</f>
        <v>0.01516906814058551</v>
      </c>
      <c r="F95" s="72" t="str">
        <f>IF(OR(2044610.75747="",338.67923="",""=""),"-",(""-338.67923)/2044610.75747*100)</f>
        <v>-</v>
      </c>
      <c r="G95" s="72" t="str">
        <f>IF(OR(2424972.02699="",410.61178="",""=""),"-",(410.61178-"")/2424972.02699*100)</f>
        <v>-</v>
      </c>
    </row>
    <row r="96" spans="1:7" ht="15.75">
      <c r="A96" s="21" t="s">
        <v>119</v>
      </c>
      <c r="B96" s="72">
        <f>IF(410.34197="","-",410.34197)</f>
        <v>410.34197</v>
      </c>
      <c r="C96" s="72">
        <f>IF(OR(795.00121="",410.34197=""),"-",410.34197/795.00121*100)</f>
        <v>51.61526357928437</v>
      </c>
      <c r="D96" s="72">
        <f>IF(795.00121="","-",795.00121/2424972.02699*100)</f>
        <v>0.03278393322280078</v>
      </c>
      <c r="E96" s="72">
        <f>IF(410.34197="","-",410.34197/2706901.80962*100)</f>
        <v>0.015159100656761711</v>
      </c>
      <c r="F96" s="72">
        <f>IF(OR(2044610.75747="",884.8753="",795.00121=""),"-",(795.00121-884.8753)/2044610.75747*100)</f>
        <v>-0.004395657690425642</v>
      </c>
      <c r="G96" s="72">
        <f>IF(OR(2424972.02699="",410.34197="",795.00121=""),"-",(410.34197-795.00121)/2424972.02699*100)</f>
        <v>-0.015862419678195582</v>
      </c>
    </row>
    <row r="97" spans="1:7" ht="15.75">
      <c r="A97" s="21" t="s">
        <v>140</v>
      </c>
      <c r="B97" s="72">
        <f>IF(364.6437="","-",364.6437)</f>
        <v>364.6437</v>
      </c>
      <c r="C97" s="72">
        <f>IF(OR(375.41272="",364.6437=""),"-",364.6437/375.41272*100)</f>
        <v>97.13141845593299</v>
      </c>
      <c r="D97" s="72">
        <f>IF(375.41272="","-",375.41272/2424972.02699*100)</f>
        <v>0.015481115485937441</v>
      </c>
      <c r="E97" s="72">
        <f>IF(364.6437="","-",364.6437/2706901.80962*100)</f>
        <v>0.013470887592010195</v>
      </c>
      <c r="F97" s="72">
        <f>IF(OR(2044610.75747="",264.60299="",375.41272=""),"-",(375.41272-264.60299)/2044610.75747*100)</f>
        <v>0.005419600263529665</v>
      </c>
      <c r="G97" s="72">
        <f>IF(OR(2424972.02699="",364.6437="",375.41272=""),"-",(364.6437-375.41272)/2424972.02699*100)</f>
        <v>-0.00044408842164530107</v>
      </c>
    </row>
    <row r="98" spans="1:7" ht="15.75">
      <c r="A98" s="21" t="s">
        <v>176</v>
      </c>
      <c r="B98" s="72">
        <f>IF(333.18916="","-",333.18916)</f>
        <v>333.18916</v>
      </c>
      <c r="C98" s="72" t="s">
        <v>246</v>
      </c>
      <c r="D98" s="72">
        <f>IF(7.414="","-",7.414/2424972.02699*100)</f>
        <v>0.00030573548550177036</v>
      </c>
      <c r="E98" s="72">
        <f>IF(333.18916="","-",333.18916/2706901.80962*100)</f>
        <v>0.012308874995608864</v>
      </c>
      <c r="F98" s="72" t="str">
        <f>IF(OR(2044610.75747="",""="",7.414=""),"-",(7.414-"")/2044610.75747*100)</f>
        <v>-</v>
      </c>
      <c r="G98" s="72">
        <f>IF(OR(2424972.02699="",333.18916="",7.414=""),"-",(333.18916-7.414)/2424972.02699*100)</f>
        <v>0.013434182183304146</v>
      </c>
    </row>
    <row r="99" spans="1:7" ht="15.75">
      <c r="A99" s="21" t="s">
        <v>114</v>
      </c>
      <c r="B99" s="72">
        <f>IF(332.14792="","-",332.14792)</f>
        <v>332.14792</v>
      </c>
      <c r="C99" s="72">
        <f>IF(OR(1034.22504="",332.14792=""),"-",332.14792/1034.22504*100)</f>
        <v>32.115633170127076</v>
      </c>
      <c r="D99" s="72">
        <f>IF(1034.22504="","-",1034.22504/2424972.02699*100)</f>
        <v>0.04264894722450606</v>
      </c>
      <c r="E99" s="72">
        <f>IF(332.14792="","-",332.14792/2706901.80962*100)</f>
        <v>0.012270408879242928</v>
      </c>
      <c r="F99" s="72">
        <f>IF(OR(2044610.75747="",1935.01241="",1034.22504=""),"-",(1034.22504-1935.01241)/2044610.75747*100)</f>
        <v>-0.04405666783806976</v>
      </c>
      <c r="G99" s="72">
        <f>IF(OR(2424972.02699="",332.14792="",1034.22504=""),"-",(332.14792-1034.22504)/2424972.02699*100)</f>
        <v>-0.028951967782962607</v>
      </c>
    </row>
    <row r="100" spans="1:7" ht="15.75">
      <c r="A100" s="21" t="s">
        <v>131</v>
      </c>
      <c r="B100" s="72">
        <f>IF(324.79283="","-",324.79283)</f>
        <v>324.79283</v>
      </c>
      <c r="C100" s="72" t="s">
        <v>247</v>
      </c>
      <c r="D100" s="72">
        <f>IF(24.6827="","-",24.6827/2424972.02699*100)</f>
        <v>0.0010178550401934918</v>
      </c>
      <c r="E100" s="72">
        <f>IF(324.79283="","-",324.79283/2706901.80962*100)</f>
        <v>0.011998692706389487</v>
      </c>
      <c r="F100" s="72">
        <f>IF(OR(2044610.75747="",23.9276="",24.6827=""),"-",(24.6827-23.9276)/2044610.75747*100)</f>
        <v>3.6931234820184506E-05</v>
      </c>
      <c r="G100" s="72">
        <f>IF(OR(2424972.02699="",324.79283="",24.6827=""),"-",(324.79283-24.6827)/2424972.02699*100)</f>
        <v>0.012375818222221394</v>
      </c>
    </row>
    <row r="101" spans="1:7" ht="15.75">
      <c r="A101" s="21" t="s">
        <v>212</v>
      </c>
      <c r="B101" s="72">
        <f>IF(284.83325="","-",284.83325)</f>
        <v>284.83325</v>
      </c>
      <c r="C101" s="72" t="str">
        <f>IF(OR(""="",284.83325=""),"-",284.83325/""*100)</f>
        <v>-</v>
      </c>
      <c r="D101" s="72" t="str">
        <f>IF(""="","-",""/2424972.02699*100)</f>
        <v>-</v>
      </c>
      <c r="E101" s="72">
        <f>IF(284.83325="","-",284.83325/2706901.80962*100)</f>
        <v>0.01052248179035299</v>
      </c>
      <c r="F101" s="72" t="str">
        <f>IF(OR(2044610.75747="",""="",""=""),"-",(""-"")/2044610.75747*100)</f>
        <v>-</v>
      </c>
      <c r="G101" s="72" t="str">
        <f>IF(OR(2424972.02699="",284.83325="",""=""),"-",(284.83325-"")/2424972.02699*100)</f>
        <v>-</v>
      </c>
    </row>
    <row r="102" spans="1:7" ht="15.75">
      <c r="A102" s="21" t="s">
        <v>133</v>
      </c>
      <c r="B102" s="72">
        <f>IF(282.3723="","-",282.3723)</f>
        <v>282.3723</v>
      </c>
      <c r="C102" s="72">
        <f>IF(OR(305.46957="",282.3723=""),"-",282.3723/305.46957*100)</f>
        <v>92.43876566821369</v>
      </c>
      <c r="D102" s="72">
        <f>IF(305.46957="","-",305.46957/2424972.02699*100)</f>
        <v>0.0125968286066856</v>
      </c>
      <c r="E102" s="72">
        <f>IF(282.3723="","-",282.3723/2706901.80962*100)</f>
        <v>0.010431567890511697</v>
      </c>
      <c r="F102" s="72">
        <f>IF(OR(2044610.75747="",285.97274="",305.46957=""),"-",(305.46957-285.97274)/2044610.75747*100)</f>
        <v>0.0009535717215987533</v>
      </c>
      <c r="G102" s="72">
        <f>IF(OR(2424972.02699="",282.3723="",305.46957=""),"-",(282.3723-305.46957)/2424972.02699*100)</f>
        <v>-0.0009524757293249892</v>
      </c>
    </row>
    <row r="103" spans="1:7" ht="15.75">
      <c r="A103" s="21" t="s">
        <v>220</v>
      </c>
      <c r="B103" s="72">
        <f>IF(203.26985="","-",203.26985)</f>
        <v>203.26985</v>
      </c>
      <c r="C103" s="72">
        <f>IF(OR(828.11184="",203.26985=""),"-",203.26985/828.11184*100)</f>
        <v>24.546183278818955</v>
      </c>
      <c r="D103" s="72">
        <f>IF(828.11184="","-",828.11184/2424972.02699*100)</f>
        <v>0.03414933577720049</v>
      </c>
      <c r="E103" s="72">
        <f>IF(203.26985="","-",203.26985/2706901.80962*100)</f>
        <v>0.007509317452062859</v>
      </c>
      <c r="F103" s="72">
        <f>IF(OR(2044610.75747="",381.87909="",828.11184=""),"-",(828.11184-381.87909)/2044610.75747*100)</f>
        <v>0.021824826479548025</v>
      </c>
      <c r="G103" s="72">
        <f>IF(OR(2424972.02699="",203.26985="",828.11184=""),"-",(203.26985-828.11184)/2424972.02699*100)</f>
        <v>-0.025766977228829563</v>
      </c>
    </row>
    <row r="104" spans="1:7" ht="15.75">
      <c r="A104" s="21" t="s">
        <v>118</v>
      </c>
      <c r="B104" s="72">
        <f>IF(192.4305="","-",192.4305)</f>
        <v>192.4305</v>
      </c>
      <c r="C104" s="72" t="s">
        <v>248</v>
      </c>
      <c r="D104" s="72">
        <f>IF(46.91142="","-",46.91142/2424972.02699*100)</f>
        <v>0.0019345138615157085</v>
      </c>
      <c r="E104" s="72">
        <f>IF(192.4305="","-",192.4305/2706901.80962*100)</f>
        <v>0.007108883643881186</v>
      </c>
      <c r="F104" s="72">
        <f>IF(OR(2044610.75747="",918.07083="",46.91142=""),"-",(46.91142-918.07083)/2044610.75747*100)</f>
        <v>-0.04260759202294191</v>
      </c>
      <c r="G104" s="72">
        <f>IF(OR(2424972.02699="",192.4305="",46.91142=""),"-",(192.4305-46.91142)/2424972.02699*100)</f>
        <v>0.006000856025569324</v>
      </c>
    </row>
    <row r="105" spans="1:7" ht="15.75">
      <c r="A105" s="21" t="s">
        <v>130</v>
      </c>
      <c r="B105" s="72">
        <f>IF(176.07306="","-",176.07306)</f>
        <v>176.07306</v>
      </c>
      <c r="C105" s="72" t="s">
        <v>273</v>
      </c>
      <c r="D105" s="72">
        <f>IF(0.7427="","-",0.7427/2424972.02699*100)</f>
        <v>3.062715741599203E-05</v>
      </c>
      <c r="E105" s="72">
        <f>IF(176.07306="","-",176.07306/2706901.80962*100)</f>
        <v>0.006504597225294902</v>
      </c>
      <c r="F105" s="72">
        <f>IF(OR(2044610.75747="",16.86098="",0.7427=""),"-",(0.7427-16.86098)/2044610.75747*100)</f>
        <v>-0.0007883300007647789</v>
      </c>
      <c r="G105" s="72">
        <f>IF(OR(2424972.02699="",176.07306="",0.7427=""),"-",(176.07306-0.7427)/2424972.02699*100)</f>
        <v>0.00723020134041006</v>
      </c>
    </row>
    <row r="106" spans="1:7" ht="15.75">
      <c r="A106" s="21" t="s">
        <v>229</v>
      </c>
      <c r="B106" s="72">
        <f>IF(168.24637="","-",168.24637)</f>
        <v>168.24637</v>
      </c>
      <c r="C106" s="72" t="s">
        <v>274</v>
      </c>
      <c r="D106" s="72">
        <f>IF(25.98037="","-",25.98037/2424972.02699*100)</f>
        <v>0.0010713678224259012</v>
      </c>
      <c r="E106" s="72">
        <f>IF(168.24637="","-",168.24637/2706901.80962*100)</f>
        <v>0.006215458920677243</v>
      </c>
      <c r="F106" s="72">
        <f>IF(OR(2044610.75747="",62.42255="",25.98037=""),"-",(25.98037-62.42255)/2044610.75747*100)</f>
        <v>-0.0017823529425763918</v>
      </c>
      <c r="G106" s="72">
        <f>IF(OR(2424972.02699="",168.24637="",25.98037=""),"-",(168.24637-25.98037)/2424972.02699*100)</f>
        <v>0.005866706849257469</v>
      </c>
    </row>
    <row r="107" spans="1:7" ht="15.75">
      <c r="A107" s="21" t="s">
        <v>214</v>
      </c>
      <c r="B107" s="72">
        <f>IF(161.90105="","-",161.90105)</f>
        <v>161.90105</v>
      </c>
      <c r="C107" s="72">
        <f>IF(OR(174.27736="",161.90105=""),"-",161.90105/174.27736*100)</f>
        <v>92.8984981181721</v>
      </c>
      <c r="D107" s="72">
        <f>IF(174.27736="","-",174.27736/2424972.02699*100)</f>
        <v>0.007186778159099922</v>
      </c>
      <c r="E107" s="72">
        <f>IF(161.90105="","-",161.90105/2706901.80962*100)</f>
        <v>0.005981046280460686</v>
      </c>
      <c r="F107" s="72">
        <f>IF(OR(2044610.75747="",50.57699="",174.27736=""),"-",(174.27736-50.57699)/2044610.75747*100)</f>
        <v>0.006050069410427379</v>
      </c>
      <c r="G107" s="72">
        <f>IF(OR(2424972.02699="",161.90105="",174.27736=""),"-",(161.90105-174.27736)/2424972.02699*100)</f>
        <v>-0.0005103691862112777</v>
      </c>
    </row>
    <row r="108" spans="1:7" ht="15.75">
      <c r="A108" s="21" t="s">
        <v>137</v>
      </c>
      <c r="B108" s="72">
        <f>IF(153.04917="","-",153.04917)</f>
        <v>153.04917</v>
      </c>
      <c r="C108" s="72">
        <f>IF(OR(103.57465="",153.04917=""),"-",153.04917/103.57465*100)</f>
        <v>147.76701635004318</v>
      </c>
      <c r="D108" s="72">
        <f>IF(103.57465="","-",103.57465/2424972.02699*100)</f>
        <v>0.004271168856680057</v>
      </c>
      <c r="E108" s="72">
        <f>IF(153.04917="","-",153.04917/2706901.80962*100)</f>
        <v>0.00565403478826169</v>
      </c>
      <c r="F108" s="72" t="str">
        <f>IF(OR(2044610.75747="",""="",103.57465=""),"-",(103.57465-"")/2044610.75747*100)</f>
        <v>-</v>
      </c>
      <c r="G108" s="72">
        <f>IF(OR(2424972.02699="",153.04917="",103.57465=""),"-",(153.04917-103.57465)/2424972.02699*100)</f>
        <v>0.0020402099261083153</v>
      </c>
    </row>
    <row r="109" spans="1:7" ht="15.75">
      <c r="A109" s="21" t="s">
        <v>228</v>
      </c>
      <c r="B109" s="72">
        <f>IF(149.798="","-",149.798)</f>
        <v>149.798</v>
      </c>
      <c r="C109" s="72" t="str">
        <f>IF(OR(""="",149.798=""),"-",149.798/""*100)</f>
        <v>-</v>
      </c>
      <c r="D109" s="72" t="str">
        <f>IF(""="","-",""/2424972.02699*100)</f>
        <v>-</v>
      </c>
      <c r="E109" s="72">
        <f>IF(149.798="","-",149.798/2706901.80962*100)</f>
        <v>0.005533928104360347</v>
      </c>
      <c r="F109" s="72" t="str">
        <f>IF(OR(2044610.75747="",""="",""=""),"-",(""-"")/2044610.75747*100)</f>
        <v>-</v>
      </c>
      <c r="G109" s="72" t="str">
        <f>IF(OR(2424972.02699="",149.798="",""=""),"-",(149.798-"")/2424972.02699*100)</f>
        <v>-</v>
      </c>
    </row>
    <row r="110" spans="1:7" ht="15.75">
      <c r="A110" s="21" t="s">
        <v>149</v>
      </c>
      <c r="B110" s="72">
        <f>IF(141.43929="","-",141.43929)</f>
        <v>141.43929</v>
      </c>
      <c r="C110" s="72">
        <f>IF(OR(244.88711="",141.43929=""),"-",141.43929/244.88711*100)</f>
        <v>57.75693543037035</v>
      </c>
      <c r="D110" s="72">
        <f>IF(244.88711="","-",244.88711/2424972.02699*100)</f>
        <v>0.010098554015238124</v>
      </c>
      <c r="E110" s="72">
        <f>IF(141.43929="","-",141.43929/2706901.80962*100)</f>
        <v>0.005225135595880942</v>
      </c>
      <c r="F110" s="72">
        <f>IF(OR(2044610.75747="",362.46351="",244.88711=""),"-",(244.88711-362.46351)/2044610.75747*100)</f>
        <v>-0.00575055176494762</v>
      </c>
      <c r="G110" s="72">
        <f>IF(OR(2424972.02699="",141.43929="",244.88711=""),"-",(141.43929-244.88711)/2424972.02699*100)</f>
        <v>-0.0042659386932559695</v>
      </c>
    </row>
    <row r="111" spans="1:7" ht="15.75">
      <c r="A111" s="21" t="s">
        <v>187</v>
      </c>
      <c r="B111" s="72">
        <f>IF(126.82018="","-",126.82018)</f>
        <v>126.82018</v>
      </c>
      <c r="C111" s="72">
        <f>IF(OR(403.42283="",126.82018=""),"-",126.82018/403.42283*100)</f>
        <v>31.43604441027792</v>
      </c>
      <c r="D111" s="72">
        <f>IF(403.42283="","-",403.42283/2424972.02699*100)</f>
        <v>0.01663618489243973</v>
      </c>
      <c r="E111" s="72">
        <f>IF(126.82018="","-",126.82018/2706901.80962*100)</f>
        <v>0.004685067613065849</v>
      </c>
      <c r="F111" s="72">
        <f>IF(OR(2044610.75747="",890.3805="",403.42283=""),"-",(403.42283-890.3805)/2044610.75747*100)</f>
        <v>-0.023816644230247576</v>
      </c>
      <c r="G111" s="72">
        <f>IF(OR(2424972.02699="",126.82018="",403.42283=""),"-",(126.82018-403.42283)/2424972.02699*100)</f>
        <v>-0.011406426421476433</v>
      </c>
    </row>
    <row r="112" spans="1:7" ht="15.75">
      <c r="A112" s="55" t="s">
        <v>144</v>
      </c>
      <c r="B112" s="73">
        <f>IF(115.99082="","-",115.99082)</f>
        <v>115.99082</v>
      </c>
      <c r="C112" s="73" t="s">
        <v>245</v>
      </c>
      <c r="D112" s="73">
        <f>IF(60.96444="","-",60.96444/2424972.02699*100)</f>
        <v>0.002514026525727482</v>
      </c>
      <c r="E112" s="73">
        <f>IF(115.99082="","-",115.99082/2706901.80962*100)</f>
        <v>0.004285002861492158</v>
      </c>
      <c r="F112" s="73">
        <f>IF(OR(2044610.75747="",41.16549="",60.96444=""),"-",(60.96444-41.16549)/2044610.75747*100)</f>
        <v>0.0009683481282520107</v>
      </c>
      <c r="G112" s="73">
        <f>IF(OR(2424972.02699="",115.99082="",60.96444=""),"-",(115.99082-60.96444)/2424972.02699*100)</f>
        <v>0.002269155247464919</v>
      </c>
    </row>
    <row r="113" ht="15.75">
      <c r="A113" s="34" t="s">
        <v>19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4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26.875" style="0" customWidth="1"/>
    <col min="2" max="2" width="12.25390625" style="0" customWidth="1"/>
    <col min="3" max="3" width="12.625" style="0" customWidth="1"/>
    <col min="4" max="4" width="8.625" style="0" customWidth="1"/>
    <col min="5" max="5" width="8.875" style="0" customWidth="1"/>
    <col min="6" max="7" width="9.875" style="0" customWidth="1"/>
  </cols>
  <sheetData>
    <row r="1" spans="1:7" ht="15.75">
      <c r="A1" s="90" t="s">
        <v>182</v>
      </c>
      <c r="B1" s="90"/>
      <c r="C1" s="90"/>
      <c r="D1" s="90"/>
      <c r="E1" s="90"/>
      <c r="F1" s="90"/>
      <c r="G1" s="90"/>
    </row>
    <row r="2" ht="15.75">
      <c r="A2" s="2"/>
    </row>
    <row r="3" spans="1:7" ht="55.5" customHeight="1">
      <c r="A3" s="84"/>
      <c r="B3" s="86">
        <v>2018</v>
      </c>
      <c r="C3" s="87"/>
      <c r="D3" s="86" t="s">
        <v>155</v>
      </c>
      <c r="E3" s="87"/>
      <c r="F3" s="88" t="s">
        <v>171</v>
      </c>
      <c r="G3" s="89"/>
    </row>
    <row r="4" spans="1:7" ht="25.5">
      <c r="A4" s="85"/>
      <c r="B4" s="64" t="s">
        <v>145</v>
      </c>
      <c r="C4" s="64" t="s">
        <v>250</v>
      </c>
      <c r="D4" s="27">
        <v>2017</v>
      </c>
      <c r="E4" s="27">
        <v>2018</v>
      </c>
      <c r="F4" s="27" t="s">
        <v>141</v>
      </c>
      <c r="G4" s="23" t="s">
        <v>159</v>
      </c>
    </row>
    <row r="5" spans="1:7" s="3" customFormat="1" ht="15">
      <c r="A5" s="56" t="s">
        <v>197</v>
      </c>
      <c r="B5" s="74">
        <f>IF(5764278.95119="","-",5764278.95119)</f>
        <v>5764278.95119</v>
      </c>
      <c r="C5" s="74">
        <f>IF(4831335.29052="","-",5764278.95119/4831335.29052*100)</f>
        <v>119.31026526974051</v>
      </c>
      <c r="D5" s="74">
        <v>100</v>
      </c>
      <c r="E5" s="74">
        <v>100</v>
      </c>
      <c r="F5" s="74">
        <f>IF(4020356.96103="","-",(4831335.29052-4020356.96103)/4020356.96103*100)</f>
        <v>20.171799105177737</v>
      </c>
      <c r="G5" s="74">
        <f>IF(4831335.29052="","-",(5764278.95119-4831335.29052)/4831335.29052*100)</f>
        <v>19.310265269740505</v>
      </c>
    </row>
    <row r="6" spans="1:7" ht="12.75" customHeight="1">
      <c r="A6" s="49" t="s">
        <v>2</v>
      </c>
      <c r="B6" s="45"/>
      <c r="C6" s="46"/>
      <c r="D6" s="46"/>
      <c r="E6" s="46"/>
      <c r="F6" s="50"/>
      <c r="G6" s="50"/>
    </row>
    <row r="7" spans="1:7" ht="15.75">
      <c r="A7" s="52" t="s">
        <v>225</v>
      </c>
      <c r="B7" s="71">
        <f>IF(2851748.90127="","-",2851748.90127)</f>
        <v>2851748.90127</v>
      </c>
      <c r="C7" s="71">
        <f>IF(2389159.54058="","-",2851748.90127/2389159.54058*100)</f>
        <v>119.36201215669759</v>
      </c>
      <c r="D7" s="71">
        <f>IF(2389159.54058="","-",2389159.54058/4831335.29052*100)</f>
        <v>49.451329641061875</v>
      </c>
      <c r="E7" s="71">
        <f>IF(2851748.90127="","-",2851748.90127/5764278.95119*100)</f>
        <v>49.47277752200513</v>
      </c>
      <c r="F7" s="71">
        <f>IF(4020356.96103="","-",(2389159.54058-1973711.54684)/4020356.96103*100)</f>
        <v>10.33360962140943</v>
      </c>
      <c r="G7" s="71">
        <f>IF(4831335.29052="","-",(2851748.90127-2389159.54058)/4831335.29052*100)</f>
        <v>9.574772456751003</v>
      </c>
    </row>
    <row r="8" spans="1:7" s="10" customFormat="1" ht="15.75">
      <c r="A8" s="21" t="s">
        <v>194</v>
      </c>
      <c r="B8" s="72">
        <f>IF(838241.06856="","-",838241.06856)</f>
        <v>838241.06856</v>
      </c>
      <c r="C8" s="72">
        <f>IF(OR(694523.21008="",838241.06856=""),"-",838241.06856/694523.21008*100)</f>
        <v>120.69302456622661</v>
      </c>
      <c r="D8" s="72">
        <f>IF(694523.21008="","-",694523.21008/4831335.29052*100)</f>
        <v>14.375388341247744</v>
      </c>
      <c r="E8" s="72">
        <f>IF(838241.06856="","-",838241.06856/5764278.95119*100)</f>
        <v>14.541993468011299</v>
      </c>
      <c r="F8" s="72">
        <f>IF(OR(4020356.96103="",551498.82402="",694523.21008=""),"-",(694523.21008-551498.82402)/4020356.96103*100)</f>
        <v>3.5575046555905265</v>
      </c>
      <c r="G8" s="72">
        <f>IF(OR(4831335.29052="",838241.06856="",694523.21008=""),"-",(838241.06856-694523.21008)/4831335.29052*100)</f>
        <v>2.974702640944872</v>
      </c>
    </row>
    <row r="9" spans="1:7" s="10" customFormat="1" ht="15.75">
      <c r="A9" s="21" t="s">
        <v>4</v>
      </c>
      <c r="B9" s="72">
        <f>IF(484104.48117="","-",484104.48117)</f>
        <v>484104.48117</v>
      </c>
      <c r="C9" s="72">
        <f>IF(OR(390600.11077="",484104.48117=""),"-",484104.48117/390600.11077*100)</f>
        <v>123.93864410731281</v>
      </c>
      <c r="D9" s="72">
        <f>IF(390600.11077="","-",390600.11077/4831335.29052*100)</f>
        <v>8.084723731272218</v>
      </c>
      <c r="E9" s="72">
        <f>IF(484104.48117="","-",484104.48117/5764278.95119*100)</f>
        <v>8.398352773507943</v>
      </c>
      <c r="F9" s="72">
        <f>IF(OR(4020356.96103="",316441.10326="",390600.11077=""),"-",(390600.11077-316441.10326)/4020356.96103*100)</f>
        <v>1.8445876380837778</v>
      </c>
      <c r="G9" s="72">
        <f>IF(OR(4831335.29052="",484104.48117="",390600.11077=""),"-",(484104.48117-390600.11077)/4831335.29052*100)</f>
        <v>1.935373241088718</v>
      </c>
    </row>
    <row r="10" spans="1:7" s="10" customFormat="1" ht="15.75">
      <c r="A10" s="21" t="s">
        <v>3</v>
      </c>
      <c r="B10" s="72">
        <f>IF(389470.17615="","-",389470.17615)</f>
        <v>389470.17615</v>
      </c>
      <c r="C10" s="72">
        <f>IF(OR(331266.4648="",389470.17615=""),"-",389470.17615/331266.4648*100)</f>
        <v>117.57005840755421</v>
      </c>
      <c r="D10" s="72">
        <f>IF(331266.4648="","-",331266.4648/4831335.29052*100)</f>
        <v>6.856623373873635</v>
      </c>
      <c r="E10" s="72">
        <f>IF(389470.17615="","-",389470.17615/5764278.95119*100)</f>
        <v>6.7566156920562666</v>
      </c>
      <c r="F10" s="72">
        <f>IF(OR(4020356.96103="",280770.79814="",331266.4648=""),"-",(331266.4648-280770.79814)/4020356.96103*100)</f>
        <v>1.2559995828595079</v>
      </c>
      <c r="G10" s="72">
        <f>IF(OR(4831335.29052="",389470.17615="",331266.4648=""),"-",(389470.17615-331266.4648)/4831335.29052*100)</f>
        <v>1.2047127315756114</v>
      </c>
    </row>
    <row r="11" spans="1:7" s="10" customFormat="1" ht="15.75">
      <c r="A11" s="21" t="s">
        <v>5</v>
      </c>
      <c r="B11" s="72">
        <f>IF(202678.41999="","-",202678.41999)</f>
        <v>202678.41999</v>
      </c>
      <c r="C11" s="72">
        <f>IF(OR(165713.7717="",202678.41999=""),"-",202678.41999/165713.7717*100)</f>
        <v>122.30632246843005</v>
      </c>
      <c r="D11" s="72">
        <f>IF(165713.7717="","-",165713.7717/4831335.29052*100)</f>
        <v>3.4299787064077707</v>
      </c>
      <c r="E11" s="72">
        <f>IF(202678.41999="","-",202678.41999/5764278.95119*100)</f>
        <v>3.516110544028378</v>
      </c>
      <c r="F11" s="72">
        <f>IF(OR(4020356.96103="",132205.1983="",165713.7717=""),"-",(165713.7717-132205.1983)/4020356.96103*100)</f>
        <v>0.8334725927275686</v>
      </c>
      <c r="G11" s="72">
        <f>IF(OR(4831335.29052="",202678.41999="",165713.7717=""),"-",(202678.41999-165713.7717)/4831335.29052*100)</f>
        <v>0.765102110849803</v>
      </c>
    </row>
    <row r="12" spans="1:7" s="10" customFormat="1" ht="15.75">
      <c r="A12" s="21" t="s">
        <v>253</v>
      </c>
      <c r="B12" s="72">
        <f>IF(132333.86113="","-",132333.86113)</f>
        <v>132333.86113</v>
      </c>
      <c r="C12" s="72">
        <f>IF(OR(112676.72672="",132333.86113=""),"-",132333.86113/112676.72672*100)</f>
        <v>117.44560299381762</v>
      </c>
      <c r="D12" s="72">
        <f>IF(112676.72672="","-",112676.72672/4831335.29052*100)</f>
        <v>2.3322067284606227</v>
      </c>
      <c r="E12" s="72">
        <f>IF(132333.86113="","-",132333.86113/5764278.95119*100)</f>
        <v>2.295757409566039</v>
      </c>
      <c r="F12" s="72">
        <f>IF(OR(4020356.96103="",89958.01176="",112676.72672=""),"-",(112676.72672-89958.01176)/4020356.96103*100)</f>
        <v>0.5650919851201364</v>
      </c>
      <c r="G12" s="72">
        <f>IF(OR(4831335.29052="",132333.86113="",112676.72672=""),"-",(132333.86113-112676.72672)/4831335.29052*100)</f>
        <v>0.4068675268423419</v>
      </c>
    </row>
    <row r="13" spans="1:7" s="10" customFormat="1" ht="15.75">
      <c r="A13" s="21" t="s">
        <v>86</v>
      </c>
      <c r="B13" s="72">
        <f>IF(110732.26493="","-",110732.26493)</f>
        <v>110732.26493</v>
      </c>
      <c r="C13" s="72">
        <f>IF(OR(99638.15919="",110732.26493=""),"-",110732.26493/99638.15919*100)</f>
        <v>111.13439452333182</v>
      </c>
      <c r="D13" s="72">
        <f>IF(99638.15919="","-",99638.15919/4831335.29052*100)</f>
        <v>2.062331699178673</v>
      </c>
      <c r="E13" s="72">
        <f>IF(110732.26493="","-",110732.26493/5764278.95119*100)</f>
        <v>1.9210080890887489</v>
      </c>
      <c r="F13" s="72">
        <f>IF(OR(4020356.96103="",80095.7453="",99638.15919=""),"-",(99638.15919-80095.7453)/4020356.96103*100)</f>
        <v>0.4860865360819433</v>
      </c>
      <c r="G13" s="72">
        <f>IF(OR(4831335.29052="",110732.26493="",99638.15919=""),"-",(110732.26493-99638.15919)/4831335.29052*100)</f>
        <v>0.22962814776628623</v>
      </c>
    </row>
    <row r="14" spans="1:7" s="10" customFormat="1" ht="15.75">
      <c r="A14" s="21" t="s">
        <v>7</v>
      </c>
      <c r="B14" s="72">
        <f>IF(103638.44226="","-",103638.44226)</f>
        <v>103638.44226</v>
      </c>
      <c r="C14" s="72">
        <f>IF(OR(80297.6847="",103638.44226=""),"-",103638.44226/80297.6847*100)</f>
        <v>129.06778401793696</v>
      </c>
      <c r="D14" s="72">
        <f>IF(80297.6847="","-",80297.6847/4831335.29052*100)</f>
        <v>1.6620184663556543</v>
      </c>
      <c r="E14" s="72">
        <f>IF(103638.44226="","-",103638.44226/5764278.95119*100)</f>
        <v>1.7979428674006914</v>
      </c>
      <c r="F14" s="72">
        <f>IF(OR(4020356.96103="",73738.07949="",80297.6847=""),"-",(80297.6847-73738.07949)/4020356.96103*100)</f>
        <v>0.16315977097514867</v>
      </c>
      <c r="G14" s="72">
        <f>IF(OR(4831335.29052="",103638.44226="",80297.6847=""),"-",(103638.44226-80297.6847)/4831335.29052*100)</f>
        <v>0.48311193813848957</v>
      </c>
    </row>
    <row r="15" spans="1:7" s="10" customFormat="1" ht="15.75">
      <c r="A15" s="21" t="s">
        <v>195</v>
      </c>
      <c r="B15" s="72">
        <f>IF(86955.65591="","-",86955.65591)</f>
        <v>86955.65591</v>
      </c>
      <c r="C15" s="72">
        <f>IF(OR(68215.10561="",86955.65591=""),"-",86955.65591/68215.10561*100)</f>
        <v>127.47272782533481</v>
      </c>
      <c r="D15" s="72">
        <f>IF(68215.10561="","-",68215.10561/4831335.29052*100)</f>
        <v>1.4119306880615599</v>
      </c>
      <c r="E15" s="72">
        <f>IF(86955.65591="","-",86955.65591/5764278.95119*100)</f>
        <v>1.5085261599293096</v>
      </c>
      <c r="F15" s="72">
        <f>IF(OR(4020356.96103="",56147.92079="",68215.10561=""),"-",(68215.10561-56147.92079)/4020356.96103*100)</f>
        <v>0.30015207447918846</v>
      </c>
      <c r="G15" s="72">
        <f>IF(OR(4831335.29052="",86955.65591="",68215.10561=""),"-",(86955.65591-68215.10561)/4831335.29052*100)</f>
        <v>0.3878958750135295</v>
      </c>
    </row>
    <row r="16" spans="1:7" s="10" customFormat="1" ht="15.75">
      <c r="A16" s="21" t="s">
        <v>84</v>
      </c>
      <c r="B16" s="72">
        <f>IF(75869.89462="","-",75869.89462)</f>
        <v>75869.89462</v>
      </c>
      <c r="C16" s="72">
        <f>IF(OR(60740.92086="",75869.89462=""),"-",75869.89462/60740.92086*100)</f>
        <v>124.90738294019339</v>
      </c>
      <c r="D16" s="72">
        <f>IF(60740.92086="","-",60740.92086/4831335.29052*100)</f>
        <v>1.257228430806391</v>
      </c>
      <c r="E16" s="72">
        <f>IF(75869.89462="","-",75869.89462/5764278.95119*100)</f>
        <v>1.3162078945595983</v>
      </c>
      <c r="F16" s="72">
        <f>IF(OR(4020356.96103="",49953.10577="",60740.92086=""),"-",(60740.92086-49953.10577)/4020356.96103*100)</f>
        <v>0.2683297825185204</v>
      </c>
      <c r="G16" s="72">
        <f>IF(OR(4831335.29052="",75869.89462="",60740.92086=""),"-",(75869.89462-60740.92086)/4831335.29052*100)</f>
        <v>0.31314269969393216</v>
      </c>
    </row>
    <row r="17" spans="1:7" s="10" customFormat="1" ht="15.75">
      <c r="A17" s="21" t="s">
        <v>6</v>
      </c>
      <c r="B17" s="72">
        <f>IF(64562.37155="","-",64562.37155)</f>
        <v>64562.37155</v>
      </c>
      <c r="C17" s="72">
        <f>IF(OR(74125.47142="",64562.37155=""),"-",64562.37155/74125.47142*100)</f>
        <v>87.09876687891155</v>
      </c>
      <c r="D17" s="72">
        <f>IF(74125.47142="","-",74125.47142/4831335.29052*100)</f>
        <v>1.5342646900422807</v>
      </c>
      <c r="E17" s="72">
        <f>IF(64562.37155="","-",64562.37155/5764278.95119*100)</f>
        <v>1.1200424562498228</v>
      </c>
      <c r="F17" s="72">
        <f>IF(OR(4020356.96103="",57622.09049="",74125.47142=""),"-",(74125.47142-57622.09049)/4020356.96103*100)</f>
        <v>0.4104954134662684</v>
      </c>
      <c r="G17" s="72">
        <f>IF(OR(4831335.29052="",64562.37155="",74125.47142=""),"-",(64562.37155-74125.47142)/4831335.29052*100)</f>
        <v>-0.19793906435689987</v>
      </c>
    </row>
    <row r="18" spans="1:7" s="10" customFormat="1" ht="15.75" customHeight="1">
      <c r="A18" s="21" t="s">
        <v>9</v>
      </c>
      <c r="B18" s="72">
        <f>IF(60670.46204="","-",60670.46204)</f>
        <v>60670.46204</v>
      </c>
      <c r="C18" s="72">
        <f>IF(OR(47757.14559="",60670.46204=""),"-",60670.46204/47757.14559*100)</f>
        <v>127.03954830312128</v>
      </c>
      <c r="D18" s="72">
        <f>IF(47757.14559="","-",47757.14559/4831335.29052*100)</f>
        <v>0.9884875033142208</v>
      </c>
      <c r="E18" s="72">
        <f>IF(60670.46204="","-",60670.46204/5764278.95119*100)</f>
        <v>1.0525247399325626</v>
      </c>
      <c r="F18" s="72">
        <f>IF(OR(4020356.96103="",43416.92907="",47757.14559=""),"-",(47757.14559-43416.92907)/4020356.96103*100)</f>
        <v>0.10795599898393239</v>
      </c>
      <c r="G18" s="72">
        <f>IF(OR(4831335.29052="",60670.46204="",47757.14559=""),"-",(60670.46204-47757.14559)/4831335.29052*100)</f>
        <v>0.2672825559289661</v>
      </c>
    </row>
    <row r="19" spans="1:7" s="10" customFormat="1" ht="25.5">
      <c r="A19" s="21" t="s">
        <v>252</v>
      </c>
      <c r="B19" s="72">
        <f>IF(59944.27873="","-",59944.27873)</f>
        <v>59944.27873</v>
      </c>
      <c r="C19" s="72">
        <f>IF(OR(57121.54679="",59944.27873=""),"-",59944.27873/57121.54679*100)</f>
        <v>104.94162378056289</v>
      </c>
      <c r="D19" s="72">
        <f>IF(57121.54679="","-",57121.54679/4831335.29052*100)</f>
        <v>1.1823138605611445</v>
      </c>
      <c r="E19" s="72">
        <f>IF(59944.27873="","-",59944.27873/5764278.95119*100)</f>
        <v>1.0399267495134819</v>
      </c>
      <c r="F19" s="72">
        <f>IF(OR(4020356.96103="",61997.72757="",57121.54679=""),"-",(57121.54679-61997.72757)/4020356.96103*100)</f>
        <v>-0.1212872594962499</v>
      </c>
      <c r="G19" s="72">
        <f>IF(OR(4831335.29052="",59944.27873="",57121.54679=""),"-",(59944.27873-57121.54679)/4831335.29052*100)</f>
        <v>0.05842550289438068</v>
      </c>
    </row>
    <row r="20" spans="1:7" s="10" customFormat="1" ht="15.75">
      <c r="A20" s="21" t="s">
        <v>85</v>
      </c>
      <c r="B20" s="72">
        <f>IF(45728.44925="","-",45728.44925)</f>
        <v>45728.44925</v>
      </c>
      <c r="C20" s="72">
        <f>IF(OR(38505.36225="",45728.44925=""),"-",45728.44925/38505.36225*100)</f>
        <v>118.75865224459743</v>
      </c>
      <c r="D20" s="72">
        <f>IF(38505.36225="","-",38505.36225/4831335.29052*100)</f>
        <v>0.7969921343599325</v>
      </c>
      <c r="E20" s="72">
        <f>IF(45728.44925="","-",45728.44925/5764278.95119*100)</f>
        <v>0.7933073613753484</v>
      </c>
      <c r="F20" s="72">
        <f>IF(OR(4020356.96103="",30688.9778="",38505.36225=""),"-",(38505.36225-30688.9778)/4020356.96103*100)</f>
        <v>0.19442016034311216</v>
      </c>
      <c r="G20" s="72">
        <f>IF(OR(4831335.29052="",45728.44925="",38505.36225=""),"-",(45728.44925-38505.36225)/4831335.29052*100)</f>
        <v>0.14950498290137454</v>
      </c>
    </row>
    <row r="21" spans="1:7" s="10" customFormat="1" ht="15.75">
      <c r="A21" s="21" t="s">
        <v>88</v>
      </c>
      <c r="B21" s="72">
        <f>IF(33084.90185="","-",33084.90185)</f>
        <v>33084.90185</v>
      </c>
      <c r="C21" s="72">
        <f>IF(OR(24265.35307="",33084.90185=""),"-",33084.90185/24265.35307*100)</f>
        <v>136.34626190914105</v>
      </c>
      <c r="D21" s="72">
        <f>IF(24265.35307="","-",24265.35307/4831335.29052*100)</f>
        <v>0.5022494116194594</v>
      </c>
      <c r="E21" s="72">
        <f>IF(33084.90185="","-",33084.90185/5764278.95119*100)</f>
        <v>0.5739642742856819</v>
      </c>
      <c r="F21" s="72">
        <f>IF(OR(4020356.96103="",18272.41732="",24265.35307=""),"-",(24265.35307-18272.41732)/4020356.96103*100)</f>
        <v>0.14906476733510335</v>
      </c>
      <c r="G21" s="72">
        <f>IF(OR(4831335.29052="",33084.90185="",24265.35307=""),"-",(33084.90185-24265.35307)/4831335.29052*100)</f>
        <v>0.18254888658432866</v>
      </c>
    </row>
    <row r="22" spans="1:7" s="10" customFormat="1" ht="15.75">
      <c r="A22" s="21" t="s">
        <v>94</v>
      </c>
      <c r="B22" s="72">
        <f>IF(25425.99045="","-",25425.99045)</f>
        <v>25425.99045</v>
      </c>
      <c r="C22" s="72">
        <f>IF(OR(19716.22791="",25425.99045=""),"-",25425.99045/19716.22791*100)</f>
        <v>128.959710579852</v>
      </c>
      <c r="D22" s="72">
        <f>IF(19716.22791="","-",19716.22791/4831335.29052*100)</f>
        <v>0.4080906566076462</v>
      </c>
      <c r="E22" s="72">
        <f>IF(25425.99045="","-",25425.99045/5764278.95119*100)</f>
        <v>0.44109576696927477</v>
      </c>
      <c r="F22" s="72">
        <f>IF(OR(4020356.96103="",18555.69944="",19716.22791=""),"-",(19716.22791-18555.69944)/4020356.96103*100)</f>
        <v>0.02886630419261772</v>
      </c>
      <c r="G22" s="72">
        <f>IF(OR(4831335.29052="",25425.99045="",19716.22791=""),"-",(25425.99045-19716.22791)/4831335.29052*100)</f>
        <v>0.11818187305699195</v>
      </c>
    </row>
    <row r="23" spans="1:8" s="10" customFormat="1" ht="15.75">
      <c r="A23" s="21" t="s">
        <v>8</v>
      </c>
      <c r="B23" s="72">
        <f>IF(24124.24879="","-",24124.24879)</f>
        <v>24124.24879</v>
      </c>
      <c r="C23" s="72">
        <f>IF(OR(25538.72334="",24124.24879=""),"-",24124.24879/25538.72334*100)</f>
        <v>94.46145161146492</v>
      </c>
      <c r="D23" s="72">
        <f>IF(25538.72334="","-",25538.72334/4831335.29052*100)</f>
        <v>0.5286058988725506</v>
      </c>
      <c r="E23" s="72">
        <f>IF(24124.24879="","-",24124.24879/5764278.95119*100)</f>
        <v>0.41851286161332807</v>
      </c>
      <c r="F23" s="72">
        <f>IF(OR(4020356.96103="",19544.22574="",25538.72334=""),"-",(25538.72334-19544.22574)/4020356.96103*100)</f>
        <v>0.14910361587554732</v>
      </c>
      <c r="G23" s="72">
        <f>IF(OR(4831335.29052="",24124.24879="",25538.72334=""),"-",(24124.24879-25538.72334)/4831335.29052*100)</f>
        <v>-0.029277093493706954</v>
      </c>
      <c r="H23" s="39"/>
    </row>
    <row r="24" spans="1:8" s="10" customFormat="1" ht="15.75">
      <c r="A24" s="21" t="s">
        <v>96</v>
      </c>
      <c r="B24" s="72">
        <f>IF(23166.60809="","-",23166.60809)</f>
        <v>23166.60809</v>
      </c>
      <c r="C24" s="72">
        <f>IF(OR(17370.45538="",23166.60809=""),"-",23166.60809/17370.45538*100)</f>
        <v>133.36788001927445</v>
      </c>
      <c r="D24" s="72">
        <f>IF(17370.45538="","-",17370.45538/4831335.29052*100)</f>
        <v>0.35953736049088003</v>
      </c>
      <c r="E24" s="72">
        <f>IF(23166.60809="","-",23166.60809/5764278.95119*100)</f>
        <v>0.4018994966441969</v>
      </c>
      <c r="F24" s="72">
        <f>IF(OR(4020356.96103="",17464.7063="",17370.45538=""),"-",(17370.45538-17464.7063)/4020356.96103*100)</f>
        <v>-0.0023443420799096285</v>
      </c>
      <c r="G24" s="72">
        <f>IF(OR(4831335.29052="",23166.60809="",17370.45538=""),"-",(23166.60809-17370.45538)/4831335.29052*100)</f>
        <v>0.11996999507306308</v>
      </c>
      <c r="H24" s="39"/>
    </row>
    <row r="25" spans="1:8" s="10" customFormat="1" ht="15.75">
      <c r="A25" s="21" t="s">
        <v>95</v>
      </c>
      <c r="B25" s="72">
        <f>IF(17823.61844="","-",17823.61844)</f>
        <v>17823.61844</v>
      </c>
      <c r="C25" s="72">
        <f>IF(OR(13783.83186="",17823.61844=""),"-",17823.61844/13783.83186*100)</f>
        <v>129.30815335700126</v>
      </c>
      <c r="D25" s="72">
        <f>IF(13783.83186="","-",13783.83186/4831335.29052*100)</f>
        <v>0.2853006680585076</v>
      </c>
      <c r="E25" s="72">
        <f>IF(17823.61844="","-",17823.61844/5764278.95119*100)</f>
        <v>0.3092081176314415</v>
      </c>
      <c r="F25" s="72">
        <f>IF(OR(4020356.96103="",12477.98026="",13783.83186=""),"-",(13783.83186-12477.98026)/4020356.96103*100)</f>
        <v>0.032480986456124177</v>
      </c>
      <c r="G25" s="72">
        <f>IF(OR(4831335.29052="",17823.61844="",13783.83186=""),"-",(17823.61844-13783.83186)/4831335.29052*100)</f>
        <v>0.08361635732313649</v>
      </c>
      <c r="H25" s="39"/>
    </row>
    <row r="26" spans="1:8" s="10" customFormat="1" ht="15.75">
      <c r="A26" s="21" t="s">
        <v>92</v>
      </c>
      <c r="B26" s="72">
        <f>IF(16450.67318="","-",16450.67318)</f>
        <v>16450.67318</v>
      </c>
      <c r="C26" s="72">
        <f>IF(OR(14573.01641="",16450.67318=""),"-",16450.67318/14573.01641*100)</f>
        <v>112.88447578163401</v>
      </c>
      <c r="D26" s="72">
        <f>IF(14573.01641="","-",14573.01641/4831335.29052*100)</f>
        <v>0.301635376840747</v>
      </c>
      <c r="E26" s="72">
        <f>IF(16450.67318="","-",16450.67318/5764278.95119*100)</f>
        <v>0.2853899563032747</v>
      </c>
      <c r="F26" s="72">
        <f>IF(OR(4020356.96103="",11953.43987="",14573.01641=""),"-",(14573.01641-11953.43987)/4020356.96103*100)</f>
        <v>0.06515780975152202</v>
      </c>
      <c r="G26" s="72">
        <f>IF(OR(4831335.29052="",16450.67318="",14573.01641=""),"-",(16450.67318-14573.01641)/4831335.29052*100)</f>
        <v>0.03886413707788655</v>
      </c>
      <c r="H26" s="39"/>
    </row>
    <row r="27" spans="1:8" s="10" customFormat="1" ht="15.75">
      <c r="A27" s="21" t="s">
        <v>87</v>
      </c>
      <c r="B27" s="72">
        <f>IF(13506.82226="","-",13506.82226)</f>
        <v>13506.82226</v>
      </c>
      <c r="C27" s="72">
        <f>IF(OR(12399.86157="",13506.82226=""),"-",13506.82226/12399.86157*100)</f>
        <v>108.92720199940105</v>
      </c>
      <c r="D27" s="72">
        <f>IF(12399.86157="","-",12399.86157/4831335.29052*100)</f>
        <v>0.2566549581920114</v>
      </c>
      <c r="E27" s="72">
        <f>IF(13506.82226="","-",13506.82226/5764278.95119*100)</f>
        <v>0.23431937236853534</v>
      </c>
      <c r="F27" s="72">
        <f>IF(OR(4020356.96103="",14256.61149="",12399.86157=""),"-",(12399.86157-14256.61149)/4020356.96103*100)</f>
        <v>-0.046183708013934864</v>
      </c>
      <c r="G27" s="72">
        <f>IF(OR(4831335.29052="",13506.82226="",12399.86157=""),"-",(13506.82226-12399.86157)/4831335.29052*100)</f>
        <v>0.02291210655927916</v>
      </c>
      <c r="H27" s="39"/>
    </row>
    <row r="28" spans="1:8" s="10" customFormat="1" ht="15.75">
      <c r="A28" s="21" t="s">
        <v>93</v>
      </c>
      <c r="B28" s="72">
        <f>IF(13421.62239="","-",13421.62239)</f>
        <v>13421.62239</v>
      </c>
      <c r="C28" s="72">
        <f>IF(OR(13382.24857="",13421.62239=""),"-",13421.62239/13382.24857*100)</f>
        <v>100.29422424635175</v>
      </c>
      <c r="D28" s="72">
        <f>IF(13382.24857="","-",13382.24857/4831335.29052*100)</f>
        <v>0.2769886121598416</v>
      </c>
      <c r="E28" s="72">
        <f>IF(13421.62239="","-",13421.62239/5764278.95119*100)</f>
        <v>0.2328413059751244</v>
      </c>
      <c r="F28" s="72">
        <f>IF(OR(4020356.96103="",11925.33977="",13382.24857=""),"-",(13382.24857-11925.33977)/4020356.96103*100)</f>
        <v>0.03623829461219645</v>
      </c>
      <c r="G28" s="72">
        <f>IF(OR(4831335.29052="",13421.62239="",13382.24857=""),"-",(13421.62239-13382.24857)/4831335.29052*100)</f>
        <v>0.0008149676566074732</v>
      </c>
      <c r="H28" s="39"/>
    </row>
    <row r="29" spans="1:8" s="10" customFormat="1" ht="15.75">
      <c r="A29" s="21" t="s">
        <v>89</v>
      </c>
      <c r="B29" s="72">
        <f>IF(12871.34906="","-",12871.34906)</f>
        <v>12871.34906</v>
      </c>
      <c r="C29" s="72">
        <f>IF(OR(8833.81871="",12871.34906=""),"-",12871.34906/8833.81871*100)</f>
        <v>145.70537932173616</v>
      </c>
      <c r="D29" s="72">
        <f>IF(8833.81871="","-",8833.81871/4831335.29052*100)</f>
        <v>0.18284424861453175</v>
      </c>
      <c r="E29" s="72">
        <f>IF(12871.34906="","-",12871.34906/5764278.95119*100)</f>
        <v>0.22329504121834332</v>
      </c>
      <c r="F29" s="72">
        <f>IF(OR(4020356.96103="",8840.70828="",8833.81871=""),"-",(8833.81871-8840.70828)/4020356.96103*100)</f>
        <v>-0.0001713671215462446</v>
      </c>
      <c r="G29" s="72">
        <f>IF(OR(4831335.29052="",12871.34906="",8833.81871=""),"-",(12871.34906-8833.81871)/4831335.29052*100)</f>
        <v>0.08356965739725007</v>
      </c>
      <c r="H29" s="39"/>
    </row>
    <row r="30" spans="1:8" s="10" customFormat="1" ht="15.75">
      <c r="A30" s="21" t="s">
        <v>97</v>
      </c>
      <c r="B30" s="72">
        <f>IF(6668.19074="","-",6668.19074)</f>
        <v>6668.19074</v>
      </c>
      <c r="C30" s="72">
        <f>IF(OR(7187.18191="",6668.19074=""),"-",6668.19074/7187.18191*100)</f>
        <v>92.77893371144685</v>
      </c>
      <c r="D30" s="72">
        <f>IF(7187.18191="","-",7187.18191/4831335.29052*100)</f>
        <v>0.14876181175217998</v>
      </c>
      <c r="E30" s="72">
        <f>IF(6668.19074="","-",6668.19074/5764278.95119*100)</f>
        <v>0.11568126380530894</v>
      </c>
      <c r="F30" s="72">
        <f>IF(OR(4020356.96103="",6251.12958="",7187.18191=""),"-",(7187.18191-6251.12958)/4020356.96103*100)</f>
        <v>0.023282816403451586</v>
      </c>
      <c r="G30" s="72">
        <f>IF(OR(4831335.29052="",6668.19074="",7187.18191=""),"-",(6668.19074-7187.18191)/4831335.29052*100)</f>
        <v>-0.010742189038677562</v>
      </c>
      <c r="H30" s="39"/>
    </row>
    <row r="31" spans="1:7" s="10" customFormat="1" ht="15.75">
      <c r="A31" s="21" t="s">
        <v>90</v>
      </c>
      <c r="B31" s="72">
        <f>IF(5167.38245="","-",5167.38245)</f>
        <v>5167.38245</v>
      </c>
      <c r="C31" s="72">
        <f>IF(OR(5231.18685="",5167.38245=""),"-",5167.38245/5231.18685*100)</f>
        <v>98.78030737900329</v>
      </c>
      <c r="D31" s="72">
        <f>IF(5231.18685="","-",5231.18685/4831335.29052*100)</f>
        <v>0.10827621217398398</v>
      </c>
      <c r="E31" s="72">
        <f>IF(5167.38245="","-",5167.38245/5764278.95119*100)</f>
        <v>0.08964490604559006</v>
      </c>
      <c r="F31" s="72">
        <f>IF(OR(4020356.96103="",4283.86899="",5231.18685=""),"-",(5231.18685-4283.86899)/4020356.96103*100)</f>
        <v>0.02356302858632983</v>
      </c>
      <c r="G31" s="72">
        <f>IF(OR(4831335.29052="",5167.38245="",5231.18685=""),"-",(5167.38245-5231.18685)/4831335.29052*100)</f>
        <v>-0.0013206369701808187</v>
      </c>
    </row>
    <row r="32" spans="1:7" s="10" customFormat="1" ht="15.75">
      <c r="A32" s="21" t="s">
        <v>254</v>
      </c>
      <c r="B32" s="72">
        <f>IF(3191.69142="","-",3191.69142)</f>
        <v>3191.69142</v>
      </c>
      <c r="C32" s="72" t="s">
        <v>193</v>
      </c>
      <c r="D32" s="72">
        <f>IF(2039.62269="","-",2039.62269/4831335.29052*100)</f>
        <v>0.04221654195688152</v>
      </c>
      <c r="E32" s="72">
        <f>IF(3191.69142="","-",3191.69142/5764278.95119*100)</f>
        <v>0.05537017633994092</v>
      </c>
      <c r="F32" s="72">
        <f>IF(OR(4020356.96103="",1945.47882="",2039.62269=""),"-",(2039.62269-1945.47882)/4020356.96103*100)</f>
        <v>0.002341679381023932</v>
      </c>
      <c r="G32" s="72">
        <f>IF(OR(4831335.29052="",3191.69142="",2039.62269=""),"-",(3191.69142-2039.62269)/4831335.29052*100)</f>
        <v>0.023845762314625076</v>
      </c>
    </row>
    <row r="33" spans="1:7" s="10" customFormat="1" ht="15.75">
      <c r="A33" s="21" t="s">
        <v>98</v>
      </c>
      <c r="B33" s="72">
        <f>IF(984.81921="","-",984.81921)</f>
        <v>984.81921</v>
      </c>
      <c r="C33" s="72">
        <f>IF(OR(2367.71409="",984.81921=""),"-",984.81921/2367.71409*100)</f>
        <v>41.59367105003797</v>
      </c>
      <c r="D33" s="72">
        <f>IF(2367.71409="","-",2367.71409/4831335.29052*100)</f>
        <v>0.049007447167782076</v>
      </c>
      <c r="E33" s="72">
        <f>IF(984.81921="","-",984.81921/5764278.95119*100)</f>
        <v>0.017084863837075234</v>
      </c>
      <c r="F33" s="72">
        <f>IF(OR(4020356.96103="",2429.78706="",2367.71409=""),"-",(2367.71409-2429.78706)/4020356.96103*100)</f>
        <v>-0.0015439666328558375</v>
      </c>
      <c r="G33" s="72">
        <f>IF(OR(4831335.29052="",984.81921="",2367.71409=""),"-",(984.81921-2367.71409)/4831335.29052*100)</f>
        <v>-0.028623450802793646</v>
      </c>
    </row>
    <row r="34" spans="1:7" s="10" customFormat="1" ht="15.75">
      <c r="A34" s="21" t="s">
        <v>91</v>
      </c>
      <c r="B34" s="72">
        <f>IF(828.87414="","-",828.87414)</f>
        <v>828.87414</v>
      </c>
      <c r="C34" s="72">
        <f>IF(OR(1044.77789="",828.87414=""),"-",828.87414/1044.77789*100)</f>
        <v>79.33496180704972</v>
      </c>
      <c r="D34" s="72">
        <f>IF(1044.77789="","-",1044.77789/4831335.29052*100)</f>
        <v>0.021625033808977265</v>
      </c>
      <c r="E34" s="72">
        <f>IF(828.87414="","-",828.87414/5764278.95119*100)</f>
        <v>0.01437949389713147</v>
      </c>
      <c r="F34" s="72">
        <f>IF(OR(4020356.96103="",619.63752="",1044.77789=""),"-",(1044.77789-619.63752)/4020356.96103*100)</f>
        <v>0.010574692101247665</v>
      </c>
      <c r="G34" s="72">
        <f>IF(OR(4831335.29052="",828.87414="",1044.77789=""),"-",(828.87414-1044.77789)/4831335.29052*100)</f>
        <v>-0.0044688214958635624</v>
      </c>
    </row>
    <row r="35" spans="1:7" s="10" customFormat="1" ht="15.75">
      <c r="A35" s="21" t="s">
        <v>99</v>
      </c>
      <c r="B35" s="72">
        <f>IF(102.28251="","-",102.28251)</f>
        <v>102.28251</v>
      </c>
      <c r="C35" s="72">
        <f>IF(OR(243.83985="",102.28251=""),"-",102.28251/243.83985*100)</f>
        <v>41.94659322502044</v>
      </c>
      <c r="D35" s="72">
        <f>IF(243.83985="","-",243.83985/4831335.29052*100)</f>
        <v>0.00504704880405341</v>
      </c>
      <c r="E35" s="72">
        <f>IF(102.28251="","-",102.28251/5764278.95119*100)</f>
        <v>0.0017744198514002241</v>
      </c>
      <c r="F35" s="72">
        <f>IF(OR(4020356.96103="",356.00464="",243.83985=""),"-",(243.83985-356.00464)/4020356.96103*100)</f>
        <v>-0.002789921170861997</v>
      </c>
      <c r="G35" s="72">
        <f>IF(OR(4831335.29052="",102.28251="",243.83985=""),"-",(102.28251-243.83985)/4831335.29052*100)</f>
        <v>-0.0029299837723488673</v>
      </c>
    </row>
    <row r="36" spans="1:7" s="10" customFormat="1" ht="15.75">
      <c r="A36" s="52" t="s">
        <v>200</v>
      </c>
      <c r="B36" s="71">
        <f>IF(1449255.16673="","-",1449255.16673)</f>
        <v>1449255.16673</v>
      </c>
      <c r="C36" s="71">
        <f>IF(1206051.90242="","-",1449255.16673/1206051.90242*100)</f>
        <v>120.16524030367195</v>
      </c>
      <c r="D36" s="71">
        <f>IF(1206051.90242="","-",1206051.90242/4831335.29052*100)</f>
        <v>24.9631174384958</v>
      </c>
      <c r="E36" s="71">
        <f>IF(1449255.16673="","-",1449255.16673/5764278.95119*100)</f>
        <v>25.142002651186928</v>
      </c>
      <c r="F36" s="71">
        <f>IF(4020356.96103="","-",(1206051.90242-1027442.11049)/4020356.96103*100)</f>
        <v>4.442635160541586</v>
      </c>
      <c r="G36" s="71">
        <f>IF(4831335.29052="","-",(1449255.16673-1206051.90242)/4831335.29052*100)</f>
        <v>5.033872618760514</v>
      </c>
    </row>
    <row r="37" spans="1:7" s="10" customFormat="1" ht="15.75">
      <c r="A37" s="21" t="s">
        <v>255</v>
      </c>
      <c r="B37" s="72">
        <f>IF(720835.82372="","-",720835.82372)</f>
        <v>720835.82372</v>
      </c>
      <c r="C37" s="72">
        <f>IF(OR(571704.23301="",720835.82372=""),"-",720835.82372/571704.23301*100)</f>
        <v>126.08544455317887</v>
      </c>
      <c r="D37" s="72">
        <f>IF(571704.23301="","-",571704.23301/4831335.29052*100)</f>
        <v>11.83325516926537</v>
      </c>
      <c r="E37" s="72">
        <f>IF(720835.82372="","-",720835.82372/5764278.95119*100)</f>
        <v>12.505221031525334</v>
      </c>
      <c r="F37" s="72">
        <f>IF(OR(4020356.96103="",535201.07871="",571704.23301=""),"-",(571704.23301-535201.07871)/4020356.96103*100)</f>
        <v>0.9079580408861995</v>
      </c>
      <c r="G37" s="72">
        <f>IF(OR(4831335.29052="",720835.82372="",571704.23301=""),"-",(720835.82372-571704.23301)/4831335.29052*100)</f>
        <v>3.0867572160148895</v>
      </c>
    </row>
    <row r="38" spans="1:7" s="10" customFormat="1" ht="15.75">
      <c r="A38" s="21" t="s">
        <v>11</v>
      </c>
      <c r="B38" s="72">
        <f>IF(577184.12629="","-",577184.12629)</f>
        <v>577184.12629</v>
      </c>
      <c r="C38" s="72">
        <f>IF(OR(511096.14361="",577184.12629=""),"-",577184.12629/511096.14361*100)</f>
        <v>112.93063614473864</v>
      </c>
      <c r="D38" s="72">
        <f>IF(511096.14361="","-",511096.14361/4831335.29052*100)</f>
        <v>10.57877611212097</v>
      </c>
      <c r="E38" s="72">
        <f>IF(577184.12629="","-",577184.12629/5764278.95119*100)</f>
        <v>10.01311926742969</v>
      </c>
      <c r="F38" s="72">
        <f>IF(OR(4020356.96103="",383892.41327="",511096.14361=""),"-",(511096.14361-383892.41327)/4020356.96103*100)</f>
        <v>3.163990948391083</v>
      </c>
      <c r="G38" s="72">
        <f>IF(OR(4831335.29052="",577184.12629="",511096.14361=""),"-",(577184.12629-511096.14361)/4831335.29052*100)</f>
        <v>1.3679030476248921</v>
      </c>
    </row>
    <row r="39" spans="1:7" s="10" customFormat="1" ht="15.75">
      <c r="A39" s="21" t="s">
        <v>10</v>
      </c>
      <c r="B39" s="72">
        <f>IF(128053.76263="","-",128053.76263)</f>
        <v>128053.76263</v>
      </c>
      <c r="C39" s="72">
        <f>IF(OR(114591.45571="",128053.76263=""),"-",128053.76263/114591.45571*100)</f>
        <v>111.748089625521</v>
      </c>
      <c r="D39" s="72">
        <f>IF(114591.45571="","-",114591.45571/4831335.29052*100)</f>
        <v>2.371838194191371</v>
      </c>
      <c r="E39" s="72">
        <f>IF(128053.76263="","-",128053.76263/5764278.95119*100)</f>
        <v>2.2215053038604955</v>
      </c>
      <c r="F39" s="72">
        <f>IF(OR(4020356.96103="",101288.44083="",114591.45571=""),"-",(114591.45571-101288.44083)/4020356.96103*100)</f>
        <v>0.33089138623630593</v>
      </c>
      <c r="G39" s="72">
        <f>IF(OR(4831335.29052="",128053.76263="",114591.45571=""),"-",(128053.76263-114591.45571)/4831335.29052*100)</f>
        <v>0.2786456768259411</v>
      </c>
    </row>
    <row r="40" spans="1:7" s="10" customFormat="1" ht="15.75">
      <c r="A40" s="21" t="s">
        <v>15</v>
      </c>
      <c r="B40" s="72">
        <f>IF(10953.89284="","-",10953.89284)</f>
        <v>10953.89284</v>
      </c>
      <c r="C40" s="72" t="s">
        <v>275</v>
      </c>
      <c r="D40" s="72">
        <f>IF(4.60647="","-",4.60647/4831335.29052*100)</f>
        <v>9.534569064247666E-05</v>
      </c>
      <c r="E40" s="72">
        <f>IF(10953.89284="","-",10953.89284/5764278.95119*100)</f>
        <v>0.19003058201648335</v>
      </c>
      <c r="F40" s="72">
        <f>IF(OR(4020356.96103="",21.91645="",4.60647=""),"-",(4.60647-21.91645)/4020356.96103*100)</f>
        <v>-0.00043055828544053595</v>
      </c>
      <c r="G40" s="72">
        <f>IF(OR(4831335.29052="",10953.89284="",4.60647=""),"-",(10953.89284-4.60647)/4831335.29052*100)</f>
        <v>0.22663064580685557</v>
      </c>
    </row>
    <row r="41" spans="1:7" s="10" customFormat="1" ht="15.75">
      <c r="A41" s="21" t="s">
        <v>12</v>
      </c>
      <c r="B41" s="72">
        <f>IF(5995.31764="","-",5995.31764)</f>
        <v>5995.31764</v>
      </c>
      <c r="C41" s="72" t="s">
        <v>276</v>
      </c>
      <c r="D41" s="72">
        <f>IF(1737.21811="","-",1737.21811/4831335.29052*100)</f>
        <v>0.035957307980854745</v>
      </c>
      <c r="E41" s="72">
        <f>IF(5995.31764="","-",5995.31764/5764278.95119*100)</f>
        <v>0.10400811082819479</v>
      </c>
      <c r="F41" s="72">
        <f>IF(OR(4020356.96103="",3154.30103="",1737.21811=""),"-",(1737.21811-3154.30103)/4020356.96103*100)</f>
        <v>-0.0352476890419439</v>
      </c>
      <c r="G41" s="72">
        <f>IF(OR(4831335.29052="",5995.31764="",1737.21811=""),"-",(5995.31764-1737.21811)/4831335.29052*100)</f>
        <v>0.08813504495031016</v>
      </c>
    </row>
    <row r="42" spans="1:7" s="10" customFormat="1" ht="15.75">
      <c r="A42" s="21" t="s">
        <v>14</v>
      </c>
      <c r="B42" s="72">
        <f>IF(4051.81038="","-",4051.81038)</f>
        <v>4051.81038</v>
      </c>
      <c r="C42" s="72">
        <f>IF(OR(5775.31274="",4051.81038=""),"-",4051.81038/5775.31274*100)</f>
        <v>70.15741938851262</v>
      </c>
      <c r="D42" s="72">
        <f>IF(5775.31274="","-",5775.31274/4831335.29052*100)</f>
        <v>0.11953864496492851</v>
      </c>
      <c r="E42" s="72">
        <f>IF(4051.81038="","-",4051.81038/5764278.95119*100)</f>
        <v>0.07029171236002602</v>
      </c>
      <c r="F42" s="72">
        <f>IF(OR(4020356.96103="",2832.94461="",5775.31274=""),"-",(5775.31274-2832.94461)/4020356.96103*100)</f>
        <v>0.0731867383548494</v>
      </c>
      <c r="G42" s="72">
        <f>IF(OR(4831335.29052="",4051.81038="",5775.31274=""),"-",(4051.81038-5775.31274)/4831335.29052*100)</f>
        <v>-0.035673416485538484</v>
      </c>
    </row>
    <row r="43" spans="1:7" s="10" customFormat="1" ht="15.75">
      <c r="A43" s="21" t="s">
        <v>16</v>
      </c>
      <c r="B43" s="72">
        <f>IF(1258.6503="","-",1258.6503)</f>
        <v>1258.6503</v>
      </c>
      <c r="C43" s="72" t="s">
        <v>245</v>
      </c>
      <c r="D43" s="72">
        <f>IF(647.735="","-",647.735/4831335.29052*100)</f>
        <v>0.013406956070115427</v>
      </c>
      <c r="E43" s="72">
        <f>IF(1258.6503="","-",1258.6503/5764278.95119*100)</f>
        <v>0.021835346808470456</v>
      </c>
      <c r="F43" s="72">
        <f>IF(OR(4020356.96103="",334.39906="",647.735=""),"-",(647.735-334.39906)/4020356.96103*100)</f>
        <v>0.007793734313575094</v>
      </c>
      <c r="G43" s="72">
        <f>IF(OR(4831335.29052="",1258.6503="",647.735=""),"-",(1258.6503-647.735)/4831335.29052*100)</f>
        <v>0.01264485412963849</v>
      </c>
    </row>
    <row r="44" spans="1:7" s="10" customFormat="1" ht="15.75">
      <c r="A44" s="21" t="s">
        <v>13</v>
      </c>
      <c r="B44" s="72">
        <f>IF(575.5034="","-",575.5034)</f>
        <v>575.5034</v>
      </c>
      <c r="C44" s="72" t="s">
        <v>262</v>
      </c>
      <c r="D44" s="72">
        <f>IF(216.17286="","-",216.17286/4831335.29052*100)</f>
        <v>0.0044743915915786735</v>
      </c>
      <c r="E44" s="72">
        <f>IF(575.5034="","-",575.5034/5764278.95119*100)</f>
        <v>0.009983961651980617</v>
      </c>
      <c r="F44" s="72">
        <f>IF(OR(4020356.96103="",594.95087="",216.17286=""),"-",(216.17286-594.95087)/4020356.96103*100)</f>
        <v>-0.00942150196292417</v>
      </c>
      <c r="G44" s="72">
        <f>IF(OR(4831335.29052="",575.5034="",216.17286=""),"-",(575.5034-216.17286)/4831335.29052*100)</f>
        <v>0.007437499539828564</v>
      </c>
    </row>
    <row r="45" spans="1:7" s="10" customFormat="1" ht="15.75">
      <c r="A45" s="21" t="s">
        <v>256</v>
      </c>
      <c r="B45" s="72">
        <f>IF(345.97243="","-",345.97243)</f>
        <v>345.97243</v>
      </c>
      <c r="C45" s="72">
        <f>IF(OR(276.37843="",345.97243=""),"-",345.97243/276.37843*100)</f>
        <v>125.18069156120468</v>
      </c>
      <c r="D45" s="72">
        <f>IF(276.37843="","-",276.37843/4831335.29052*100)</f>
        <v>0.005720539217021577</v>
      </c>
      <c r="E45" s="72">
        <f>IF(345.97243="","-",345.97243/5764278.95119*100)</f>
        <v>0.006002007066791521</v>
      </c>
      <c r="F45" s="72">
        <f>IF(OR(4020356.96103="",120.23401="",276.37843=""),"-",(276.37843-120.23401)/4020356.96103*100)</f>
        <v>0.00388384468129408</v>
      </c>
      <c r="G45" s="72">
        <f>IF(OR(4831335.29052="",345.97243="",276.37843=""),"-",(345.97243-276.37843)/4831335.29052*100)</f>
        <v>0.001440471335875957</v>
      </c>
    </row>
    <row r="46" spans="1:7" s="10" customFormat="1" ht="15.75">
      <c r="A46" s="21" t="s">
        <v>17</v>
      </c>
      <c r="B46" s="72">
        <f>IF(0.3071="","-",0.3071)</f>
        <v>0.3071</v>
      </c>
      <c r="C46" s="72">
        <f>IF(OR(2.64648="",0.3071=""),"-",0.3071/2.64648*100)</f>
        <v>11.604092983888032</v>
      </c>
      <c r="D46" s="72">
        <f>IF(2.64648="","-",2.64648/4831335.29052*100)</f>
        <v>5.4777402950958456E-05</v>
      </c>
      <c r="E46" s="72">
        <f>IF(0.3071="","-",0.3071/5764278.95119*100)</f>
        <v>5.327639460206918E-06</v>
      </c>
      <c r="F46" s="72">
        <f>IF(OR(4020356.96103="",1.43165="",2.64648=""),"-",(2.64648-1.43165)/4020356.96103*100)</f>
        <v>3.0216968587007386E-05</v>
      </c>
      <c r="G46" s="72">
        <f>IF(OR(4831335.29052="",0.3071="",2.64648=""),"-",(0.3071-2.64648)/4831335.29052*100)</f>
        <v>-4.842098217837021E-05</v>
      </c>
    </row>
    <row r="47" spans="1:7" s="10" customFormat="1" ht="15.75">
      <c r="A47" s="52" t="s">
        <v>199</v>
      </c>
      <c r="B47" s="71">
        <f>IF(1463274.88319="","-",1463274.88319)</f>
        <v>1463274.88319</v>
      </c>
      <c r="C47" s="71">
        <f>IF(1236123.84752="","-",1463274.88319/1236123.84752*100)</f>
        <v>118.37607421988716</v>
      </c>
      <c r="D47" s="71">
        <f>IF(1236123.84752="","-",1236123.84752/4831335.29052*100)</f>
        <v>25.58555292044231</v>
      </c>
      <c r="E47" s="71">
        <f>IF(1463274.88319="","-",1463274.88319/5764278.95119*100)</f>
        <v>25.385219826807926</v>
      </c>
      <c r="F47" s="71">
        <f>IF(4020356.96103="","-",(1236123.84752-1019203.3037)/4020356.96103*100)</f>
        <v>5.3955543232267065</v>
      </c>
      <c r="G47" s="71">
        <f>IF(4831335.29052="","-",(1463274.88319-1236123.84752)/4831335.29052*100)</f>
        <v>4.701620194228984</v>
      </c>
    </row>
    <row r="48" spans="1:7" s="10" customFormat="1" ht="15.75">
      <c r="A48" s="21" t="s">
        <v>103</v>
      </c>
      <c r="B48" s="72">
        <f>IF(600386.77392="","-",600386.77392)</f>
        <v>600386.77392</v>
      </c>
      <c r="C48" s="72">
        <f>IF(OR(505379.9597="",600386.77392=""),"-",600386.77392/505379.9597*100)</f>
        <v>118.79908619178275</v>
      </c>
      <c r="D48" s="72">
        <f>IF(505379.9597="","-",505379.9597/4831335.29052*100)</f>
        <v>10.46046132818916</v>
      </c>
      <c r="E48" s="72">
        <f>IF(600386.77392="","-",600386.77392/5764278.95119*100)</f>
        <v>10.415643986071386</v>
      </c>
      <c r="F48" s="72">
        <f>IF(OR(4020356.96103="",393688.77313="",505379.9597=""),"-",(505379.9597-393688.77313)/4020356.96103*100)</f>
        <v>2.778141037043267</v>
      </c>
      <c r="G48" s="72">
        <f>IF(OR(4831335.29052="",600386.77392="",505379.9597=""),"-",(600386.77392-505379.9597)/4831335.29052*100)</f>
        <v>1.9664711411443832</v>
      </c>
    </row>
    <row r="49" spans="1:7" s="10" customFormat="1" ht="15.75">
      <c r="A49" s="21" t="s">
        <v>100</v>
      </c>
      <c r="B49" s="72">
        <f>IF(339993.71566="","-",339993.71566)</f>
        <v>339993.71566</v>
      </c>
      <c r="C49" s="72">
        <f>IF(OR(304346.7596="",339993.71566=""),"-",339993.71566/304346.7596*100)</f>
        <v>111.71261231985858</v>
      </c>
      <c r="D49" s="72">
        <f>IF(304346.7596="","-",304346.7596/4831335.29052*100)</f>
        <v>6.2994336202909835</v>
      </c>
      <c r="E49" s="72">
        <f>IF(339993.71566="","-",339993.71566/5764278.95119*100)</f>
        <v>5.8982869937238265</v>
      </c>
      <c r="F49" s="72">
        <f>IF(OR(4020356.96103="",271985.86135="",304346.7596=""),"-",(304346.7596-271985.86135)/4020356.96103*100)</f>
        <v>0.8049259944746109</v>
      </c>
      <c r="G49" s="72">
        <f>IF(OR(4831335.29052="",339993.71566="",304346.7596=""),"-",(339993.71566-304346.7596)/4831335.29052*100)</f>
        <v>0.7378282382915156</v>
      </c>
    </row>
    <row r="50" spans="1:7" s="10" customFormat="1" ht="15.75">
      <c r="A50" s="21" t="s">
        <v>18</v>
      </c>
      <c r="B50" s="72">
        <f>IF(76255.25409="","-",76255.25409)</f>
        <v>76255.25409</v>
      </c>
      <c r="C50" s="72">
        <f>IF(OR(70222.22788="",76255.25409=""),"-",76255.25409/70222.22788*100)</f>
        <v>108.591334100521</v>
      </c>
      <c r="D50" s="72">
        <f>IF(70222.22788="","-",70222.22788/4831335.29052*100)</f>
        <v>1.4534745294492268</v>
      </c>
      <c r="E50" s="72">
        <f>IF(76255.25409="","-",76255.25409/5764278.95119*100)</f>
        <v>1.322893196802309</v>
      </c>
      <c r="F50" s="72">
        <f>IF(OR(4020356.96103="",53292.24956="",70222.22788=""),"-",(70222.22788-53292.24956)/4020356.96103*100)</f>
        <v>0.421106346628052</v>
      </c>
      <c r="G50" s="72">
        <f>IF(OR(4831335.29052="",76255.25409="",70222.22788=""),"-",(76255.25409-70222.22788)/4831335.29052*100)</f>
        <v>0.12487285289095838</v>
      </c>
    </row>
    <row r="51" spans="1:7" s="10" customFormat="1" ht="15.75">
      <c r="A51" s="21" t="s">
        <v>121</v>
      </c>
      <c r="B51" s="72">
        <f>IF(53058.94467="","-",53058.94467)</f>
        <v>53058.94467</v>
      </c>
      <c r="C51" s="72">
        <f>IF(OR(37516.36379="",53058.94467=""),"-",53058.94467/37516.36379*100)</f>
        <v>141.42880415330356</v>
      </c>
      <c r="D51" s="72">
        <f>IF(37516.36379="","-",37516.36379/4831335.29052*100)</f>
        <v>0.7765216349942479</v>
      </c>
      <c r="E51" s="72">
        <f>IF(53058.94467="","-",53058.94467/5764278.95119*100)</f>
        <v>0.9204784348447659</v>
      </c>
      <c r="F51" s="72">
        <f>IF(OR(4020356.96103="",28128.65644="",37516.36379=""),"-",(37516.36379-28128.65644)/4020356.96103*100)</f>
        <v>0.23350432414326988</v>
      </c>
      <c r="G51" s="72">
        <f>IF(OR(4831335.29052="",53058.94467="",37516.36379=""),"-",(53058.94467-37516.36379)/4831335.29052*100)</f>
        <v>0.3217036273697977</v>
      </c>
    </row>
    <row r="52" spans="1:7" s="10" customFormat="1" ht="15.75">
      <c r="A52" s="21" t="s">
        <v>117</v>
      </c>
      <c r="B52" s="72">
        <f>IF(38634.01033="","-",38634.01033)</f>
        <v>38634.01033</v>
      </c>
      <c r="C52" s="72">
        <f>IF(OR(38383.9576="",38634.01033=""),"-",38634.01033/38383.9576*100)</f>
        <v>100.65145114166131</v>
      </c>
      <c r="D52" s="72">
        <f>IF(38383.9576="","-",38383.9576/4831335.29052*100)</f>
        <v>0.7944792752288716</v>
      </c>
      <c r="E52" s="72">
        <f>IF(38634.01033="","-",38634.01033/5764278.95119*100)</f>
        <v>0.6702314488445122</v>
      </c>
      <c r="F52" s="72">
        <f>IF(OR(4020356.96103="",22381.55829="",38383.9576=""),"-",(38383.9576-22381.55829)/4020356.96103*100)</f>
        <v>0.39803429061434004</v>
      </c>
      <c r="G52" s="72">
        <f>IF(OR(4831335.29052="",38634.01033="",38383.9576=""),"-",(38634.01033-38383.9576)/4831335.29052*100)</f>
        <v>0.00517564430874104</v>
      </c>
    </row>
    <row r="53" spans="1:7" s="10" customFormat="1" ht="15.75">
      <c r="A53" s="21" t="s">
        <v>81</v>
      </c>
      <c r="B53" s="72">
        <f>IF(38501.31754="","-",38501.31754)</f>
        <v>38501.31754</v>
      </c>
      <c r="C53" s="72">
        <f>IF(OR(26059.58653="",38501.31754=""),"-",38501.31754/26059.58653*100)</f>
        <v>147.74339376289404</v>
      </c>
      <c r="D53" s="72">
        <f>IF(26059.58653="","-",26059.58653/4831335.29052*100)</f>
        <v>0.539386835377248</v>
      </c>
      <c r="E53" s="72">
        <f>IF(38501.31754="","-",38501.31754/5764278.95119*100)</f>
        <v>0.6679294646566616</v>
      </c>
      <c r="F53" s="72">
        <f>IF(OR(4020356.96103="",21416.61561="",26059.58653=""),"-",(26059.58653-21416.61561)/4020356.96103*100)</f>
        <v>0.11548653428054032</v>
      </c>
      <c r="G53" s="72">
        <f>IF(OR(4831335.29052="",38501.31754="",26059.58653=""),"-",(38501.31754-26059.58653)/4831335.29052*100)</f>
        <v>0.25752158071937253</v>
      </c>
    </row>
    <row r="54" spans="1:7" s="10" customFormat="1" ht="15.75">
      <c r="A54" s="21" t="s">
        <v>257</v>
      </c>
      <c r="B54" s="72">
        <f>IF(35941.47021="","-",35941.47021)</f>
        <v>35941.47021</v>
      </c>
      <c r="C54" s="72">
        <f>IF(OR(31651.12371="",35941.47021=""),"-",35941.47021/31651.12371*100)</f>
        <v>113.55511589196593</v>
      </c>
      <c r="D54" s="72">
        <f>IF(31651.12371="","-",31651.12371/4831335.29052*100)</f>
        <v>0.6551216549202357</v>
      </c>
      <c r="E54" s="72">
        <f>IF(35941.47021="","-",35941.47021/5764278.95119*100)</f>
        <v>0.6235206608552506</v>
      </c>
      <c r="F54" s="72">
        <f>IF(OR(4020356.96103="",30582.05803="",31651.12371=""),"-",(31651.12371-30582.05803)/4020356.96103*100)</f>
        <v>0.026591312422320563</v>
      </c>
      <c r="G54" s="72">
        <f>IF(OR(4831335.29052="",35941.47021="",31651.12371=""),"-",(35941.47021-31651.12371)/4831335.29052*100)</f>
        <v>0.08880249955780292</v>
      </c>
    </row>
    <row r="55" spans="1:7" s="10" customFormat="1" ht="15.75">
      <c r="A55" s="21" t="s">
        <v>114</v>
      </c>
      <c r="B55" s="72">
        <f>IF(31031.38687="","-",31031.38687)</f>
        <v>31031.38687</v>
      </c>
      <c r="C55" s="72">
        <f>IF(OR(26852.33149="",31031.38687=""),"-",31031.38687/26852.33149*100)</f>
        <v>115.56310066243711</v>
      </c>
      <c r="D55" s="72">
        <f>IF(26852.33149="","-",26852.33149/4831335.29052*100)</f>
        <v>0.5557952382789368</v>
      </c>
      <c r="E55" s="72">
        <f>IF(31031.38687="","-",31031.38687/5764278.95119*100)</f>
        <v>0.5383394372958609</v>
      </c>
      <c r="F55" s="72">
        <f>IF(OR(4020356.96103="",22417.2078="",26852.33149=""),"-",(26852.33149-22417.2078)/4020356.96103*100)</f>
        <v>0.11031666424127023</v>
      </c>
      <c r="G55" s="72">
        <f>IF(OR(4831335.29052="",31031.38687="",26852.33149=""),"-",(31031.38687-26852.33149)/4831335.29052*100)</f>
        <v>0.08649897241038312</v>
      </c>
    </row>
    <row r="56" spans="1:7" s="10" customFormat="1" ht="15.75">
      <c r="A56" s="21" t="s">
        <v>111</v>
      </c>
      <c r="B56" s="72">
        <f>IF(27068.21609="","-",27068.21609)</f>
        <v>27068.21609</v>
      </c>
      <c r="C56" s="72" t="s">
        <v>230</v>
      </c>
      <c r="D56" s="72">
        <f>IF(18021.69459="","-",18021.69459/4831335.29052*100)</f>
        <v>0.3730168474409548</v>
      </c>
      <c r="E56" s="72">
        <f>IF(27068.21609="","-",27068.21609/5764278.95119*100)</f>
        <v>0.46958546453432715</v>
      </c>
      <c r="F56" s="72">
        <f>IF(OR(4020356.96103="",17479.30637="",18021.69459=""),"-",(18021.69459-17479.30637)/4020356.96103*100)</f>
        <v>0.013491046323932464</v>
      </c>
      <c r="G56" s="72">
        <f>IF(OR(4831335.29052="",27068.21609="",18021.69459=""),"-",(27068.21609-18021.69459)/4831335.29052*100)</f>
        <v>0.18724681596309412</v>
      </c>
    </row>
    <row r="57" spans="1:7" s="10" customFormat="1" ht="15.75">
      <c r="A57" s="21" t="s">
        <v>115</v>
      </c>
      <c r="B57" s="72">
        <f>IF(20433.49255="","-",20433.49255)</f>
        <v>20433.49255</v>
      </c>
      <c r="C57" s="72">
        <f>IF(OR(18947.23044="",20433.49255=""),"-",20433.49255/18947.23044*100)</f>
        <v>107.84421826032322</v>
      </c>
      <c r="D57" s="72">
        <f>IF(18947.23044="","-",18947.23044/4831335.29052*100)</f>
        <v>0.39217378427819055</v>
      </c>
      <c r="E57" s="72">
        <f>IF(20433.49255="","-",20433.49255/5764278.95119*100)</f>
        <v>0.3544847971970827</v>
      </c>
      <c r="F57" s="72">
        <f>IF(OR(4020356.96103="",15019.84992="",18947.23044=""),"-",(18947.23044-15019.84992)/4020356.96103*100)</f>
        <v>0.0976873585621566</v>
      </c>
      <c r="G57" s="72">
        <f>IF(OR(4831335.29052="",20433.49255="",18947.23044=""),"-",(20433.49255-18947.23044)/4831335.29052*100)</f>
        <v>0.030762967598550423</v>
      </c>
    </row>
    <row r="58" spans="1:7" s="10" customFormat="1" ht="15.75">
      <c r="A58" s="21" t="s">
        <v>126</v>
      </c>
      <c r="B58" s="72">
        <f>IF(14952.06949="","-",14952.06949)</f>
        <v>14952.06949</v>
      </c>
      <c r="C58" s="72">
        <f>IF(OR(12495.45573="",14952.06949=""),"-",14952.06949/12495.45573*100)</f>
        <v>119.66005732869738</v>
      </c>
      <c r="D58" s="72">
        <f>IF(12495.45573="","-",12495.45573/4831335.29052*100)</f>
        <v>0.2586335863403739</v>
      </c>
      <c r="E58" s="72">
        <f>IF(14952.06949="","-",14952.06949/5764278.95119*100)</f>
        <v>0.2593918444372515</v>
      </c>
      <c r="F58" s="72">
        <f>IF(OR(4020356.96103="",10196.31546="",12495.45573=""),"-",(12495.45573-10196.31546)/4020356.96103*100)</f>
        <v>0.05718746599582961</v>
      </c>
      <c r="G58" s="72">
        <f>IF(OR(4831335.29052="",14952.06949="",12495.45573=""),"-",(14952.06949-12495.45573)/4831335.29052*100)</f>
        <v>0.05084751134578351</v>
      </c>
    </row>
    <row r="59" spans="1:7" s="10" customFormat="1" ht="15.75">
      <c r="A59" s="21" t="s">
        <v>106</v>
      </c>
      <c r="B59" s="72">
        <f>IF(12306.90136="","-",12306.90136)</f>
        <v>12306.90136</v>
      </c>
      <c r="C59" s="72">
        <f>IF(OR(8931.46072="",12306.90136=""),"-",12306.90136/8931.46072*100)</f>
        <v>137.79270542433736</v>
      </c>
      <c r="D59" s="72">
        <f>IF(8931.46072="","-",8931.46072/4831335.29052*100)</f>
        <v>0.18486526359545416</v>
      </c>
      <c r="E59" s="72">
        <f>IF(12306.90136="","-",12306.90136/5764278.95119*100)</f>
        <v>0.21350287632175255</v>
      </c>
      <c r="F59" s="72">
        <f>IF(OR(4020356.96103="",11329.72449="",8931.46072=""),"-",(8931.46072-11329.72449)/4020356.96103*100)</f>
        <v>-0.059653005771546606</v>
      </c>
      <c r="G59" s="72">
        <f>IF(OR(4831335.29052="",12306.90136="",8931.46072=""),"-",(12306.90136-8931.46072)/4831335.29052*100)</f>
        <v>0.06986558450255477</v>
      </c>
    </row>
    <row r="60" spans="1:7" s="10" customFormat="1" ht="15.75">
      <c r="A60" s="21" t="s">
        <v>130</v>
      </c>
      <c r="B60" s="72">
        <f>IF(11830.1177="","-",11830.1177)</f>
        <v>11830.1177</v>
      </c>
      <c r="C60" s="72" t="s">
        <v>243</v>
      </c>
      <c r="D60" s="72">
        <f>IF(5521.76368="","-",5521.76368/4831335.29052*100)</f>
        <v>0.11429063287813519</v>
      </c>
      <c r="E60" s="72">
        <f>IF(11830.1177="","-",11830.1177/5764278.95119*100)</f>
        <v>0.2052315267906621</v>
      </c>
      <c r="F60" s="72">
        <f>IF(OR(4020356.96103="",3922.61258="",5521.76368=""),"-",(5521.76368-3922.61258)/4020356.96103*100)</f>
        <v>0.03977634611803982</v>
      </c>
      <c r="G60" s="72">
        <f>IF(OR(4831335.29052="",11830.1177="",5521.76368=""),"-",(11830.1177-5521.76368)/4831335.29052*100)</f>
        <v>0.13057164615294228</v>
      </c>
    </row>
    <row r="61" spans="1:7" s="10" customFormat="1" ht="15.75">
      <c r="A61" s="21" t="s">
        <v>105</v>
      </c>
      <c r="B61" s="72">
        <f>IF(11259.46788="","-",11259.46788)</f>
        <v>11259.46788</v>
      </c>
      <c r="C61" s="72">
        <f>IF(OR(9691.98108="",11259.46788=""),"-",11259.46788/9691.98108*100)</f>
        <v>116.17302785737589</v>
      </c>
      <c r="D61" s="72">
        <f>IF(9691.98108="","-",9691.98108/4831335.29052*100)</f>
        <v>0.200606674908643</v>
      </c>
      <c r="E61" s="72">
        <f>IF(11259.46788="","-",11259.46788/5764278.95119*100)</f>
        <v>0.1953317661296657</v>
      </c>
      <c r="F61" s="72">
        <f>IF(OR(4020356.96103="",6548.44238="",9691.98108=""),"-",(9691.98108-6548.44238)/4020356.96103*100)</f>
        <v>0.0781905370709828</v>
      </c>
      <c r="G61" s="72">
        <f>IF(OR(4831335.29052="",11259.46788="",9691.98108=""),"-",(11259.46788-9691.98108)/4831335.29052*100)</f>
        <v>0.03244417341673032</v>
      </c>
    </row>
    <row r="62" spans="1:7" s="10" customFormat="1" ht="15.75">
      <c r="A62" s="21" t="s">
        <v>116</v>
      </c>
      <c r="B62" s="72">
        <f>IF(10660.91925="","-",10660.91925)</f>
        <v>10660.91925</v>
      </c>
      <c r="C62" s="72">
        <f>IF(OR(9034.11337="",10660.91925=""),"-",10660.91925/9034.11337*100)</f>
        <v>118.00736622812606</v>
      </c>
      <c r="D62" s="72">
        <f>IF(9034.11337="","-",9034.11337/4831335.29052*100)</f>
        <v>0.18698998986318854</v>
      </c>
      <c r="E62" s="72">
        <f>IF(10660.91925="","-",10660.91925/5764278.95119*100)</f>
        <v>0.1849480106752835</v>
      </c>
      <c r="F62" s="72">
        <f>IF(OR(4020356.96103="",6888.10718="",9034.11337=""),"-",(9034.11337-6888.10718)/4020356.96103*100)</f>
        <v>0.053378498745300484</v>
      </c>
      <c r="G62" s="72">
        <f>IF(OR(4831335.29052="",10660.91925="",9034.11337=""),"-",(10660.91925-9034.11337)/4831335.29052*100)</f>
        <v>0.03367197228460017</v>
      </c>
    </row>
    <row r="63" spans="1:7" s="10" customFormat="1" ht="15.75">
      <c r="A63" s="21" t="s">
        <v>129</v>
      </c>
      <c r="B63" s="72">
        <f>IF(10380.55232="","-",10380.55232)</f>
        <v>10380.55232</v>
      </c>
      <c r="C63" s="72">
        <f>IF(OR(7973.56512="",10380.55232=""),"-",10380.55232/7973.56512*100)</f>
        <v>130.18708900943923</v>
      </c>
      <c r="D63" s="72">
        <f>IF(7973.56512="","-",7973.56512/4831335.29052*100)</f>
        <v>0.16503853780642494</v>
      </c>
      <c r="E63" s="72">
        <f>IF(10380.55232="","-",10380.55232/5764278.95119*100)</f>
        <v>0.18008414249031093</v>
      </c>
      <c r="F63" s="72">
        <f>IF(OR(4020356.96103="",5706.48816="",7973.56512=""),"-",(7973.56512-5706.48816)/4020356.96103*100)</f>
        <v>0.05638994203686789</v>
      </c>
      <c r="G63" s="72">
        <f>IF(OR(4831335.29052="",10380.55232="",7973.56512=""),"-",(10380.55232-7973.56512)/4831335.29052*100)</f>
        <v>0.04982033030750252</v>
      </c>
    </row>
    <row r="64" spans="1:7" s="10" customFormat="1" ht="15.75">
      <c r="A64" s="21" t="s">
        <v>113</v>
      </c>
      <c r="B64" s="72">
        <f>IF(9124.85489="","-",9124.85489)</f>
        <v>9124.85489</v>
      </c>
      <c r="C64" s="72">
        <f>IF(OR(6387.69302="",9124.85489=""),"-",9124.85489/6387.69302*100)</f>
        <v>142.85055436179994</v>
      </c>
      <c r="D64" s="72">
        <f>IF(6387.69302="","-",6387.69302/4831335.29052*100)</f>
        <v>0.13221382156055014</v>
      </c>
      <c r="E64" s="72">
        <f>IF(9124.85489="","-",9124.85489/5764278.95119*100)</f>
        <v>0.15830002273079152</v>
      </c>
      <c r="F64" s="72">
        <f>IF(OR(4020356.96103="",4285.96603="",6387.69302=""),"-",(6387.69302-4285.96603)/4020356.96103*100)</f>
        <v>0.05227712390646888</v>
      </c>
      <c r="G64" s="72">
        <f>IF(OR(4831335.29052="",9124.85489="",6387.69302=""),"-",(9124.85489-6387.69302)/4831335.29052*100)</f>
        <v>0.056654355481616715</v>
      </c>
    </row>
    <row r="65" spans="1:7" s="10" customFormat="1" ht="15.75">
      <c r="A65" s="21" t="s">
        <v>123</v>
      </c>
      <c r="B65" s="72">
        <f>IF(8423.17209="","-",8423.17209)</f>
        <v>8423.17209</v>
      </c>
      <c r="C65" s="72">
        <f>IF(OR(7860.60962="",8423.17209=""),"-",8423.17209/7860.60962*100)</f>
        <v>107.1567282589464</v>
      </c>
      <c r="D65" s="72">
        <f>IF(7860.60962="","-",7860.60962/4831335.29052*100)</f>
        <v>0.1627005609696353</v>
      </c>
      <c r="E65" s="72">
        <f>IF(8423.17209="","-",8423.17209/5764278.95119*100)</f>
        <v>0.1461270726369182</v>
      </c>
      <c r="F65" s="72">
        <f>IF(OR(4020356.96103="",6321.78644="",7860.60962=""),"-",(7860.60962-6321.78644)/4020356.96103*100)</f>
        <v>0.03827578483493067</v>
      </c>
      <c r="G65" s="72">
        <f>IF(OR(4831335.29052="",8423.17209="",7860.60962=""),"-",(8423.17209-7860.60962)/4831335.29052*100)</f>
        <v>0.01164403702437822</v>
      </c>
    </row>
    <row r="66" spans="1:7" s="10" customFormat="1" ht="15.75">
      <c r="A66" s="21" t="s">
        <v>107</v>
      </c>
      <c r="B66" s="72">
        <f>IF(7913.65122="","-",7913.65122)</f>
        <v>7913.65122</v>
      </c>
      <c r="C66" s="72">
        <f>IF(OR(9344.45378="",7913.65122=""),"-",7913.65122/9344.45378*100)</f>
        <v>84.68821620090458</v>
      </c>
      <c r="D66" s="72">
        <f>IF(9344.45378="","-",9344.45378/4831335.29052*100)</f>
        <v>0.19341348132752445</v>
      </c>
      <c r="E66" s="72">
        <f>IF(7913.65122="","-",7913.65122/5764278.95119*100)</f>
        <v>0.13728779066749147</v>
      </c>
      <c r="F66" s="72">
        <f>IF(OR(4020356.96103="",5940.49753="",9344.45378=""),"-",(9344.45378-5940.49753)/4020356.96103*100)</f>
        <v>0.08466801040293497</v>
      </c>
      <c r="G66" s="72">
        <f>IF(OR(4831335.29052="",7913.65122="",9344.45378=""),"-",(7913.65122-9344.45378)/4831335.29052*100)</f>
        <v>-0.029615054099174344</v>
      </c>
    </row>
    <row r="67" spans="1:7" s="10" customFormat="1" ht="15.75">
      <c r="A67" s="21" t="s">
        <v>127</v>
      </c>
      <c r="B67" s="72">
        <f>IF(7203.91624="","-",7203.91624)</f>
        <v>7203.91624</v>
      </c>
      <c r="C67" s="72">
        <f>IF(OR(8557.08871="",7203.91624=""),"-",7203.91624/8557.08871*100)</f>
        <v>84.18653217397812</v>
      </c>
      <c r="D67" s="72">
        <f>IF(8557.08871="","-",8557.08871/4831335.29052*100)</f>
        <v>0.17711643252726916</v>
      </c>
      <c r="E67" s="72">
        <f>IF(7203.91624="","-",7203.91624/5764278.95119*100)</f>
        <v>0.12497514955470354</v>
      </c>
      <c r="F67" s="72">
        <f>IF(OR(4020356.96103="",6547.18128="",8557.08871=""),"-",(8557.08871-6547.18128)/4020356.96103*100)</f>
        <v>0.04999325804853581</v>
      </c>
      <c r="G67" s="72">
        <f>IF(OR(4831335.29052="",7203.91624="",8557.08871=""),"-",(7203.91624-8557.08871)/4831335.29052*100)</f>
        <v>-0.028008250072297455</v>
      </c>
    </row>
    <row r="68" spans="1:7" s="10" customFormat="1" ht="15.75">
      <c r="A68" s="21" t="s">
        <v>132</v>
      </c>
      <c r="B68" s="72">
        <f>IF(6334.02255="","-",6334.02255)</f>
        <v>6334.02255</v>
      </c>
      <c r="C68" s="72" t="s">
        <v>193</v>
      </c>
      <c r="D68" s="72">
        <f>IF(4063.80643="","-",4063.80643/4831335.29052*100)</f>
        <v>0.08411352526027249</v>
      </c>
      <c r="E68" s="72">
        <f>IF(6334.02255="","-",6334.02255/5764278.95119*100)</f>
        <v>0.10988403933318285</v>
      </c>
      <c r="F68" s="72">
        <f>IF(OR(4020356.96103="",3313.44677="",4063.80643=""),"-",(4063.80643-3313.44677)/4020356.96103*100)</f>
        <v>0.018664005889859114</v>
      </c>
      <c r="G68" s="72">
        <f>IF(OR(4831335.29052="",6334.02255="",4063.80643=""),"-",(6334.02255-4063.80643)/4831335.29052*100)</f>
        <v>0.04698941355725395</v>
      </c>
    </row>
    <row r="69" spans="1:7" s="10" customFormat="1" ht="15.75">
      <c r="A69" s="21" t="s">
        <v>131</v>
      </c>
      <c r="B69" s="72">
        <f>IF(5615.20752="","-",5615.20752)</f>
        <v>5615.20752</v>
      </c>
      <c r="C69" s="72">
        <f>IF(OR(4694.42355="",5615.20752=""),"-",5615.20752/4694.42355*100)</f>
        <v>119.61442039033736</v>
      </c>
      <c r="D69" s="72">
        <f>IF(4694.42355="","-",4694.42355/4831335.29052*100)</f>
        <v>0.0971661718285492</v>
      </c>
      <c r="E69" s="72">
        <f>IF(5615.20752="","-",5615.20752/5764278.95119*100)</f>
        <v>0.09741387548291316</v>
      </c>
      <c r="F69" s="72">
        <f>IF(OR(4020356.96103="",3353.3432="",4694.42355=""),"-",(4694.42355-3353.3432)/4020356.96103*100)</f>
        <v>0.033357245712241954</v>
      </c>
      <c r="G69" s="72">
        <f>IF(OR(4831335.29052="",5615.20752="",4694.42355=""),"-",(5615.20752-4694.42355)/4831335.29052*100)</f>
        <v>0.0190585814196492</v>
      </c>
    </row>
    <row r="70" spans="1:7" s="10" customFormat="1" ht="15.75">
      <c r="A70" s="21" t="s">
        <v>110</v>
      </c>
      <c r="B70" s="72">
        <f>IF(5508.56242="","-",5508.56242)</f>
        <v>5508.56242</v>
      </c>
      <c r="C70" s="72">
        <f>IF(OR(5530.49987="",5508.56242=""),"-",5508.56242/5530.49987*100)</f>
        <v>99.60333694031893</v>
      </c>
      <c r="D70" s="72">
        <f>IF(5530.49987="","-",5530.49987/4831335.29052*100)</f>
        <v>0.11447145638705501</v>
      </c>
      <c r="E70" s="72">
        <f>IF(5508.56242="","-",5508.56242/5764278.95119*100)</f>
        <v>0.09556377244482228</v>
      </c>
      <c r="F70" s="72">
        <f>IF(OR(4020356.96103="",4655.15028="",5530.49987=""),"-",(5530.49987-4655.15028)/4020356.96103*100)</f>
        <v>0.021772932067597763</v>
      </c>
      <c r="G70" s="72">
        <f>IF(OR(4831335.29052="",5508.56242="",5530.49987=""),"-",(5508.56242-5530.49987)/4831335.29052*100)</f>
        <v>-0.0004540659813663709</v>
      </c>
    </row>
    <row r="71" spans="1:7" s="10" customFormat="1" ht="15.75">
      <c r="A71" s="21" t="s">
        <v>128</v>
      </c>
      <c r="B71" s="72">
        <f>IF(5067.60335="","-",5067.60335)</f>
        <v>5067.60335</v>
      </c>
      <c r="C71" s="72">
        <f>IF(OR(6101.90761="",5067.60335=""),"-",5067.60335/6101.90761*100)</f>
        <v>83.04949327149842</v>
      </c>
      <c r="D71" s="72">
        <f>IF(6101.90761="","-",6101.90761/4831335.29052*100)</f>
        <v>0.12629857468127093</v>
      </c>
      <c r="E71" s="72">
        <f>IF(5067.60335="","-",5067.60335/5764278.95119*100)</f>
        <v>0.08791391591057238</v>
      </c>
      <c r="F71" s="72">
        <f>IF(OR(4020356.96103="",5924.43733="",6101.90761=""),"-",(6101.90761-5924.43733)/4020356.96103*100)</f>
        <v>0.004414291609432941</v>
      </c>
      <c r="G71" s="72">
        <f>IF(OR(4831335.29052="",5067.60335="",6101.90761=""),"-",(5067.60335-6101.90761)/4831335.29052*100)</f>
        <v>-0.02140824839935042</v>
      </c>
    </row>
    <row r="72" spans="1:7" s="10" customFormat="1" ht="15.75">
      <c r="A72" s="21" t="s">
        <v>119</v>
      </c>
      <c r="B72" s="72">
        <f>IF(4897.75664="","-",4897.75664)</f>
        <v>4897.75664</v>
      </c>
      <c r="C72" s="72" t="s">
        <v>238</v>
      </c>
      <c r="D72" s="72">
        <f>IF(2811.01677="","-",2811.01677/4831335.29052*100)</f>
        <v>0.05818301982716352</v>
      </c>
      <c r="E72" s="72">
        <f>IF(4897.75664="","-",4897.75664/5764278.95119*100)</f>
        <v>0.08496737721183475</v>
      </c>
      <c r="F72" s="72">
        <f>IF(OR(4020356.96103="",2129.50181="",2811.01677=""),"-",(2811.01677-2129.50181)/4020356.96103*100)</f>
        <v>0.01695160321847139</v>
      </c>
      <c r="G72" s="72">
        <f>IF(OR(4831335.29052="",4897.75664="",2811.01677=""),"-",(4897.75664-2811.01677)/4831335.29052*100)</f>
        <v>0.04319178331701756</v>
      </c>
    </row>
    <row r="73" spans="1:7" s="10" customFormat="1" ht="15.75">
      <c r="A73" s="21" t="s">
        <v>120</v>
      </c>
      <c r="B73" s="72">
        <f>IF(4728.28482="","-",4728.28482)</f>
        <v>4728.28482</v>
      </c>
      <c r="C73" s="72" t="s">
        <v>239</v>
      </c>
      <c r="D73" s="72">
        <f>IF(1887.24722="","-",1887.24722/4831335.29052*100)</f>
        <v>0.03906264224102058</v>
      </c>
      <c r="E73" s="72">
        <f>IF(4728.28482="","-",4728.28482/5764278.95119*100)</f>
        <v>0.08202734218863357</v>
      </c>
      <c r="F73" s="72">
        <f>IF(OR(4020356.96103="",1076.43744="",1887.24722=""),"-",(1887.24722-1076.43744)/4020356.96103*100)</f>
        <v>0.020167606704064252</v>
      </c>
      <c r="G73" s="72">
        <f>IF(OR(4831335.29052="",4728.28482="",1887.24722=""),"-",(4728.28482-1887.24722)/4831335.29052*100)</f>
        <v>0.0588043973179559</v>
      </c>
    </row>
    <row r="74" spans="1:7" s="10" customFormat="1" ht="15.75">
      <c r="A74" s="21" t="s">
        <v>109</v>
      </c>
      <c r="B74" s="72">
        <f>IF(4672.51725="","-",4672.51725)</f>
        <v>4672.51725</v>
      </c>
      <c r="C74" s="72">
        <f>IF(OR(6968.13154="",4672.51725=""),"-",4672.51725/6968.13154*100)</f>
        <v>67.05552590644693</v>
      </c>
      <c r="D74" s="72">
        <f>IF(6968.13154="","-",6968.13154/4831335.29052*100)</f>
        <v>0.14422786084983175</v>
      </c>
      <c r="E74" s="72">
        <f>IF(4672.51725="","-",4672.51725/5764278.95119*100)</f>
        <v>0.0810598739159802</v>
      </c>
      <c r="F74" s="72">
        <f>IF(OR(4020356.96103="",6034.25667="",6968.13154=""),"-",(6968.13154-6034.25667)/4020356.96103*100)</f>
        <v>0.023228655541092685</v>
      </c>
      <c r="G74" s="72">
        <f>IF(OR(4831335.29052="",4672.51725="",6968.13154=""),"-",(4672.51725-6968.13154)/4831335.29052*100)</f>
        <v>-0.04751511025335858</v>
      </c>
    </row>
    <row r="75" spans="1:7" s="10" customFormat="1" ht="15.75">
      <c r="A75" s="21" t="s">
        <v>135</v>
      </c>
      <c r="B75" s="72">
        <f>IF(4203.04325="","-",4203.04325)</f>
        <v>4203.04325</v>
      </c>
      <c r="C75" s="72" t="s">
        <v>242</v>
      </c>
      <c r="D75" s="72">
        <f>IF(2120.06239="","-",2120.06239/4831335.29052*100)</f>
        <v>0.0438814998859625</v>
      </c>
      <c r="E75" s="72">
        <f>IF(4203.04325="","-",4203.04325/5764278.95119*100)</f>
        <v>0.07291533400083469</v>
      </c>
      <c r="F75" s="72">
        <f>IF(OR(4020356.96103="",1465.91511="",2120.06239=""),"-",(2120.06239-1465.91511)/4020356.96103*100)</f>
        <v>0.01627087560484704</v>
      </c>
      <c r="G75" s="72">
        <f>IF(OR(4831335.29052="",4203.04325="",2120.06239=""),"-",(4203.04325-2120.06239)/4831335.29052*100)</f>
        <v>0.04311397853275066</v>
      </c>
    </row>
    <row r="76" spans="1:7" s="10" customFormat="1" ht="15.75">
      <c r="A76" s="21" t="s">
        <v>83</v>
      </c>
      <c r="B76" s="72">
        <f>IF(4194.99111="","-",4194.99111)</f>
        <v>4194.99111</v>
      </c>
      <c r="C76" s="72" t="s">
        <v>193</v>
      </c>
      <c r="D76" s="72">
        <f>IF(2576.71424="","-",2576.71424/4831335.29052*100)</f>
        <v>0.05333337649026355</v>
      </c>
      <c r="E76" s="72">
        <f>IF(4194.99111="","-",4194.99111/5764278.95119*100)</f>
        <v>0.07277564367584899</v>
      </c>
      <c r="F76" s="72">
        <f>IF(OR(4020356.96103="",2760.96814="",2576.71424=""),"-",(2576.71424-2760.96814)/4020356.96103*100)</f>
        <v>-0.004583023392848057</v>
      </c>
      <c r="G76" s="72">
        <f>IF(OR(4831335.29052="",4194.99111="",2576.71424=""),"-",(4194.99111-2576.71424)/4831335.29052*100)</f>
        <v>0.033495437031153014</v>
      </c>
    </row>
    <row r="77" spans="1:7" s="10" customFormat="1" ht="15.75">
      <c r="A77" s="21" t="s">
        <v>259</v>
      </c>
      <c r="B77" s="72">
        <f>IF(3209.3554="","-",3209.3554)</f>
        <v>3209.3554</v>
      </c>
      <c r="C77" s="72" t="s">
        <v>238</v>
      </c>
      <c r="D77" s="72">
        <f>IF(1931.06172="","-",1931.06172/4831335.29052*100)</f>
        <v>0.039969524031774624</v>
      </c>
      <c r="E77" s="72">
        <f>IF(3209.3554="","-",3209.3554/5764278.95119*100)</f>
        <v>0.0556766150142239</v>
      </c>
      <c r="F77" s="72">
        <f>IF(OR(4020356.96103="",2108.21635="",1931.06172=""),"-",(1931.06172-2108.21635)/4020356.96103*100)</f>
        <v>-0.004406440316548755</v>
      </c>
      <c r="G77" s="72">
        <f>IF(OR(4831335.29052="",3209.3554="",1931.06172=""),"-",(3209.3554-1931.06172)/4831335.29052*100)</f>
        <v>0.026458393034908087</v>
      </c>
    </row>
    <row r="78" spans="1:7" s="10" customFormat="1" ht="15.75">
      <c r="A78" s="21" t="s">
        <v>134</v>
      </c>
      <c r="B78" s="72">
        <f>IF(2900.30168="","-",2900.30168)</f>
        <v>2900.30168</v>
      </c>
      <c r="C78" s="72">
        <f>IF(OR(3971.2416="",2900.30168=""),"-",2900.30168/3971.2416*100)</f>
        <v>73.03261730537875</v>
      </c>
      <c r="D78" s="72">
        <f>IF(3971.2416="","-",3971.2416/4831335.29052*100)</f>
        <v>0.08219759882515983</v>
      </c>
      <c r="E78" s="72">
        <f>IF(2900.30168="","-",2900.30168/5764278.95119*100)</f>
        <v>0.05031508198265198</v>
      </c>
      <c r="F78" s="72">
        <f>IF(OR(4020356.96103="",1919.70615="",3971.2416=""),"-",(3971.2416-1919.70615)/4020356.96103*100)</f>
        <v>0.05102868899169601</v>
      </c>
      <c r="G78" s="72">
        <f>IF(OR(4831335.29052="",2900.30168="",3971.2416=""),"-",(2900.30168-3971.2416)/4831335.29052*100)</f>
        <v>-0.022166541040970347</v>
      </c>
    </row>
    <row r="79" spans="1:7" s="10" customFormat="1" ht="15.75">
      <c r="A79" s="21" t="s">
        <v>82</v>
      </c>
      <c r="B79" s="72">
        <f>IF(2780.30482="","-",2780.30482)</f>
        <v>2780.30482</v>
      </c>
      <c r="C79" s="72" t="s">
        <v>264</v>
      </c>
      <c r="D79" s="72">
        <f>IF(983.13903="","-",983.13903/4831335.29052*100)</f>
        <v>0.020349219643875805</v>
      </c>
      <c r="E79" s="72">
        <f>IF(2780.30482="","-",2780.30482/5764278.95119*100)</f>
        <v>0.04823334962694723</v>
      </c>
      <c r="F79" s="72">
        <f>IF(OR(4020356.96103="",3316.54068="",983.13903=""),"-",(983.13903-3316.54068)/4020356.96103*100)</f>
        <v>-0.058039663458196784</v>
      </c>
      <c r="G79" s="72">
        <f>IF(OR(4831335.29052="",2780.30482="",983.13903=""),"-",(2780.30482-983.13903)/4831335.29052*100)</f>
        <v>0.037198117744516326</v>
      </c>
    </row>
    <row r="80" spans="1:7" s="10" customFormat="1" ht="15.75">
      <c r="A80" s="21" t="s">
        <v>102</v>
      </c>
      <c r="B80" s="72">
        <f>IF(2718.19709="","-",2718.19709)</f>
        <v>2718.19709</v>
      </c>
      <c r="C80" s="72">
        <f>IF(OR(1932.21669="",2718.19709=""),"-",2718.19709/1932.21669*100)</f>
        <v>140.67765298104325</v>
      </c>
      <c r="D80" s="72">
        <f>IF(1932.21669="","-",1932.21669/4831335.29052*100)</f>
        <v>0.039993429845189526</v>
      </c>
      <c r="E80" s="72">
        <f>IF(2718.19709="","-",2718.19709/5764278.95119*100)</f>
        <v>0.04715589084110589</v>
      </c>
      <c r="F80" s="72">
        <f>IF(OR(4020356.96103="",1516.89178="",1932.21669=""),"-",(1932.21669-1516.89178)/4020356.96103*100)</f>
        <v>0.01033054810868325</v>
      </c>
      <c r="G80" s="72">
        <f>IF(OR(4831335.29052="",2718.19709="",1932.21669=""),"-",(2718.19709-1932.21669)/4831335.29052*100)</f>
        <v>0.016268388607643177</v>
      </c>
    </row>
    <row r="81" spans="1:7" s="10" customFormat="1" ht="15.75">
      <c r="A81" s="21" t="s">
        <v>118</v>
      </c>
      <c r="B81" s="72">
        <f>IF(2338.40476="","-",2338.40476)</f>
        <v>2338.40476</v>
      </c>
      <c r="C81" s="72">
        <f>IF(OR(1737.79037="",2338.40476=""),"-",2338.40476/1737.79037*100)</f>
        <v>134.56195870161255</v>
      </c>
      <c r="D81" s="72">
        <f>IF(1737.79037="","-",1737.79037/4831335.29052*100)</f>
        <v>0.035969152739406755</v>
      </c>
      <c r="E81" s="72">
        <f>IF(2338.40476="","-",2338.40476/5764278.95119*100)</f>
        <v>0.040567168587794494</v>
      </c>
      <c r="F81" s="72">
        <f>IF(OR(4020356.96103="",1568.65247="",1737.79037=""),"-",(1737.79037-1568.65247)/4020356.96103*100)</f>
        <v>0.0042070368785528806</v>
      </c>
      <c r="G81" s="72">
        <f>IF(OR(4831335.29052="",2338.40476="",1737.79037=""),"-",(2338.40476-1737.79037)/4831335.29052*100)</f>
        <v>0.012431643715113704</v>
      </c>
    </row>
    <row r="82" spans="1:7" s="10" customFormat="1" ht="15.75">
      <c r="A82" s="21" t="s">
        <v>133</v>
      </c>
      <c r="B82" s="72">
        <f>IF(1947.72949="","-",1947.72949)</f>
        <v>1947.72949</v>
      </c>
      <c r="C82" s="72">
        <f>IF(OR(1636.25704="",1947.72949=""),"-",1947.72949/1636.25704*100)</f>
        <v>119.0356675256841</v>
      </c>
      <c r="D82" s="72">
        <f>IF(1636.25704="","-",1636.25704/4831335.29052*100)</f>
        <v>0.03386759439384486</v>
      </c>
      <c r="E82" s="72">
        <f>IF(1947.72949="","-",1947.72949/5764278.95119*100)</f>
        <v>0.033789646658198294</v>
      </c>
      <c r="F82" s="72">
        <f>IF(OR(4020356.96103="",1981.3787="",1636.25704=""),"-",(1636.25704-1981.3787)/4020356.96103*100)</f>
        <v>-0.008584353661759954</v>
      </c>
      <c r="G82" s="72">
        <f>IF(OR(4831335.29052="",1947.72949="",1636.25704=""),"-",(1947.72949-1636.25704)/4831335.29052*100)</f>
        <v>0.006446922667759536</v>
      </c>
    </row>
    <row r="83" spans="1:7" s="10" customFormat="1" ht="15.75">
      <c r="A83" s="21" t="s">
        <v>138</v>
      </c>
      <c r="B83" s="72">
        <f>IF(1930.37574="","-",1930.37574)</f>
        <v>1930.37574</v>
      </c>
      <c r="C83" s="72">
        <f>IF(OR(1970.70575="",1930.37574=""),"-",1930.37574/1970.70575*100)</f>
        <v>97.95352451780282</v>
      </c>
      <c r="D83" s="72">
        <f>IF(1970.70575="","-",1970.70575/4831335.29052*100)</f>
        <v>0.04079008455212992</v>
      </c>
      <c r="E83" s="72">
        <f>IF(1930.37574="","-",1930.37574/5764278.95119*100)</f>
        <v>0.03348858992331531</v>
      </c>
      <c r="F83" s="72">
        <f>IF(OR(4020356.96103="",960.06975="",1970.70575=""),"-",(1970.70575-960.06975)/4020356.96103*100)</f>
        <v>0.02513796684712989</v>
      </c>
      <c r="G83" s="72">
        <f>IF(OR(4831335.29052="",1930.37574="",1970.70575=""),"-",(1930.37574-1970.70575)/4831335.29052*100)</f>
        <v>-0.00083475907952684</v>
      </c>
    </row>
    <row r="84" spans="1:7" s="10" customFormat="1" ht="15.75">
      <c r="A84" s="21" t="s">
        <v>221</v>
      </c>
      <c r="B84" s="72">
        <f>IF(1808.28883="","-",1808.28883)</f>
        <v>1808.28883</v>
      </c>
      <c r="C84" s="72" t="s">
        <v>277</v>
      </c>
      <c r="D84" s="72">
        <f>IF(561.66514="","-",561.66514/4831335.29052*100)</f>
        <v>0.011625463898191746</v>
      </c>
      <c r="E84" s="72">
        <f>IF(1808.28883="","-",1808.28883/5764278.95119*100)</f>
        <v>0.031370598912925436</v>
      </c>
      <c r="F84" s="72">
        <f>IF(OR(4020356.96103="",1212.67484="",561.66514=""),"-",(561.66514-1212.67484)/4020356.96103*100)</f>
        <v>-0.016192833280983435</v>
      </c>
      <c r="G84" s="72">
        <f>IF(OR(4831335.29052="",1808.28883="",561.66514=""),"-",(1808.28883-561.66514)/4831335.29052*100)</f>
        <v>0.02580288088152592</v>
      </c>
    </row>
    <row r="85" spans="1:7" s="10" customFormat="1" ht="15.75">
      <c r="A85" s="21" t="s">
        <v>196</v>
      </c>
      <c r="B85" s="72">
        <f>IF(1798.49973="","-",1798.49973)</f>
        <v>1798.49973</v>
      </c>
      <c r="C85" s="72" t="s">
        <v>157</v>
      </c>
      <c r="D85" s="72">
        <f>IF(795.79766="","-",795.79766/4831335.29052*100)</f>
        <v>0.01647158833214301</v>
      </c>
      <c r="E85" s="72">
        <f>IF(1798.49973="","-",1798.49973/5764278.95119*100)</f>
        <v>0.03120077541751706</v>
      </c>
      <c r="F85" s="72">
        <f>IF(OR(4020356.96103="",767.62111="",795.79766=""),"-",(795.79766-767.62111)/4020356.96103*100)</f>
        <v>0.0007008469713789093</v>
      </c>
      <c r="G85" s="72">
        <f>IF(OR(4831335.29052="",1798.49973="",795.79766=""),"-",(1798.49973-795.79766)/4831335.29052*100)</f>
        <v>0.020754139584712582</v>
      </c>
    </row>
    <row r="86" spans="1:7" s="10" customFormat="1" ht="15.75">
      <c r="A86" s="21" t="s">
        <v>148</v>
      </c>
      <c r="B86" s="72">
        <f>IF(1780.53501="","-",1780.53501)</f>
        <v>1780.53501</v>
      </c>
      <c r="C86" s="72">
        <f>IF(OR(2128.61954="",1780.53501=""),"-",1780.53501/2128.61954*100)</f>
        <v>83.64740511589966</v>
      </c>
      <c r="D86" s="72">
        <f>IF(2128.61954="","-",2128.61954/4831335.29052*100)</f>
        <v>0.04405861758708316</v>
      </c>
      <c r="E86" s="72">
        <f>IF(1780.53501="","-",1780.53501/5764278.95119*100)</f>
        <v>0.03088911943847581</v>
      </c>
      <c r="F86" s="72">
        <f>IF(OR(4020356.96103="",1621.82256="",2128.61954=""),"-",(2128.61954-1621.82256)/4020356.96103*100)</f>
        <v>0.012605770704255092</v>
      </c>
      <c r="G86" s="72">
        <f>IF(OR(4831335.29052="",1780.53501="",2128.61954=""),"-",(1780.53501-2128.61954)/4831335.29052*100)</f>
        <v>-0.007204727245550691</v>
      </c>
    </row>
    <row r="87" spans="1:7" ht="15.75">
      <c r="A87" s="21" t="s">
        <v>112</v>
      </c>
      <c r="B87" s="72">
        <f>IF(1745.30948="","-",1745.30948)</f>
        <v>1745.30948</v>
      </c>
      <c r="C87" s="72">
        <f>IF(OR(1353.73027="",1745.30948=""),"-",1745.30948/1353.73027*100)</f>
        <v>128.92594032044508</v>
      </c>
      <c r="D87" s="72">
        <f>IF(1353.73027="","-",1353.73027/4831335.29052*100)</f>
        <v>0.028019795534710176</v>
      </c>
      <c r="E87" s="72">
        <f>IF(1745.30948="","-",1745.30948/5764278.95119*100)</f>
        <v>0.030278019068450724</v>
      </c>
      <c r="F87" s="72">
        <f>IF(OR(4020356.96103="",1899.55162="",1353.73027=""),"-",(1353.73027-1899.55162)/4020356.96103*100)</f>
        <v>-0.013576439985074426</v>
      </c>
      <c r="G87" s="72">
        <f>IF(OR(4831335.29052="",1745.30948="",1353.73027=""),"-",(1745.30948-1353.73027)/4831335.29052*100)</f>
        <v>0.008104989334280999</v>
      </c>
    </row>
    <row r="88" spans="1:7" ht="15.75">
      <c r="A88" s="21" t="s">
        <v>177</v>
      </c>
      <c r="B88" s="72">
        <f>IF(1599.82487="","-",1599.82487)</f>
        <v>1599.82487</v>
      </c>
      <c r="C88" s="72" t="s">
        <v>150</v>
      </c>
      <c r="D88" s="72">
        <f>IF(891.35055="","-",891.35055/4831335.29052*100)</f>
        <v>0.018449362265314094</v>
      </c>
      <c r="E88" s="72">
        <f>IF(1599.82487="","-",1599.82487/5764278.95119*100)</f>
        <v>0.027754119527295357</v>
      </c>
      <c r="F88" s="72">
        <f>IF(OR(4020356.96103="",553.40197="",891.35055=""),"-",(891.35055-553.40197)/4020356.96103*100)</f>
        <v>0.008405934678830579</v>
      </c>
      <c r="G88" s="72">
        <f>IF(OR(4831335.29052="",1599.82487="",891.35055=""),"-",(1599.82487-891.35055)/4831335.29052*100)</f>
        <v>0.014664151365982847</v>
      </c>
    </row>
    <row r="89" spans="1:7" ht="15.75">
      <c r="A89" s="21" t="s">
        <v>136</v>
      </c>
      <c r="B89" s="72">
        <f>IF(1414.77718="","-",1414.77718)</f>
        <v>1414.77718</v>
      </c>
      <c r="C89" s="72">
        <f>IF(OR(1277.1382="",1414.77718=""),"-",1414.77718/1277.1382*100)</f>
        <v>110.77714064147482</v>
      </c>
      <c r="D89" s="72">
        <f>IF(1277.1382="","-",1277.1382/4831335.29052*100)</f>
        <v>0.026434476665405285</v>
      </c>
      <c r="E89" s="72">
        <f>IF(1414.77718="","-",1414.77718/5764278.95119*100)</f>
        <v>0.024543870828942587</v>
      </c>
      <c r="F89" s="72">
        <f>IF(OR(4020356.96103="",1481.19033="",1277.1382=""),"-",(1277.1382-1481.19033)/4020356.96103*100)</f>
        <v>-0.005075472948743398</v>
      </c>
      <c r="G89" s="72">
        <f>IF(OR(4831335.29052="",1414.77718="",1277.1382=""),"-",(1414.77718-1277.1382)/4831335.29052*100)</f>
        <v>0.00284888072806857</v>
      </c>
    </row>
    <row r="90" spans="1:7" ht="15.75">
      <c r="A90" s="21" t="s">
        <v>137</v>
      </c>
      <c r="B90" s="72">
        <f>IF(1252.14911="","-",1252.14911)</f>
        <v>1252.14911</v>
      </c>
      <c r="C90" s="72" t="s">
        <v>240</v>
      </c>
      <c r="D90" s="72">
        <f>IF(561.79504="","-",561.79504/4831335.29052*100)</f>
        <v>0.011628152595874453</v>
      </c>
      <c r="E90" s="72">
        <f>IF(1252.14911="","-",1252.14911/5764278.95119*100)</f>
        <v>0.021722562710840033</v>
      </c>
      <c r="F90" s="72">
        <f>IF(OR(4020356.96103="",1010.61832="",561.79504=""),"-",(561.79504-1010.61832)/4020356.96103*100)</f>
        <v>-0.011163766908026328</v>
      </c>
      <c r="G90" s="72">
        <f>IF(OR(4831335.29052="",1252.14911="",561.79504=""),"-",(1252.14911-561.79504)/4831335.29052*100)</f>
        <v>0.014289094597814527</v>
      </c>
    </row>
    <row r="91" spans="1:7" ht="15.75">
      <c r="A91" s="21" t="s">
        <v>143</v>
      </c>
      <c r="B91" s="72">
        <f>IF(1242.80256="","-",1242.80256)</f>
        <v>1242.80256</v>
      </c>
      <c r="C91" s="72" t="s">
        <v>243</v>
      </c>
      <c r="D91" s="72">
        <f>IF(583.80968="","-",583.80968/4831335.29052*100)</f>
        <v>0.012083816272191784</v>
      </c>
      <c r="E91" s="72">
        <f>IF(1242.80256="","-",1242.80256/5764278.95119*100)</f>
        <v>0.021560416671775245</v>
      </c>
      <c r="F91" s="72">
        <f>IF(OR(4020356.96103="",379.2445="",583.80968=""),"-",(583.80968-379.2445)/4020356.96103*100)</f>
        <v>0.005088234253398015</v>
      </c>
      <c r="G91" s="72">
        <f>IF(OR(4831335.29052="",1242.80256="",583.80968=""),"-",(1242.80256-583.80968)/4831335.29052*100)</f>
        <v>0.013639974052164619</v>
      </c>
    </row>
    <row r="92" spans="1:7" ht="15.75">
      <c r="A92" s="21" t="s">
        <v>139</v>
      </c>
      <c r="B92" s="72">
        <f>IF(1188.9776="","-",1188.9776)</f>
        <v>1188.9776</v>
      </c>
      <c r="C92" s="72">
        <f>IF(OR(1075.28886="",1188.9776=""),"-",1188.9776/1075.28886*100)</f>
        <v>110.57285574408348</v>
      </c>
      <c r="D92" s="72">
        <f>IF(1075.28886="","-",1075.28886/4831335.29052*100)</f>
        <v>0.022256556321187677</v>
      </c>
      <c r="E92" s="72">
        <f>IF(1188.9776="","-",1188.9776/5764278.95119*100)</f>
        <v>0.02062664923172295</v>
      </c>
      <c r="F92" s="72">
        <f>IF(OR(4020356.96103="",822.37384="",1075.28886=""),"-",(1075.28886-822.37384)/4020356.96103*100)</f>
        <v>0.006290859803036103</v>
      </c>
      <c r="G92" s="72">
        <f>IF(OR(4831335.29052="",1188.9776="",1075.28886=""),"-",(1188.9776-1075.28886)/4831335.29052*100)</f>
        <v>0.002353153593439867</v>
      </c>
    </row>
    <row r="93" spans="1:7" ht="15.75">
      <c r="A93" s="21" t="s">
        <v>125</v>
      </c>
      <c r="B93" s="72">
        <f>IF(1092.67141="","-",1092.67141)</f>
        <v>1092.67141</v>
      </c>
      <c r="C93" s="72" t="s">
        <v>230</v>
      </c>
      <c r="D93" s="72">
        <f>IF(706.11265="","-",706.11265/4831335.29052*100)</f>
        <v>0.014615269020668625</v>
      </c>
      <c r="E93" s="72">
        <f>IF(1092.67141="","-",1092.67141/5764278.95119*100)</f>
        <v>0.018955907915844783</v>
      </c>
      <c r="F93" s="72">
        <f>IF(OR(4020356.96103="",841.41687="",706.11265=""),"-",(706.11265-841.41687)/4020356.96103*100)</f>
        <v>-0.0033654777750216384</v>
      </c>
      <c r="G93" s="72">
        <f>IF(OR(4831335.29052="",1092.67141="",706.11265=""),"-",(1092.67141-706.11265)/4831335.29052*100)</f>
        <v>0.008001074998013526</v>
      </c>
    </row>
    <row r="94" spans="1:7" ht="15.75">
      <c r="A94" s="21" t="s">
        <v>140</v>
      </c>
      <c r="B94" s="72">
        <f>IF(930.77464="","-",930.77464)</f>
        <v>930.77464</v>
      </c>
      <c r="C94" s="72">
        <f>IF(OR(921.4529="",930.77464=""),"-",930.77464/921.4529*100)</f>
        <v>101.01163499512562</v>
      </c>
      <c r="D94" s="72">
        <f>IF(921.4529="","-",921.4529/4831335.29052*100)</f>
        <v>0.019072427074313513</v>
      </c>
      <c r="E94" s="72">
        <f>IF(930.77464="","-",930.77464/5764278.95119*100)</f>
        <v>0.016147286553643406</v>
      </c>
      <c r="F94" s="72">
        <f>IF(OR(4020356.96103="",691.46612="",921.4529=""),"-",(921.4529-691.46612)/4020356.96103*100)</f>
        <v>0.005720556215015252</v>
      </c>
      <c r="G94" s="72">
        <f>IF(OR(4831335.29052="",930.77464="",921.4529=""),"-",(930.77464-921.4529)/4831335.29052*100)</f>
        <v>0.00019294334670357088</v>
      </c>
    </row>
    <row r="95" spans="1:7" ht="15.75">
      <c r="A95" s="21" t="s">
        <v>147</v>
      </c>
      <c r="B95" s="72">
        <f>IF(883.19133="","-",883.19133)</f>
        <v>883.19133</v>
      </c>
      <c r="C95" s="72" t="s">
        <v>278</v>
      </c>
      <c r="D95" s="72">
        <f>IF(163.16692="","-",163.16692/4831335.29052*100)</f>
        <v>0.0033772634310883904</v>
      </c>
      <c r="E95" s="72">
        <f>IF(883.19133="","-",883.19133/5764278.95119*100)</f>
        <v>0.015321800653274605</v>
      </c>
      <c r="F95" s="72">
        <f>IF(OR(4020356.96103="",14.02859="",163.16692=""),"-",(163.16692-14.02859)/4020356.96103*100)</f>
        <v>0.0037095793096389965</v>
      </c>
      <c r="G95" s="72">
        <f>IF(OR(4831335.29052="",883.19133="",163.16692=""),"-",(883.19133-163.16692)/4831335.29052*100)</f>
        <v>0.014903217572434374</v>
      </c>
    </row>
    <row r="96" spans="1:7" ht="15.75">
      <c r="A96" s="21" t="s">
        <v>260</v>
      </c>
      <c r="B96" s="72">
        <f>IF(803.4298="","-",803.4298)</f>
        <v>803.4298</v>
      </c>
      <c r="C96" s="72">
        <f>IF(OR(897.46841="",803.4298=""),"-",803.4298/897.46841*100)</f>
        <v>89.52179163609782</v>
      </c>
      <c r="D96" s="72">
        <f>IF(897.46841="","-",897.46841/4831335.29052*100)</f>
        <v>0.018575991025938602</v>
      </c>
      <c r="E96" s="72">
        <f>IF(803.4298="","-",803.4298/5764278.95119*100)</f>
        <v>0.013938079798066275</v>
      </c>
      <c r="F96" s="72">
        <f>IF(OR(4020356.96103="",1273.81657="",897.46841=""),"-",(897.46841-1273.81657)/4020356.96103*100)</f>
        <v>-0.009361063299801643</v>
      </c>
      <c r="G96" s="72">
        <f>IF(OR(4831335.29052="",803.4298="",897.46841=""),"-",(803.4298-897.46841)/4831335.29052*100)</f>
        <v>-0.0019464310453576178</v>
      </c>
    </row>
    <row r="97" spans="1:7" ht="15.75">
      <c r="A97" s="21" t="s">
        <v>144</v>
      </c>
      <c r="B97" s="72">
        <f>IF(743.43902="","-",743.43902)</f>
        <v>743.43902</v>
      </c>
      <c r="C97" s="72" t="s">
        <v>242</v>
      </c>
      <c r="D97" s="72">
        <f>IF(366.84036="","-",366.84036/4831335.29052*100)</f>
        <v>0.007592939383027517</v>
      </c>
      <c r="E97" s="72">
        <f>IF(743.43902="","-",743.43902/5764278.95119*100)</f>
        <v>0.012897346334124262</v>
      </c>
      <c r="F97" s="72">
        <f>IF(OR(4020356.96103="",100.27244="",366.84036=""),"-",(366.84036-100.27244)/4020356.96103*100)</f>
        <v>0.006630454026443122</v>
      </c>
      <c r="G97" s="72">
        <f>IF(OR(4831335.29052="",743.43902="",366.84036=""),"-",(743.43902-366.84036)/4831335.29052*100)</f>
        <v>0.007794918740973294</v>
      </c>
    </row>
    <row r="98" spans="1:7" ht="15.75">
      <c r="A98" s="21" t="s">
        <v>149</v>
      </c>
      <c r="B98" s="72">
        <f>IF(684.74546="","-",684.74546)</f>
        <v>684.74546</v>
      </c>
      <c r="C98" s="72">
        <f>IF(OR(540.25124="",684.74546=""),"-",684.74546/540.25124*100)</f>
        <v>126.74574518329655</v>
      </c>
      <c r="D98" s="72">
        <f>IF(540.25124="","-",540.25124/4831335.29052*100)</f>
        <v>0.011182234465491886</v>
      </c>
      <c r="E98" s="72">
        <f>IF(684.74546="","-",684.74546/5764278.95119*100)</f>
        <v>0.011879117332769583</v>
      </c>
      <c r="F98" s="72">
        <f>IF(OR(4020356.96103="",306.83991="",540.25124=""),"-",(540.25124-306.83991)/4020356.96103*100)</f>
        <v>0.005805736462271773</v>
      </c>
      <c r="G98" s="72">
        <f>IF(OR(4831335.29052="",684.74546="",540.25124=""),"-",(684.74546-540.25124)/4831335.29052*100)</f>
        <v>0.002990771935939224</v>
      </c>
    </row>
    <row r="99" spans="1:7" ht="15.75">
      <c r="A99" s="21" t="s">
        <v>188</v>
      </c>
      <c r="B99" s="72">
        <f>IF(631.62479="","-",631.62479)</f>
        <v>631.62479</v>
      </c>
      <c r="C99" s="72" t="str">
        <f>IF(OR(""="",631.62479=""),"-",631.62479/""*100)</f>
        <v>-</v>
      </c>
      <c r="D99" s="72" t="str">
        <f>IF(""="","-",""/4831335.29052*100)</f>
        <v>-</v>
      </c>
      <c r="E99" s="72">
        <f>IF(631.62479="","-",631.62479/5764278.95119*100)</f>
        <v>0.01095756807309967</v>
      </c>
      <c r="F99" s="72" t="str">
        <f>IF(OR(4020356.96103="",""="",""=""),"-",(""-"")/4020356.96103*100)</f>
        <v>-</v>
      </c>
      <c r="G99" s="72" t="str">
        <f>IF(OR(4831335.29052="",631.62479="",""=""),"-",(631.62479-"")/4831335.29052*100)</f>
        <v>-</v>
      </c>
    </row>
    <row r="100" spans="1:7" ht="15.75">
      <c r="A100" s="21" t="s">
        <v>198</v>
      </c>
      <c r="B100" s="72">
        <f>IF(607.63097="","-",607.63097)</f>
        <v>607.63097</v>
      </c>
      <c r="C100" s="72">
        <f>IF(OR(606.74557="",607.63097=""),"-",607.63097/606.74557*100)</f>
        <v>100.14592607573549</v>
      </c>
      <c r="D100" s="72">
        <f>IF(606.74557="","-",606.74557/4831335.29052*100)</f>
        <v>0.012558548175916302</v>
      </c>
      <c r="E100" s="72">
        <f>IF(607.63097="","-",607.63097/5764278.95119*100)</f>
        <v>0.010541317919296017</v>
      </c>
      <c r="F100" s="72">
        <f>IF(OR(4020356.96103="",708.43353="",606.74557=""),"-",(606.74557-708.43353)/4020356.96103*100)</f>
        <v>-0.0025293266489935734</v>
      </c>
      <c r="G100" s="72">
        <f>IF(OR(4831335.29052="",607.63097="",606.74557=""),"-",(607.63097-606.74557)/4831335.29052*100)</f>
        <v>1.8326196522467144E-05</v>
      </c>
    </row>
    <row r="101" spans="1:7" ht="15.75">
      <c r="A101" s="21" t="s">
        <v>222</v>
      </c>
      <c r="B101" s="72">
        <f>IF(485.45244="","-",485.45244)</f>
        <v>485.45244</v>
      </c>
      <c r="C101" s="72" t="s">
        <v>279</v>
      </c>
      <c r="D101" s="72">
        <f>IF(34.69732="","-",34.69732/4831335.29052*100)</f>
        <v>0.0007181724702088623</v>
      </c>
      <c r="E101" s="72">
        <f>IF(485.45244="","-",485.45244/5764278.95119*100)</f>
        <v>0.008421737464662103</v>
      </c>
      <c r="F101" s="72">
        <f>IF(OR(4020356.96103="",18.64733="",34.69732=""),"-",(34.69732-18.64733)/4020356.96103*100)</f>
        <v>0.000399218033512329</v>
      </c>
      <c r="G101" s="72">
        <f>IF(OR(4831335.29052="",485.45244="",34.69732=""),"-",(485.45244-34.69732)/4831335.29052*100)</f>
        <v>0.009329824839200612</v>
      </c>
    </row>
    <row r="102" spans="1:7" ht="15.75">
      <c r="A102" s="21" t="s">
        <v>104</v>
      </c>
      <c r="B102" s="72">
        <f>IF(482.18557="","-",482.18557)</f>
        <v>482.18557</v>
      </c>
      <c r="C102" s="72">
        <f>IF(OR(570.72951="",482.18557=""),"-",482.18557/570.72951*100)</f>
        <v>84.48583112515068</v>
      </c>
      <c r="D102" s="72">
        <f>IF(570.72951="","-",570.72951/4831335.29052*100)</f>
        <v>0.011813080146184015</v>
      </c>
      <c r="E102" s="72">
        <f>IF(482.18557="","-",482.18557/5764278.95119*100)</f>
        <v>0.008365063073508192</v>
      </c>
      <c r="F102" s="72">
        <f>IF(OR(4020356.96103="",886.16613="",570.72951=""),"-",(570.72951-886.16613)/4020356.96103*100)</f>
        <v>-0.00784598539526665</v>
      </c>
      <c r="G102" s="72">
        <f>IF(OR(4831335.29052="",482.18557="",570.72951=""),"-",(482.18557-570.72951)/4831335.29052*100)</f>
        <v>-0.0018327012032002849</v>
      </c>
    </row>
    <row r="103" spans="1:7" ht="15.75">
      <c r="A103" s="21" t="s">
        <v>108</v>
      </c>
      <c r="B103" s="72">
        <f>IF(481.51491="","-",481.51491)</f>
        <v>481.51491</v>
      </c>
      <c r="C103" s="72" t="s">
        <v>240</v>
      </c>
      <c r="D103" s="72">
        <f>IF(218.48101="","-",218.48101/4831335.29052*100)</f>
        <v>0.00452216616860977</v>
      </c>
      <c r="E103" s="72">
        <f>IF(481.51491="","-",481.51491/5764278.95119*100)</f>
        <v>0.008353428313884673</v>
      </c>
      <c r="F103" s="72">
        <f>IF(OR(4020356.96103="",75.75767="",218.48101=""),"-",(218.48101-75.75767)/4020356.96103*100)</f>
        <v>0.0035500166125406645</v>
      </c>
      <c r="G103" s="72">
        <f>IF(OR(4831335.29052="",481.51491="",218.48101=""),"-",(481.51491-218.48101)/4831335.29052*100)</f>
        <v>0.005444331311803646</v>
      </c>
    </row>
    <row r="104" spans="1:7" ht="15.75">
      <c r="A104" s="21" t="s">
        <v>158</v>
      </c>
      <c r="B104" s="72">
        <f>IF(264.29401="","-",264.29401)</f>
        <v>264.29401</v>
      </c>
      <c r="C104" s="72" t="s">
        <v>280</v>
      </c>
      <c r="D104" s="72">
        <f>IF(51.33211="","-",51.33211/4831335.29052*100)</f>
        <v>0.0010624828730211166</v>
      </c>
      <c r="E104" s="72">
        <f>IF(264.29401="","-",264.29401/5764278.95119*100)</f>
        <v>0.004585031575292485</v>
      </c>
      <c r="F104" s="72">
        <f>IF(OR(4020356.96103="",28.23647="",51.33211=""),"-",(51.33211-28.23647)/4020356.96103*100)</f>
        <v>0.0005744673973945583</v>
      </c>
      <c r="G104" s="72">
        <f>IF(OR(4831335.29052="",264.29401="",51.33211=""),"-",(264.29401-51.33211)/4831335.29052*100)</f>
        <v>0.004407930462161709</v>
      </c>
    </row>
    <row r="105" spans="1:7" ht="15.75">
      <c r="A105" s="21" t="s">
        <v>124</v>
      </c>
      <c r="B105" s="72">
        <f>IF(249.15438="","-",249.15438)</f>
        <v>249.15438</v>
      </c>
      <c r="C105" s="72">
        <f>IF(OR(603.5134="",249.15438=""),"-",249.15438/603.5134*100)</f>
        <v>41.28398474665185</v>
      </c>
      <c r="D105" s="72">
        <f>IF(603.5134="","-",603.5134/4831335.29052*100)</f>
        <v>0.012491648037431975</v>
      </c>
      <c r="E105" s="72">
        <f>IF(249.15438="","-",249.15438/5764278.95119*100)</f>
        <v>0.004322385889193714</v>
      </c>
      <c r="F105" s="72">
        <f>IF(OR(4020356.96103="",1462.42796="",603.5134=""),"-",(603.5134-1462.42796)/4020356.96103*100)</f>
        <v>-0.02136413677505764</v>
      </c>
      <c r="G105" s="72">
        <f>IF(OR(4831335.29052="",249.15438="",603.5134=""),"-",(249.15438-603.5134)/4831335.29052*100)</f>
        <v>-0.007334597967053123</v>
      </c>
    </row>
    <row r="106" spans="1:7" ht="15.75">
      <c r="A106" s="21" t="s">
        <v>172</v>
      </c>
      <c r="B106" s="72">
        <f>IF(209.294="","-",209.294)</f>
        <v>209.294</v>
      </c>
      <c r="C106" s="72" t="s">
        <v>150</v>
      </c>
      <c r="D106" s="72">
        <f>IF(113.67282="","-",113.67282/4831335.29052*100)</f>
        <v>0.002352824077911705</v>
      </c>
      <c r="E106" s="72">
        <f>IF(209.294="","-",209.294/5764278.95119*100)</f>
        <v>0.0036308791051271475</v>
      </c>
      <c r="F106" s="72">
        <f>IF(OR(4020356.96103="",60.05673="",113.67282=""),"-",(113.67282-60.05673)/4020356.96103*100)</f>
        <v>0.0013336151620293875</v>
      </c>
      <c r="G106" s="72">
        <f>IF(OR(4831335.29052="",209.294="",113.67282=""),"-",(209.294-113.67282)/4831335.29052*100)</f>
        <v>0.0019791874140390746</v>
      </c>
    </row>
    <row r="107" spans="1:7" ht="15.75">
      <c r="A107" s="21" t="s">
        <v>156</v>
      </c>
      <c r="B107" s="72">
        <f>IF(206.8009="","-",206.8009)</f>
        <v>206.8009</v>
      </c>
      <c r="C107" s="72" t="s">
        <v>281</v>
      </c>
      <c r="D107" s="72">
        <f>IF(38.85024="","-",38.85024/4831335.29052*100)</f>
        <v>0.0008041304869945906</v>
      </c>
      <c r="E107" s="72">
        <f>IF(206.8009="","-",206.8009/5764278.95119*100)</f>
        <v>0.0035876282489296814</v>
      </c>
      <c r="F107" s="72">
        <f>IF(OR(4020356.96103="",20.30496="",38.85024=""),"-",(38.85024-20.30496)/4020356.96103*100)</f>
        <v>0.0004612844127962401</v>
      </c>
      <c r="G107" s="72">
        <f>IF(OR(4831335.29052="",206.8009="",38.85024=""),"-",(206.8009-38.85024)/4831335.29052*100)</f>
        <v>0.0034762782936955585</v>
      </c>
    </row>
    <row r="108" spans="1:7" ht="15.75">
      <c r="A108" s="21" t="s">
        <v>227</v>
      </c>
      <c r="B108" s="72">
        <f>IF(175.46073="","-",175.46073)</f>
        <v>175.46073</v>
      </c>
      <c r="C108" s="72" t="s">
        <v>277</v>
      </c>
      <c r="D108" s="72">
        <f>IF(54.8964="","-",54.8964/4831335.29052*100)</f>
        <v>0.0011362573015314668</v>
      </c>
      <c r="E108" s="72">
        <f>IF(175.46073="","-",175.46073/5764278.95119*100)</f>
        <v>0.003043931972858066</v>
      </c>
      <c r="F108" s="72">
        <f>IF(OR(4020356.96103="",0.03228="",54.8964=""),"-",(54.8964-0.03228)/4020356.96103*100)</f>
        <v>0.0013646579279354345</v>
      </c>
      <c r="G108" s="72">
        <f>IF(OR(4831335.29052="",175.46073="",54.8964=""),"-",(175.46073-54.8964)/4831335.29052*100)</f>
        <v>0.0024954660099159374</v>
      </c>
    </row>
    <row r="109" spans="1:7" ht="15.75">
      <c r="A109" s="21" t="s">
        <v>178</v>
      </c>
      <c r="B109" s="72">
        <f>IF(136.93004="","-",136.93004)</f>
        <v>136.93004</v>
      </c>
      <c r="C109" s="72">
        <f>IF(OR(236.33804="",136.93004=""),"-",136.93004/236.33804*100)</f>
        <v>57.9382142629261</v>
      </c>
      <c r="D109" s="72">
        <f>IF(236.33804="","-",236.33804/4831335.29052*100)</f>
        <v>0.004891774753529117</v>
      </c>
      <c r="E109" s="72">
        <f>IF(136.93004="","-",136.93004/5764278.95119*100)</f>
        <v>0.0023754929481983452</v>
      </c>
      <c r="F109" s="72">
        <f>IF(OR(4020356.96103="",147.65425="",236.33804=""),"-",(236.33804-147.65425)/4020356.96103*100)</f>
        <v>0.0022058685549474085</v>
      </c>
      <c r="G109" s="72">
        <f>IF(OR(4831335.29052="",136.93004="",236.33804=""),"-",(136.93004-236.33804)/4831335.29052*100)</f>
        <v>-0.0020575678155696922</v>
      </c>
    </row>
    <row r="110" spans="1:7" ht="15.75">
      <c r="A110" s="21" t="s">
        <v>235</v>
      </c>
      <c r="B110" s="72">
        <f>IF(131.62717="","-",131.62717)</f>
        <v>131.62717</v>
      </c>
      <c r="C110" s="72" t="s">
        <v>282</v>
      </c>
      <c r="D110" s="72">
        <f>IF(13.52598="","-",13.52598/4831335.29052*100)</f>
        <v>0.00027996359570697874</v>
      </c>
      <c r="E110" s="72">
        <f>IF(131.62717="","-",131.62717/5764278.95119*100)</f>
        <v>0.002283497573843583</v>
      </c>
      <c r="F110" s="72">
        <f>IF(OR(4020356.96103="",9.62336="",13.52598=""),"-",(13.52598-9.62336)/4020356.96103*100)</f>
        <v>9.707147991655359E-05</v>
      </c>
      <c r="G110" s="72">
        <f>IF(OR(4831335.29052="",131.62717="",13.52598=""),"-",(131.62717-13.52598)/4831335.29052*100)</f>
        <v>0.002444483417073889</v>
      </c>
    </row>
    <row r="111" spans="1:7" ht="15.75">
      <c r="A111" s="21" t="s">
        <v>189</v>
      </c>
      <c r="B111" s="72">
        <f>IF(128.82825="","-",128.82825)</f>
        <v>128.82825</v>
      </c>
      <c r="C111" s="72">
        <f>IF(OR(100.53531="",128.82825=""),"-",128.82825/100.53531*100)</f>
        <v>128.1422914993747</v>
      </c>
      <c r="D111" s="72">
        <f>IF(100.53531="","-",100.53531/4831335.29052*100)</f>
        <v>0.0020809011164526175</v>
      </c>
      <c r="E111" s="72">
        <f>IF(128.82825="","-",128.82825/5764278.95119*100)</f>
        <v>0.0022349412839120873</v>
      </c>
      <c r="F111" s="72">
        <f>IF(OR(4020356.96103="",75.27633="",100.53531=""),"-",(100.53531-75.27633)/4020356.96103*100)</f>
        <v>0.0006282770471587364</v>
      </c>
      <c r="G111" s="72">
        <f>IF(OR(4831335.29052="",128.82825="",100.53531=""),"-",(128.82825-100.53531)/4831335.29052*100)</f>
        <v>0.0005856132580058383</v>
      </c>
    </row>
    <row r="112" spans="1:7" ht="15.75">
      <c r="A112" s="21" t="s">
        <v>190</v>
      </c>
      <c r="B112" s="72">
        <f>IF(117.25068="","-",117.25068)</f>
        <v>117.25068</v>
      </c>
      <c r="C112" s="72">
        <f>IF(OR(117.37388="",117.25068=""),"-",117.25068/117.37388*100)</f>
        <v>99.8950362721246</v>
      </c>
      <c r="D112" s="72">
        <f>IF(117.37388="","-",117.37388/4831335.29052*100)</f>
        <v>0.0024294294008182352</v>
      </c>
      <c r="E112" s="72">
        <f>IF(117.25068="","-",117.25068/5764278.95119*100)</f>
        <v>0.002034091011084644</v>
      </c>
      <c r="F112" s="72">
        <f>IF(OR(4020356.96103="",121.6311="",117.37388=""),"-",(117.37388-121.6311)/4020356.96103*100)</f>
        <v>-0.00010589159224581193</v>
      </c>
      <c r="G112" s="72">
        <f>IF(OR(4831335.29052="",117.25068="",117.37388=""),"-",(117.25068-117.37388)/4831335.29052*100)</f>
        <v>-2.5500196651997835E-06</v>
      </c>
    </row>
    <row r="113" spans="1:7" ht="15.75">
      <c r="A113" s="55" t="s">
        <v>237</v>
      </c>
      <c r="B113" s="73">
        <f>IF(117.20447="","-",117.20447)</f>
        <v>117.20447</v>
      </c>
      <c r="C113" s="73">
        <f>IF(OR(88.85857="",117.20447=""),"-",117.20447/88.85857*100)</f>
        <v>131.90001819745694</v>
      </c>
      <c r="D113" s="73">
        <f>IF(88.85857="","-",88.85857/4831335.29052*100)</f>
        <v>0.001839213481505981</v>
      </c>
      <c r="E113" s="73">
        <f>IF(117.20447="","-",117.20447/5764278.95119*100)</f>
        <v>0.0020332893496731947</v>
      </c>
      <c r="F113" s="73">
        <f>IF(OR(4020356.96103="",96.92064="",88.85857=""),"-",(88.85857-96.92064)/4020356.96103*100)</f>
        <v>-0.00020053119855144741</v>
      </c>
      <c r="G113" s="73">
        <f>IF(OR(4831335.29052="",117.20447="",88.85857=""),"-",(117.20447-88.85857)/4831335.29052*100)</f>
        <v>0.000586709435290489</v>
      </c>
    </row>
    <row r="114" ht="15.75">
      <c r="A114" s="59" t="s">
        <v>19</v>
      </c>
    </row>
  </sheetData>
  <sheetProtection/>
  <mergeCells count="5">
    <mergeCell ref="A1:G1"/>
    <mergeCell ref="A3:A4"/>
    <mergeCell ref="B3:C3"/>
    <mergeCell ref="D3:E3"/>
    <mergeCell ref="F3:G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5"/>
  <sheetViews>
    <sheetView zoomScalePageLayoutView="0" workbookViewId="0" topLeftCell="A1">
      <selection activeCell="A4" sqref="A4"/>
    </sheetView>
  </sheetViews>
  <sheetFormatPr defaultColWidth="9.00390625" defaultRowHeight="15.75"/>
  <cols>
    <col min="1" max="1" width="42.75390625" style="0" customWidth="1"/>
    <col min="2" max="2" width="14.50390625" style="0" customWidth="1"/>
    <col min="3" max="3" width="14.375" style="0" customWidth="1"/>
    <col min="4" max="4" width="17.125" style="0" customWidth="1"/>
  </cols>
  <sheetData>
    <row r="1" spans="1:4" ht="15.75">
      <c r="A1" s="90" t="s">
        <v>183</v>
      </c>
      <c r="B1" s="90"/>
      <c r="C1" s="90"/>
      <c r="D1" s="90"/>
    </row>
    <row r="2" ht="15.75">
      <c r="A2" s="4"/>
    </row>
    <row r="3" spans="1:5" ht="42" customHeight="1">
      <c r="A3" s="67"/>
      <c r="B3" s="25">
        <v>2017</v>
      </c>
      <c r="C3" s="24">
        <v>2018</v>
      </c>
      <c r="D3" s="68" t="s">
        <v>297</v>
      </c>
      <c r="E3" s="1"/>
    </row>
    <row r="4" spans="1:4" ht="17.25" customHeight="1">
      <c r="A4" s="51" t="s">
        <v>204</v>
      </c>
      <c r="B4" s="74">
        <f>IF(-2406363.26353="","-",-2406363.26353)</f>
        <v>-2406363.26353</v>
      </c>
      <c r="C4" s="74">
        <f>IF(-3057377.14157="","-",-3057377.14157)</f>
        <v>-3057377.14157</v>
      </c>
      <c r="D4" s="74">
        <f>IF(-2406363.26353="","-",-3057377.14157/-2406363.26353*100)</f>
        <v>127.05384876450445</v>
      </c>
    </row>
    <row r="5" spans="1:4" ht="15.75">
      <c r="A5" s="49" t="s">
        <v>20</v>
      </c>
      <c r="B5" s="46"/>
      <c r="C5" s="46"/>
      <c r="D5" s="46"/>
    </row>
    <row r="6" spans="1:4" ht="15.75">
      <c r="A6" s="52" t="s">
        <v>225</v>
      </c>
      <c r="B6" s="71">
        <f>IF(-792319.94437="","-",-792319.94437)</f>
        <v>-792319.94437</v>
      </c>
      <c r="C6" s="71">
        <f>IF(-989621.4008="","-",-989621.4008)</f>
        <v>-989621.4008</v>
      </c>
      <c r="D6" s="71">
        <f>IF(-792319.94437="","-",-989621.4008/-792319.94437*100)</f>
        <v>124.9017404940981</v>
      </c>
    </row>
    <row r="7" spans="1:4" ht="15.75">
      <c r="A7" s="21" t="s">
        <v>7</v>
      </c>
      <c r="B7" s="72">
        <f>IF(-39436.45773="","-",-39436.45773)</f>
        <v>-39436.45773</v>
      </c>
      <c r="C7" s="72">
        <f>IF(-64275.58318="","-",-64275.58318)</f>
        <v>-64275.58318</v>
      </c>
      <c r="D7" s="72" t="s">
        <v>193</v>
      </c>
    </row>
    <row r="8" spans="1:4" ht="15.75">
      <c r="A8" s="21" t="s">
        <v>85</v>
      </c>
      <c r="B8" s="72">
        <f>IF(-25574.70823="","-",-25574.70823)</f>
        <v>-25574.70823</v>
      </c>
      <c r="C8" s="72">
        <f>IF(-30972.76998="","-",-30972.76998)</f>
        <v>-30972.76998</v>
      </c>
      <c r="D8" s="72">
        <f>IF(OR(-25574.70823="",-30972.76998="",-25574.70823=0),"-",-30972.76998/-25574.70823*100)</f>
        <v>121.10703160893893</v>
      </c>
    </row>
    <row r="9" spans="1:4" ht="15.75">
      <c r="A9" s="21" t="s">
        <v>6</v>
      </c>
      <c r="B9" s="72">
        <f>IF(4002.24722="","-",4002.24722)</f>
        <v>4002.24722</v>
      </c>
      <c r="C9" s="72">
        <f>IF(-16140.09987="","-",-16140.09987)</f>
        <v>-16140.09987</v>
      </c>
      <c r="D9" s="72" t="s">
        <v>21</v>
      </c>
    </row>
    <row r="10" spans="1:4" ht="15.75">
      <c r="A10" s="21" t="s">
        <v>91</v>
      </c>
      <c r="B10" s="72">
        <f>IF(6758.04962="","-",6758.04962)</f>
        <v>6758.04962</v>
      </c>
      <c r="C10" s="72">
        <f>IF(9574.81577="","-",9574.81577)</f>
        <v>9574.81577</v>
      </c>
      <c r="D10" s="72">
        <f>IF(OR(6758.04962="",9574.81577="",6758.04962=0),"-",9574.81577/6758.04962*100)</f>
        <v>141.68016378074478</v>
      </c>
    </row>
    <row r="11" spans="1:4" ht="15.75">
      <c r="A11" s="21" t="s">
        <v>254</v>
      </c>
      <c r="B11" s="72">
        <f>IF(-1235.68823="","-",-1235.68823)</f>
        <v>-1235.68823</v>
      </c>
      <c r="C11" s="72">
        <f>IF(-2205.59128="","-",-2205.59128)</f>
        <v>-2205.59128</v>
      </c>
      <c r="D11" s="72" t="s">
        <v>150</v>
      </c>
    </row>
    <row r="12" spans="1:4" ht="15.75">
      <c r="A12" s="21" t="s">
        <v>92</v>
      </c>
      <c r="B12" s="72">
        <f>IF(-13092.89662="","-",-13092.89662)</f>
        <v>-13092.89662</v>
      </c>
      <c r="C12" s="72">
        <f>IF(-14838.90639="","-",-14838.90639)</f>
        <v>-14838.90639</v>
      </c>
      <c r="D12" s="72">
        <f>IF(OR(-13092.89662="",-14838.90639="",-13092.89662=0),"-",-14838.90639/-13092.89662*100)</f>
        <v>113.33554996021957</v>
      </c>
    </row>
    <row r="13" spans="1:4" ht="15.75">
      <c r="A13" s="21" t="s">
        <v>90</v>
      </c>
      <c r="B13" s="72">
        <f>IF(-1615.63863="","-",-1615.63863)</f>
        <v>-1615.63863</v>
      </c>
      <c r="C13" s="72">
        <f>IF(-2031.42641="","-",-2031.42641)</f>
        <v>-2031.42641</v>
      </c>
      <c r="D13" s="72">
        <f>IF(OR(-1615.63863="",-2031.42641="",-1615.63863=0),"-",-2031.42641/-1615.63863*100)</f>
        <v>125.73519673765168</v>
      </c>
    </row>
    <row r="14" spans="1:4" ht="15.75">
      <c r="A14" s="21" t="s">
        <v>93</v>
      </c>
      <c r="B14" s="72">
        <f>IF(-13128.68934="","-",-13128.68934)</f>
        <v>-13128.68934</v>
      </c>
      <c r="C14" s="72">
        <f>IF(-13033.03131="","-",-13033.03131)</f>
        <v>-13033.03131</v>
      </c>
      <c r="D14" s="72">
        <f>IF(OR(-13128.68934="",-13033.03131="",-13128.68934=0),"-",-13033.03131/-13128.68934*100)</f>
        <v>99.27138172347065</v>
      </c>
    </row>
    <row r="15" spans="1:4" ht="15.75">
      <c r="A15" s="21" t="s">
        <v>253</v>
      </c>
      <c r="B15" s="72">
        <f>IF(-61843.90377="","-",-61843.90377)</f>
        <v>-61843.90377</v>
      </c>
      <c r="C15" s="72">
        <f>IF(-83975.21057="","-",-83975.21057)</f>
        <v>-83975.21057</v>
      </c>
      <c r="D15" s="72">
        <f>IF(OR(-61843.90377="",-83975.21057="",-61843.90377=0),"-",-83975.21057/-61843.90377*100)</f>
        <v>135.78575324466456</v>
      </c>
    </row>
    <row r="16" spans="1:4" ht="15.75">
      <c r="A16" s="21" t="s">
        <v>4</v>
      </c>
      <c r="B16" s="72">
        <f>IF(-224474.77376="","-",-224474.77376)</f>
        <v>-224474.77376</v>
      </c>
      <c r="C16" s="72">
        <f>IF(-264201.66392="","-",-264201.66392)</f>
        <v>-264201.66392</v>
      </c>
      <c r="D16" s="72">
        <f>IF(OR(-224474.77376="",-264201.66392="",-224474.77376=0),"-",-264201.66392/-224474.77376*100)</f>
        <v>117.69770807408165</v>
      </c>
    </row>
    <row r="17" spans="1:4" ht="15.75">
      <c r="A17" s="21" t="s">
        <v>8</v>
      </c>
      <c r="B17" s="72">
        <f>IF(3953.56946="","-",3953.56946)</f>
        <v>3953.56946</v>
      </c>
      <c r="C17" s="72">
        <f>IF(13318.13299="","-",13318.13299)</f>
        <v>13318.13299</v>
      </c>
      <c r="D17" s="72" t="s">
        <v>298</v>
      </c>
    </row>
    <row r="18" spans="1:4" ht="15.75">
      <c r="A18" s="21" t="s">
        <v>97</v>
      </c>
      <c r="B18" s="72">
        <f>IF(-6570.50646="","-",-6570.50646)</f>
        <v>-6570.50646</v>
      </c>
      <c r="C18" s="72">
        <f>IF(-6337.96987="","-",-6337.96987)</f>
        <v>-6337.96987</v>
      </c>
      <c r="D18" s="72">
        <f>IF(OR(-6570.50646="",-6337.96987="",-6570.50646=0),"-",-6337.96987/-6570.50646*100)</f>
        <v>96.46090310669902</v>
      </c>
    </row>
    <row r="19" spans="1:4" ht="15.75">
      <c r="A19" s="21" t="s">
        <v>3</v>
      </c>
      <c r="B19" s="72">
        <f>IF(-95240.57442="","-",-95240.57442)</f>
        <v>-95240.57442</v>
      </c>
      <c r="C19" s="72">
        <f>IF(-79812.5358="","-",-79812.5358)</f>
        <v>-79812.5358</v>
      </c>
      <c r="D19" s="72">
        <f>IF(OR(-95240.57442="",-79812.5358="",-95240.57442=0),"-",-79812.5358/-95240.57442*100)</f>
        <v>83.80098113230173</v>
      </c>
    </row>
    <row r="20" spans="1:4" ht="15.75">
      <c r="A20" s="21" t="s">
        <v>89</v>
      </c>
      <c r="B20" s="72">
        <f>IF(-2449.29535="","-",-2449.29535)</f>
        <v>-2449.29535</v>
      </c>
      <c r="C20" s="72">
        <f>IF(-6229.38018="","-",-6229.38018)</f>
        <v>-6229.38018</v>
      </c>
      <c r="D20" s="72" t="s">
        <v>239</v>
      </c>
    </row>
    <row r="21" spans="1:6" ht="15.75">
      <c r="A21" s="21" t="s">
        <v>87</v>
      </c>
      <c r="B21" s="72">
        <f>IF(-3319.8342="","-",-3319.8342)</f>
        <v>-3319.8342</v>
      </c>
      <c r="C21" s="72">
        <f>IF(-4501.16161="","-",-4501.16161)</f>
        <v>-4501.16161</v>
      </c>
      <c r="D21" s="72">
        <f>IF(OR(-3319.8342="",-4501.16161="",-3319.8342=0),"-",-4501.16161/-3319.8342*100)</f>
        <v>135.58392795640216</v>
      </c>
      <c r="F21" t="s">
        <v>154</v>
      </c>
    </row>
    <row r="22" spans="1:4" ht="15.75">
      <c r="A22" s="21" t="s">
        <v>98</v>
      </c>
      <c r="B22" s="72">
        <f>IF(-2331.56204="","-",-2331.56204)</f>
        <v>-2331.56204</v>
      </c>
      <c r="C22" s="72">
        <f>IF(-886.40402="","-",-886.40402)</f>
        <v>-886.40402</v>
      </c>
      <c r="D22" s="72">
        <f>IF(OR(-2331.56204="",-886.40402="",-2331.56204=0),"-",-886.40402/-2331.56204*100)</f>
        <v>38.01760385496755</v>
      </c>
    </row>
    <row r="23" spans="1:4" ht="15.75">
      <c r="A23" s="21" t="s">
        <v>99</v>
      </c>
      <c r="B23" s="72">
        <f>IF(-220.772="","-",-220.772)</f>
        <v>-220.772</v>
      </c>
      <c r="C23" s="72">
        <f>IF(489.73899="","-",489.73899)</f>
        <v>489.73899</v>
      </c>
      <c r="D23" s="72" t="s">
        <v>21</v>
      </c>
    </row>
    <row r="24" spans="1:4" ht="15.75">
      <c r="A24" s="21" t="s">
        <v>9</v>
      </c>
      <c r="B24" s="72">
        <f>IF(-19902.61213="","-",-19902.61213)</f>
        <v>-19902.61213</v>
      </c>
      <c r="C24" s="72">
        <f>IF(-23042.56429="","-",-23042.56429)</f>
        <v>-23042.56429</v>
      </c>
      <c r="D24" s="72">
        <f>IF(OR(-19902.61213="",-23042.56429="",-19902.61213=0),"-",-23042.56429/-19902.61213*100)</f>
        <v>115.77658319164559</v>
      </c>
    </row>
    <row r="25" spans="1:4" ht="15.75">
      <c r="A25" s="21" t="s">
        <v>5</v>
      </c>
      <c r="B25" s="72">
        <f>IF(-62790.8915="","-",-62790.8915)</f>
        <v>-62790.8915</v>
      </c>
      <c r="C25" s="72">
        <f>IF(-104577.74083="","-",-104577.74083)</f>
        <v>-104577.74083</v>
      </c>
      <c r="D25" s="72" t="s">
        <v>238</v>
      </c>
    </row>
    <row r="26" spans="1:4" ht="15.75">
      <c r="A26" s="21" t="s">
        <v>95</v>
      </c>
      <c r="B26" s="72">
        <f>IF(-8051.61906="","-",-8051.61906)</f>
        <v>-8051.61906</v>
      </c>
      <c r="C26" s="72">
        <f>IF(-8448.28338="","-",-8448.28338)</f>
        <v>-8448.28338</v>
      </c>
      <c r="D26" s="72">
        <f>IF(OR(-8051.61906="",-8448.28338="",-8051.61906=0),"-",-8448.28338/-8051.61906*100)</f>
        <v>104.92651623287306</v>
      </c>
    </row>
    <row r="27" spans="1:4" ht="15.75">
      <c r="A27" s="21" t="s">
        <v>252</v>
      </c>
      <c r="B27" s="72">
        <f>IF(79027.50993="","-",79027.50993)</f>
        <v>79027.50993</v>
      </c>
      <c r="C27" s="72">
        <f>IF(18872.5315="","-",18872.5315)</f>
        <v>18872.5315</v>
      </c>
      <c r="D27" s="72">
        <f>IF(OR(79027.50993="",18872.5315="",79027.50993=0),"-",18872.5315/79027.50993*100)</f>
        <v>23.880964384069138</v>
      </c>
    </row>
    <row r="28" spans="1:4" ht="15.75">
      <c r="A28" s="21" t="s">
        <v>195</v>
      </c>
      <c r="B28" s="72">
        <f>IF(-38333.75968="","-",-38333.75968)</f>
        <v>-38333.75968</v>
      </c>
      <c r="C28" s="72">
        <f>IF(-44232.38504="","-",-44232.38504)</f>
        <v>-44232.38504</v>
      </c>
      <c r="D28" s="72">
        <f>IF(OR(-38333.75968="",-44232.38504="",-38333.75968=0),"-",-44232.38504/-38333.75968*100)</f>
        <v>115.38754718879689</v>
      </c>
    </row>
    <row r="29" spans="1:4" ht="15.75">
      <c r="A29" s="21" t="s">
        <v>194</v>
      </c>
      <c r="B29" s="72">
        <f>IF(-93915.2197="","-",-93915.2197)</f>
        <v>-93915.2197</v>
      </c>
      <c r="C29" s="72">
        <f>IF(-45934.20583="","-",-45934.20583)</f>
        <v>-45934.20583</v>
      </c>
      <c r="D29" s="72">
        <f>IF(OR(-93915.2197="",-45934.20583="",-93915.2197=0),"-",-45934.20583/-93915.2197*100)</f>
        <v>48.91028948953201</v>
      </c>
    </row>
    <row r="30" spans="1:4" ht="15.75">
      <c r="A30" s="21" t="s">
        <v>88</v>
      </c>
      <c r="B30" s="72">
        <f>IF(-14219.30023="","-",-14219.30023)</f>
        <v>-14219.30023</v>
      </c>
      <c r="C30" s="72">
        <f>IF(-15558.14909="","-",-15558.14909)</f>
        <v>-15558.14909</v>
      </c>
      <c r="D30" s="72">
        <f>IF(OR(-14219.30023="",-15558.14909="",-14219.30023=0),"-",-15558.14909/-14219.30023*100)</f>
        <v>109.4157155299055</v>
      </c>
    </row>
    <row r="31" spans="1:4" ht="15.75">
      <c r="A31" s="21" t="s">
        <v>96</v>
      </c>
      <c r="B31" s="72">
        <f>IF(-17099.1504="","-",-17099.1504)</f>
        <v>-17099.1504</v>
      </c>
      <c r="C31" s="72">
        <f>IF(-23158.25383="","-",-23158.25383)</f>
        <v>-23158.25383</v>
      </c>
      <c r="D31" s="72">
        <f>IF(OR(-17099.1504="",-23158.25383="",-17099.1504=0),"-",-23158.25383/-17099.1504*100)</f>
        <v>135.43511395747475</v>
      </c>
    </row>
    <row r="32" spans="1:4" ht="15.75">
      <c r="A32" s="21" t="s">
        <v>84</v>
      </c>
      <c r="B32" s="72">
        <f>IF(-32801.49094="","-",-32801.49094)</f>
        <v>-32801.49094</v>
      </c>
      <c r="C32" s="72">
        <f>IF(-50313.60017="","-",-50313.60017)</f>
        <v>-50313.60017</v>
      </c>
      <c r="D32" s="72" t="s">
        <v>230</v>
      </c>
    </row>
    <row r="33" spans="1:4" ht="15.75">
      <c r="A33" s="21" t="s">
        <v>94</v>
      </c>
      <c r="B33" s="72">
        <f>IF(-18701.80706="","-",-18701.80706)</f>
        <v>-18701.80706</v>
      </c>
      <c r="C33" s="72">
        <f>IF(-24670.46689="","-",-24670.46689)</f>
        <v>-24670.46689</v>
      </c>
      <c r="D33" s="72">
        <f>IF(OR(-18701.80706="",-24670.46689="",-18701.80706=0),"-",-24670.46689/-18701.80706*100)</f>
        <v>131.91488293538197</v>
      </c>
    </row>
    <row r="34" spans="1:4" ht="15.75">
      <c r="A34" s="21" t="s">
        <v>86</v>
      </c>
      <c r="B34" s="72">
        <f>IF(-89710.16912="","-",-89710.16912)</f>
        <v>-89710.16912</v>
      </c>
      <c r="C34" s="72">
        <f>IF(-102499.23631="","-",-102499.23631)</f>
        <v>-102499.23631</v>
      </c>
      <c r="D34" s="72">
        <f>IF(OR(-89710.16912="",-102499.23631="",-89710.16912=0),"-",-102499.23631/-89710.16912*100)</f>
        <v>114.25598381482574</v>
      </c>
    </row>
    <row r="35" spans="1:4" ht="15.75">
      <c r="A35" s="52" t="s">
        <v>200</v>
      </c>
      <c r="B35" s="71">
        <f>IF(-743231.45663="","-",-743231.45663)</f>
        <v>-743231.45663</v>
      </c>
      <c r="C35" s="71">
        <f>IF(-1033255.32873="","-",-1033255.32873)</f>
        <v>-1033255.32873</v>
      </c>
      <c r="D35" s="71">
        <f>IF(-743231.45663="","-",-1033255.32873/-743231.45663*100)</f>
        <v>139.02201252555182</v>
      </c>
    </row>
    <row r="36" spans="1:4" ht="15.75">
      <c r="A36" s="21" t="s">
        <v>255</v>
      </c>
      <c r="B36" s="72">
        <f>IF(-317169.41787="","-",-317169.41787)</f>
        <v>-317169.41787</v>
      </c>
      <c r="C36" s="72">
        <f>IF(-502213.45981="","-",-502213.45981)</f>
        <v>-502213.45981</v>
      </c>
      <c r="D36" s="72" t="s">
        <v>193</v>
      </c>
    </row>
    <row r="37" spans="1:4" ht="15.75">
      <c r="A37" s="21" t="s">
        <v>11</v>
      </c>
      <c r="B37" s="72">
        <f>IF(-445572.11085="","-",-445572.11085)</f>
        <v>-445572.11085</v>
      </c>
      <c r="C37" s="72">
        <f>IF(-496882.40535="","-",-496882.40535)</f>
        <v>-496882.40535</v>
      </c>
      <c r="D37" s="72">
        <f>IF(OR(-445572.11085="",-496882.40535="",-445572.11085=0),"-",-496882.40535/-445572.11085*100)</f>
        <v>111.51559831743452</v>
      </c>
    </row>
    <row r="38" spans="1:4" ht="15.75">
      <c r="A38" s="21" t="s">
        <v>10</v>
      </c>
      <c r="B38" s="72">
        <f>IF(-4597.45622="","-",-4597.45622)</f>
        <v>-4597.45622</v>
      </c>
      <c r="C38" s="72">
        <f>IF(-40819.16481="","-",-40819.16481)</f>
        <v>-40819.16481</v>
      </c>
      <c r="D38" s="72" t="s">
        <v>299</v>
      </c>
    </row>
    <row r="39" spans="1:4" ht="15.75">
      <c r="A39" s="21" t="s">
        <v>15</v>
      </c>
      <c r="B39" s="72">
        <f>IF(628.62694="","-",628.62694)</f>
        <v>628.62694</v>
      </c>
      <c r="C39" s="72">
        <f>IF(-10399.50877="","-",-10399.50877)</f>
        <v>-10399.50877</v>
      </c>
      <c r="D39" s="72" t="s">
        <v>21</v>
      </c>
    </row>
    <row r="40" spans="1:4" ht="15.75">
      <c r="A40" s="21" t="s">
        <v>14</v>
      </c>
      <c r="B40" s="72">
        <f>IF(-212.30046="","-",-212.30046)</f>
        <v>-212.30046</v>
      </c>
      <c r="C40" s="72">
        <f>IF(-138.60439="","-",-138.60439)</f>
        <v>-138.60439</v>
      </c>
      <c r="D40" s="72">
        <f>IF(OR(-212.30046="",-138.60439="",-212.30046=0),"-",-138.60439/-212.30046*100)</f>
        <v>65.2869004617324</v>
      </c>
    </row>
    <row r="41" spans="1:4" ht="15.75">
      <c r="A41" s="21" t="s">
        <v>17</v>
      </c>
      <c r="B41" s="72">
        <f>IF(404.70983="","-",404.70983)</f>
        <v>404.70983</v>
      </c>
      <c r="C41" s="72">
        <f>IF(354.51435="","-",354.51435)</f>
        <v>354.51435</v>
      </c>
      <c r="D41" s="72">
        <f>IF(OR(404.70983="",354.51435="",404.70983=0),"-",354.51435/404.70983*100)</f>
        <v>87.59716807471663</v>
      </c>
    </row>
    <row r="42" spans="1:4" ht="15.75">
      <c r="A42" s="21" t="s">
        <v>256</v>
      </c>
      <c r="B42" s="72">
        <f>IF(1009.15427="","-",1009.15427)</f>
        <v>1009.15427</v>
      </c>
      <c r="C42" s="72">
        <f>IF(884.90845="","-",884.90845)</f>
        <v>884.90845</v>
      </c>
      <c r="D42" s="72">
        <f>IF(OR(1009.15427="",884.90845="",1009.15427=0),"-",884.90845/1009.15427*100)</f>
        <v>87.68812423495964</v>
      </c>
    </row>
    <row r="43" spans="1:4" ht="15.75">
      <c r="A43" s="21" t="s">
        <v>16</v>
      </c>
      <c r="B43" s="72">
        <f>IF(602.1422="","-",602.1422)</f>
        <v>602.1422</v>
      </c>
      <c r="C43" s="72">
        <f>IF(1068.69691="","-",1068.69691)</f>
        <v>1068.69691</v>
      </c>
      <c r="D43" s="72" t="s">
        <v>150</v>
      </c>
    </row>
    <row r="44" spans="1:4" ht="15.75">
      <c r="A44" s="21" t="s">
        <v>13</v>
      </c>
      <c r="B44" s="72">
        <f>IF(6371.25406="","-",6371.25406)</f>
        <v>6371.25406</v>
      </c>
      <c r="C44" s="72">
        <f>IF(4766.46836="","-",4766.46836)</f>
        <v>4766.46836</v>
      </c>
      <c r="D44" s="72">
        <f>IF(OR(6371.25406="",4766.46836="",6371.25406=0),"-",4766.46836/6371.25406*100)</f>
        <v>74.8120906043417</v>
      </c>
    </row>
    <row r="45" spans="1:4" ht="15.75">
      <c r="A45" s="21" t="s">
        <v>12</v>
      </c>
      <c r="B45" s="72">
        <f>IF(15303.94147="","-",15303.94147)</f>
        <v>15303.94147</v>
      </c>
      <c r="C45" s="72">
        <f>IF(10123.22633="","-",10123.22633)</f>
        <v>10123.22633</v>
      </c>
      <c r="D45" s="72">
        <f>IF(OR(15303.94147="",10123.22633="",15303.94147=0),"-",10123.22633/15303.94147*100)</f>
        <v>66.14783746948034</v>
      </c>
    </row>
    <row r="46" spans="1:4" ht="15.75">
      <c r="A46" s="30" t="s">
        <v>199</v>
      </c>
      <c r="B46" s="71">
        <f>IF(-870811.86253="","-",-870811.86253)</f>
        <v>-870811.86253</v>
      </c>
      <c r="C46" s="71">
        <f>IF(-1034500.41204="","-",-1034500.41204)</f>
        <v>-1034500.41204</v>
      </c>
      <c r="D46" s="71">
        <f>IF(-870811.86253="","-",-1034500.41204/-870811.86253*100)</f>
        <v>118.79723469021539</v>
      </c>
    </row>
    <row r="47" spans="1:4" ht="15.75">
      <c r="A47" s="21" t="s">
        <v>103</v>
      </c>
      <c r="B47" s="72">
        <f>IF(-486376.15108="","-",-486376.15108)</f>
        <v>-486376.15108</v>
      </c>
      <c r="C47" s="72">
        <f>IF(-581567.96398="","-",-581567.96398)</f>
        <v>-581567.96398</v>
      </c>
      <c r="D47" s="72">
        <f>IF(OR(-486376.15108="",-581567.96398="",-486376.15108=0),"-",-581567.96398/-486376.15108*100)</f>
        <v>119.57164484496747</v>
      </c>
    </row>
    <row r="48" spans="1:4" ht="15.75">
      <c r="A48" s="21" t="s">
        <v>100</v>
      </c>
      <c r="B48" s="72">
        <f>IF(-200283.44324="","-",-200283.44324)</f>
        <v>-200283.44324</v>
      </c>
      <c r="C48" s="72">
        <f>IF(-233717.08165="","-",-233717.08165)</f>
        <v>-233717.08165</v>
      </c>
      <c r="D48" s="72">
        <f>IF(OR(-200283.44324="",-233717.08165="",-200283.44324=0),"-",-233717.08165/-200283.44324*100)</f>
        <v>116.69316138625419</v>
      </c>
    </row>
    <row r="49" spans="1:4" ht="15.75">
      <c r="A49" s="21" t="s">
        <v>18</v>
      </c>
      <c r="B49" s="72">
        <f>IF(-51393.15144="","-",-51393.15144)</f>
        <v>-51393.15144</v>
      </c>
      <c r="C49" s="72">
        <f>IF(-54484.93579="","-",-54484.93579)</f>
        <v>-54484.93579</v>
      </c>
      <c r="D49" s="72">
        <f>IF(OR(-51393.15144="",-54484.93579="",-51393.15144=0),"-",-54484.93579/-51393.15144*100)</f>
        <v>106.01594621728844</v>
      </c>
    </row>
    <row r="50" spans="1:4" ht="15.75">
      <c r="A50" s="21" t="s">
        <v>121</v>
      </c>
      <c r="B50" s="72">
        <f>IF(-36465.68033="","-",-36465.68033)</f>
        <v>-36465.68033</v>
      </c>
      <c r="C50" s="72">
        <f>IF(-51525.37464="","-",-51525.37464)</f>
        <v>-51525.37464</v>
      </c>
      <c r="D50" s="72">
        <f>IF(OR(-36465.68033="",-51525.37464="",-36465.68033=0),"-",-51525.37464/-36465.68033*100)</f>
        <v>141.29826777867768</v>
      </c>
    </row>
    <row r="51" spans="1:4" ht="15.75">
      <c r="A51" s="21" t="s">
        <v>81</v>
      </c>
      <c r="B51" s="72">
        <f>IF(-25719.37465="","-",-25719.37465)</f>
        <v>-25719.37465</v>
      </c>
      <c r="C51" s="72">
        <f>IF(-37796.23448="","-",-37796.23448)</f>
        <v>-37796.23448</v>
      </c>
      <c r="D51" s="72">
        <f>IF(OR(-25719.37465="",-37796.23448="",-25719.37465=0),"-",-37796.23448/-25719.37465*100)</f>
        <v>146.95627321560866</v>
      </c>
    </row>
    <row r="52" spans="1:4" ht="15.75">
      <c r="A52" s="21" t="s">
        <v>117</v>
      </c>
      <c r="B52" s="72">
        <f>IF(-35402.14133="","-",-35402.14133)</f>
        <v>-35402.14133</v>
      </c>
      <c r="C52" s="72">
        <f>IF(-37204.52916="","-",-37204.52916)</f>
        <v>-37204.52916</v>
      </c>
      <c r="D52" s="72">
        <f>IF(OR(-35402.14133="",-37204.52916="",-35402.14133=0),"-",-37204.52916/-35402.14133*100)</f>
        <v>105.09118308183423</v>
      </c>
    </row>
    <row r="53" spans="1:4" ht="15.75">
      <c r="A53" s="21" t="s">
        <v>114</v>
      </c>
      <c r="B53" s="72">
        <f>IF(-25818.10645="","-",-25818.10645)</f>
        <v>-25818.10645</v>
      </c>
      <c r="C53" s="72">
        <f>IF(-30699.23895="","-",-30699.23895)</f>
        <v>-30699.23895</v>
      </c>
      <c r="D53" s="72">
        <f>IF(OR(-25818.10645="",-30699.23895="",-25818.10645=0),"-",-30699.23895/-25818.10645*100)</f>
        <v>118.90585008413737</v>
      </c>
    </row>
    <row r="54" spans="1:4" ht="15.75">
      <c r="A54" s="21" t="s">
        <v>115</v>
      </c>
      <c r="B54" s="72">
        <f>IF(-17628.02197="","-",-17628.02197)</f>
        <v>-17628.02197</v>
      </c>
      <c r="C54" s="72">
        <f>IF(-18762.1868="","-",-18762.1868)</f>
        <v>-18762.1868</v>
      </c>
      <c r="D54" s="72">
        <f>IF(OR(-17628.02197="",-18762.1868="",-17628.02197=0),"-",-18762.1868/-17628.02197*100)</f>
        <v>106.43387461128742</v>
      </c>
    </row>
    <row r="55" spans="1:4" ht="15.75">
      <c r="A55" s="21" t="s">
        <v>126</v>
      </c>
      <c r="B55" s="72">
        <f>IF(-12495.45573="","-",-12495.45573)</f>
        <v>-12495.45573</v>
      </c>
      <c r="C55" s="72">
        <f>IF(-14945.76949="","-",-14945.76949)</f>
        <v>-14945.76949</v>
      </c>
      <c r="D55" s="72">
        <f>IF(OR(-12495.45573="",-14945.76949="",-12495.45573=0),"-",-14945.76949/-12495.45573*100)</f>
        <v>119.60963899953731</v>
      </c>
    </row>
    <row r="56" spans="1:4" ht="15.75">
      <c r="A56" s="21" t="s">
        <v>130</v>
      </c>
      <c r="B56" s="72">
        <f>IF(-5521.02098="","-",-5521.02098)</f>
        <v>-5521.02098</v>
      </c>
      <c r="C56" s="72">
        <f>IF(-11654.04464="","-",-11654.04464)</f>
        <v>-11654.04464</v>
      </c>
      <c r="D56" s="72" t="s">
        <v>243</v>
      </c>
    </row>
    <row r="57" spans="1:4" ht="15.75">
      <c r="A57" s="21" t="s">
        <v>129</v>
      </c>
      <c r="B57" s="72">
        <f>IF(-7215.27622="","-",-7215.27622)</f>
        <v>-7215.27622</v>
      </c>
      <c r="C57" s="72">
        <f>IF(-8549.14391="","-",-8549.14391)</f>
        <v>-8549.14391</v>
      </c>
      <c r="D57" s="72">
        <f>IF(OR(-7215.27622="",-8549.14391="",-7215.27622=0),"-",-8549.14391/-7215.27622*100)</f>
        <v>118.48671692294548</v>
      </c>
    </row>
    <row r="58" spans="1:4" ht="15.75">
      <c r="A58" s="21" t="s">
        <v>116</v>
      </c>
      <c r="B58" s="72">
        <f>IF(-8750.45072="","-",-8750.45072)</f>
        <v>-8750.45072</v>
      </c>
      <c r="C58" s="72">
        <f>IF(-8359.90387="","-",-8359.90387)</f>
        <v>-8359.90387</v>
      </c>
      <c r="D58" s="72">
        <f>IF(OR(-8750.45072="",-8359.90387="",-8750.45072=0),"-",-8359.90387/-8750.45072*100)</f>
        <v>95.53683732990612</v>
      </c>
    </row>
    <row r="59" spans="1:4" ht="15.75">
      <c r="A59" s="21" t="s">
        <v>123</v>
      </c>
      <c r="B59" s="72">
        <f>IF(-7637.74279="","-",-7637.74279)</f>
        <v>-7637.74279</v>
      </c>
      <c r="C59" s="72">
        <f>IF(-7999.01347="","-",-7999.01347)</f>
        <v>-7999.01347</v>
      </c>
      <c r="D59" s="72">
        <f>IF(OR(-7637.74279="",-7999.01347="",-7637.74279=0),"-",-7999.01347/-7637.74279*100)</f>
        <v>104.73007130422101</v>
      </c>
    </row>
    <row r="60" spans="1:7" ht="15.75">
      <c r="A60" s="21" t="s">
        <v>106</v>
      </c>
      <c r="B60" s="72">
        <f>IF(-5111.40346="","-",-5111.40346)</f>
        <v>-5111.40346</v>
      </c>
      <c r="C60" s="72">
        <f>IF(-7481.25229="","-",-7481.25229)</f>
        <v>-7481.25229</v>
      </c>
      <c r="D60" s="72">
        <f>IF(OR(-5111.40346="",-7481.25229="",-5111.40346=0),"-",-7481.25229/-5111.40346*100)</f>
        <v>146.36395558569347</v>
      </c>
      <c r="E60" s="1"/>
      <c r="F60" s="1"/>
      <c r="G60" s="1"/>
    </row>
    <row r="61" spans="1:4" ht="15.75">
      <c r="A61" s="21" t="s">
        <v>127</v>
      </c>
      <c r="B61" s="72">
        <f>IF(-8437.39043="","-",-8437.39043)</f>
        <v>-8437.39043</v>
      </c>
      <c r="C61" s="72">
        <f>IF(-7197.94687="","-",-7197.94687)</f>
        <v>-7197.94687</v>
      </c>
      <c r="D61" s="72">
        <f>IF(OR(-8437.39043="",-7197.94687="",-8437.39043=0),"-",-7197.94687/-8437.39043*100)</f>
        <v>85.3101077841197</v>
      </c>
    </row>
    <row r="62" spans="1:4" ht="15.75">
      <c r="A62" s="21" t="s">
        <v>111</v>
      </c>
      <c r="B62" s="72">
        <f>IF(-7072.94839="","-",-7072.94839)</f>
        <v>-7072.94839</v>
      </c>
      <c r="C62" s="72">
        <f>IF(-6221.00137="","-",-6221.00137)</f>
        <v>-6221.00137</v>
      </c>
      <c r="D62" s="72">
        <f>IF(OR(-7072.94839="",-6221.00137="",-7072.94839=0),"-",-6221.00137/-7072.94839*100)</f>
        <v>87.95485315283067</v>
      </c>
    </row>
    <row r="63" spans="1:4" ht="15.75">
      <c r="A63" s="21" t="s">
        <v>107</v>
      </c>
      <c r="B63" s="72">
        <f>IF(-8114.64409="","-",-8114.64409)</f>
        <v>-8114.64409</v>
      </c>
      <c r="C63" s="72">
        <f>IF(-6089.04368="","-",-6089.04368)</f>
        <v>-6089.04368</v>
      </c>
      <c r="D63" s="72">
        <f>IF(OR(-8114.64409="",-6089.04368="",-8114.64409=0),"-",-6089.04368/-8114.64409*100)</f>
        <v>75.03771715020467</v>
      </c>
    </row>
    <row r="64" spans="1:4" ht="15.75">
      <c r="A64" s="21" t="s">
        <v>131</v>
      </c>
      <c r="B64" s="72">
        <f>IF(-4669.74085="","-",-4669.74085)</f>
        <v>-4669.74085</v>
      </c>
      <c r="C64" s="72">
        <f>IF(-5290.41469="","-",-5290.41469)</f>
        <v>-5290.41469</v>
      </c>
      <c r="D64" s="72">
        <f>IF(OR(-4669.74085="",-5290.41469="",-4669.74085=0),"-",-5290.41469/-4669.74085*100)</f>
        <v>113.29139795841132</v>
      </c>
    </row>
    <row r="65" spans="1:4" ht="15.75">
      <c r="A65" s="21" t="s">
        <v>128</v>
      </c>
      <c r="B65" s="72">
        <f>IF(-6050.84319="","-",-6050.84319)</f>
        <v>-6050.84319</v>
      </c>
      <c r="C65" s="72">
        <f>IF(-5067.57921="","-",-5067.57921)</f>
        <v>-5067.57921</v>
      </c>
      <c r="D65" s="72">
        <f>IF(OR(-6050.84319="",-5067.57921="",-6050.84319=0),"-",-5067.57921/-6050.84319*100)</f>
        <v>83.74996758096454</v>
      </c>
    </row>
    <row r="66" spans="1:4" ht="15.75">
      <c r="A66" s="21" t="s">
        <v>113</v>
      </c>
      <c r="B66" s="72">
        <f>IF(-1550.01886="","-",-1550.01886)</f>
        <v>-1550.01886</v>
      </c>
      <c r="C66" s="72">
        <f>IF(-4588.41429="","-",-4588.41429)</f>
        <v>-4588.41429</v>
      </c>
      <c r="D66" s="72" t="s">
        <v>249</v>
      </c>
    </row>
    <row r="67" spans="1:7" ht="15.75">
      <c r="A67" s="21" t="s">
        <v>119</v>
      </c>
      <c r="B67" s="72">
        <f>IF(-2016.01556="","-",-2016.01556)</f>
        <v>-2016.01556</v>
      </c>
      <c r="C67" s="72">
        <f>IF(-4487.41467="","-",-4487.41467)</f>
        <v>-4487.41467</v>
      </c>
      <c r="D67" s="72" t="s">
        <v>240</v>
      </c>
      <c r="E67" s="1"/>
      <c r="F67" s="1"/>
      <c r="G67" s="1"/>
    </row>
    <row r="68" spans="1:4" ht="15.75">
      <c r="A68" s="21" t="s">
        <v>135</v>
      </c>
      <c r="B68" s="72">
        <f>IF(-2108.33905="","-",-2108.33905)</f>
        <v>-2108.33905</v>
      </c>
      <c r="C68" s="72">
        <f>IF(-4196.32887="","-",-4196.32887)</f>
        <v>-4196.32887</v>
      </c>
      <c r="D68" s="72" t="s">
        <v>242</v>
      </c>
    </row>
    <row r="69" spans="1:4" ht="15.75">
      <c r="A69" s="21" t="s">
        <v>132</v>
      </c>
      <c r="B69" s="72">
        <f>IF(-3197.79783="","-",-3197.79783)</f>
        <v>-3197.79783</v>
      </c>
      <c r="C69" s="72">
        <f>IF(-4137.09365="","-",-4137.09365)</f>
        <v>-4137.09365</v>
      </c>
      <c r="D69" s="72">
        <f>IF(OR(-3197.79783="",-4137.09365="",-3197.79783=0),"-",-4137.09365/-3197.79783*100)</f>
        <v>129.37320837446438</v>
      </c>
    </row>
    <row r="70" spans="1:4" ht="15.75">
      <c r="A70" s="21" t="s">
        <v>83</v>
      </c>
      <c r="B70" s="72">
        <f>IF(-2349.84358="","-",-2349.84358)</f>
        <v>-2349.84358</v>
      </c>
      <c r="C70" s="72">
        <f>IF(-2587.41727="","-",-2587.41727)</f>
        <v>-2587.41727</v>
      </c>
      <c r="D70" s="72">
        <f>IF(OR(-2349.84358="",-2587.41727="",-2349.84358=0),"-",-2587.41727/-2349.84358*100)</f>
        <v>110.11019167497096</v>
      </c>
    </row>
    <row r="71" spans="1:4" ht="15.75">
      <c r="A71" s="21" t="s">
        <v>134</v>
      </c>
      <c r="B71" s="72">
        <f>IF(-3911.9923="","-",-3911.9923)</f>
        <v>-3911.9923</v>
      </c>
      <c r="C71" s="72">
        <f>IF(-2329.78767="","-",-2329.78767)</f>
        <v>-2329.78767</v>
      </c>
      <c r="D71" s="72">
        <f>IF(OR(-3911.9923="",-2329.78767="",-3911.9923=0),"-",-2329.78767/-3911.9923*100)</f>
        <v>59.55501676217513</v>
      </c>
    </row>
    <row r="72" spans="1:4" ht="15.75">
      <c r="A72" s="21" t="s">
        <v>109</v>
      </c>
      <c r="B72" s="72">
        <f>IF(-2417.8644="","-",-2417.8644)</f>
        <v>-2417.8644</v>
      </c>
      <c r="C72" s="72">
        <f>IF(-2172.63125="","-",-2172.63125)</f>
        <v>-2172.63125</v>
      </c>
      <c r="D72" s="72">
        <f>IF(OR(-2417.8644="",-2172.63125="",-2417.8644=0),"-",-2172.63125/-2417.8644*100)</f>
        <v>89.8574481678956</v>
      </c>
    </row>
    <row r="73" spans="1:4" ht="15.75">
      <c r="A73" s="21" t="s">
        <v>118</v>
      </c>
      <c r="B73" s="72">
        <f>IF(-1690.87895="","-",-1690.87895)</f>
        <v>-1690.87895</v>
      </c>
      <c r="C73" s="72">
        <f>IF(-2145.97426="","-",-2145.97426)</f>
        <v>-2145.97426</v>
      </c>
      <c r="D73" s="72">
        <f>IF(OR(-1690.87895="",-2145.97426="",-1690.87895=0),"-",-2145.97426/-1690.87895*100)</f>
        <v>126.91471852553371</v>
      </c>
    </row>
    <row r="74" spans="1:4" ht="15.75">
      <c r="A74" s="21" t="s">
        <v>82</v>
      </c>
      <c r="B74" s="72">
        <f>IF(-224.46998="","-",-224.46998)</f>
        <v>-224.46998</v>
      </c>
      <c r="C74" s="72">
        <f>IF(-2068.63648="","-",-2068.63648)</f>
        <v>-2068.63648</v>
      </c>
      <c r="D74" s="72" t="s">
        <v>300</v>
      </c>
    </row>
    <row r="75" spans="1:7" ht="15.75">
      <c r="A75" s="21" t="s">
        <v>221</v>
      </c>
      <c r="B75" s="72">
        <f>IF(-561.66514="","-",-561.66514)</f>
        <v>-561.66514</v>
      </c>
      <c r="C75" s="72">
        <f>IF(-1808.28883="","-",-1808.28883)</f>
        <v>-1808.28883</v>
      </c>
      <c r="D75" s="72" t="s">
        <v>277</v>
      </c>
      <c r="E75" s="15"/>
      <c r="F75" s="15"/>
      <c r="G75" s="15"/>
    </row>
    <row r="76" spans="1:4" ht="15.75">
      <c r="A76" s="21" t="s">
        <v>105</v>
      </c>
      <c r="B76" s="72">
        <f>IF(-1867.16402="","-",-1867.16402)</f>
        <v>-1867.16402</v>
      </c>
      <c r="C76" s="72">
        <f>IF(-1715.96598="","-",-1715.96598)</f>
        <v>-1715.96598</v>
      </c>
      <c r="D76" s="72">
        <f>IF(OR(-1867.16402="",-1715.96598="",-1867.16402=0),"-",-1715.96598/-1867.16402*100)</f>
        <v>91.90226255538064</v>
      </c>
    </row>
    <row r="77" spans="1:4" ht="15.75">
      <c r="A77" s="21" t="s">
        <v>112</v>
      </c>
      <c r="B77" s="72">
        <f>IF(641.1737="","-",641.1737)</f>
        <v>641.1737</v>
      </c>
      <c r="C77" s="72">
        <f>IF(-1671.81182="","-",-1671.81182)</f>
        <v>-1671.81182</v>
      </c>
      <c r="D77" s="72" t="s">
        <v>21</v>
      </c>
    </row>
    <row r="78" spans="1:4" ht="15.75">
      <c r="A78" s="21" t="s">
        <v>133</v>
      </c>
      <c r="B78" s="72">
        <f>IF(-1330.78747="","-",-1330.78747)</f>
        <v>-1330.78747</v>
      </c>
      <c r="C78" s="72">
        <f>IF(-1665.35719="","-",-1665.35719)</f>
        <v>-1665.35719</v>
      </c>
      <c r="D78" s="72">
        <f>IF(OR(-1330.78747="",-1665.35719="",-1330.78747=0),"-",-1665.35719/-1330.78747*100)</f>
        <v>125.14073265207404</v>
      </c>
    </row>
    <row r="79" spans="1:4" ht="15.75">
      <c r="A79" s="21" t="s">
        <v>259</v>
      </c>
      <c r="B79" s="72">
        <f>IF(109.98972="","-",109.98972)</f>
        <v>109.98972</v>
      </c>
      <c r="C79" s="72">
        <f>IF(-1621.13351="","-",-1621.13351)</f>
        <v>-1621.13351</v>
      </c>
      <c r="D79" s="72" t="s">
        <v>21</v>
      </c>
    </row>
    <row r="80" spans="1:4" ht="15.75">
      <c r="A80" s="21" t="s">
        <v>177</v>
      </c>
      <c r="B80" s="72">
        <f>IF(10665.35757="","-",10665.35757)</f>
        <v>10665.35757</v>
      </c>
      <c r="C80" s="72">
        <f>IF(-1599.82487="","-",-1599.82487)</f>
        <v>-1599.82487</v>
      </c>
      <c r="D80" s="72" t="s">
        <v>21</v>
      </c>
    </row>
    <row r="81" spans="1:4" ht="15.75">
      <c r="A81" s="21" t="s">
        <v>136</v>
      </c>
      <c r="B81" s="72">
        <f>IF(-1274.5882="","-",-1274.5882)</f>
        <v>-1274.5882</v>
      </c>
      <c r="C81" s="72">
        <f>IF(-1414.77718="","-",-1414.77718)</f>
        <v>-1414.77718</v>
      </c>
      <c r="D81" s="72">
        <f>IF(OR(-1274.5882="",-1414.77718="",-1274.5882=0),"-",-1414.77718/-1274.5882*100)</f>
        <v>110.99876650356563</v>
      </c>
    </row>
    <row r="82" spans="1:4" ht="15.75">
      <c r="A82" s="21" t="s">
        <v>143</v>
      </c>
      <c r="B82" s="72">
        <f>IF(-581.96968="","-",-581.96968)</f>
        <v>-581.96968</v>
      </c>
      <c r="C82" s="72">
        <f>IF(-1242.80256="","-",-1242.80256)</f>
        <v>-1242.80256</v>
      </c>
      <c r="D82" s="72" t="s">
        <v>243</v>
      </c>
    </row>
    <row r="83" spans="1:4" ht="15.75">
      <c r="A83" s="21" t="s">
        <v>139</v>
      </c>
      <c r="B83" s="72">
        <f>IF(-1074.94165="","-",-1074.94165)</f>
        <v>-1074.94165</v>
      </c>
      <c r="C83" s="72">
        <f>IF(-1188.69776="","-",-1188.69776)</f>
        <v>-1188.69776</v>
      </c>
      <c r="D83" s="72">
        <f>IF(OR(-1074.94165="",-1188.69776="",-1074.94165=0),"-",-1188.69776/-1074.94165*100)</f>
        <v>110.58253813125577</v>
      </c>
    </row>
    <row r="84" spans="1:4" ht="15.75">
      <c r="A84" s="21" t="s">
        <v>137</v>
      </c>
      <c r="B84" s="72">
        <f>IF(-458.22039="","-",-458.22039)</f>
        <v>-458.22039</v>
      </c>
      <c r="C84" s="72">
        <f>IF(-1099.09994="","-",-1099.09994)</f>
        <v>-1099.09994</v>
      </c>
      <c r="D84" s="72" t="s">
        <v>241</v>
      </c>
    </row>
    <row r="85" spans="1:4" ht="15.75">
      <c r="A85" s="21" t="s">
        <v>125</v>
      </c>
      <c r="B85" s="72">
        <f>IF(-703.56265="","-",-703.56265)</f>
        <v>-703.56265</v>
      </c>
      <c r="C85" s="72">
        <f>IF(-1061.81141="","-",-1061.81141)</f>
        <v>-1061.81141</v>
      </c>
      <c r="D85" s="72" t="s">
        <v>230</v>
      </c>
    </row>
    <row r="86" spans="1:4" ht="15.75">
      <c r="A86" s="21" t="s">
        <v>138</v>
      </c>
      <c r="B86" s="72">
        <f>IF(-1952.934="","-",-1952.934)</f>
        <v>-1952.934</v>
      </c>
      <c r="C86" s="72">
        <f>IF(-793.4773="","-",-793.4773)</f>
        <v>-793.4773</v>
      </c>
      <c r="D86" s="72">
        <f>IF(OR(-1952.934="",-793.4773="",-1952.934=0),"-",-793.4773/-1952.934*100)</f>
        <v>40.63001105004061</v>
      </c>
    </row>
    <row r="87" spans="1:4" ht="15.75">
      <c r="A87" s="21" t="s">
        <v>148</v>
      </c>
      <c r="B87" s="72">
        <f>IF(-1539.56624="","-",-1539.56624)</f>
        <v>-1539.56624</v>
      </c>
      <c r="C87" s="72">
        <f>IF(-764.06914="","-",-764.06914)</f>
        <v>-764.06914</v>
      </c>
      <c r="D87" s="72">
        <f>IF(OR(-1539.56624="",-764.06914="",-1539.56624=0),"-",-764.06914/-1539.56624*100)</f>
        <v>49.628857800882926</v>
      </c>
    </row>
    <row r="88" spans="1:4" ht="15.75">
      <c r="A88" s="21" t="s">
        <v>188</v>
      </c>
      <c r="B88" s="72" t="str">
        <f>IF(OR(0="",-631.62479="",0=0),"-",-631.62479/0*100)</f>
        <v>-</v>
      </c>
      <c r="C88" s="72">
        <f>IF(-631.62479="","-",-631.62479)</f>
        <v>-631.62479</v>
      </c>
      <c r="D88" s="72" t="str">
        <f>IF(OR(0="",-631.62479="",0=0),"-",-631.62479/0*100)</f>
        <v>-</v>
      </c>
    </row>
    <row r="89" spans="1:4" ht="15.75">
      <c r="A89" s="21" t="s">
        <v>144</v>
      </c>
      <c r="B89" s="72">
        <f>IF(-305.87592="","-",-305.87592)</f>
        <v>-305.87592</v>
      </c>
      <c r="C89" s="72">
        <f>IF(-627.4482="","-",-627.4482)</f>
        <v>-627.4482</v>
      </c>
      <c r="D89" s="72" t="s">
        <v>243</v>
      </c>
    </row>
    <row r="90" spans="1:4" ht="15.75">
      <c r="A90" s="21" t="s">
        <v>198</v>
      </c>
      <c r="B90" s="72">
        <f>IF(-606.58357="","-",-606.58357)</f>
        <v>-606.58357</v>
      </c>
      <c r="C90" s="72">
        <f>IF(-583.98097="","-",-583.98097)</f>
        <v>-583.98097</v>
      </c>
      <c r="D90" s="72">
        <f>IF(OR(-606.58357="",-583.98097="",-606.58357=0),"-",-583.98097/-606.58357*100)</f>
        <v>96.27378631439028</v>
      </c>
    </row>
    <row r="91" spans="1:4" ht="15.75">
      <c r="A91" s="21" t="s">
        <v>140</v>
      </c>
      <c r="B91" s="72">
        <f>IF(-546.04018="","-",-546.04018)</f>
        <v>-546.04018</v>
      </c>
      <c r="C91" s="72">
        <f>IF(-566.13094="","-",-566.13094)</f>
        <v>-566.13094</v>
      </c>
      <c r="D91" s="72">
        <f>IF(OR(-546.04018="",-566.13094="",-546.04018=0),"-",-566.13094/-546.04018*100)</f>
        <v>103.6793556107904</v>
      </c>
    </row>
    <row r="92" spans="1:4" ht="15.75">
      <c r="A92" s="21" t="s">
        <v>149</v>
      </c>
      <c r="B92" s="72">
        <f>IF(-295.36413="","-",-295.36413)</f>
        <v>-295.36413</v>
      </c>
      <c r="C92" s="72">
        <f>IF(-543.30617="","-",-543.30617)</f>
        <v>-543.30617</v>
      </c>
      <c r="D92" s="72" t="s">
        <v>150</v>
      </c>
    </row>
    <row r="93" spans="1:4" ht="15.75">
      <c r="A93" s="21" t="s">
        <v>222</v>
      </c>
      <c r="B93" s="72">
        <f>IF(-34.69732="","-",-34.69732)</f>
        <v>-34.69732</v>
      </c>
      <c r="C93" s="72">
        <f>IF(-485.45244="","-",-485.45244)</f>
        <v>-485.45244</v>
      </c>
      <c r="D93" s="72" t="s">
        <v>279</v>
      </c>
    </row>
    <row r="94" spans="1:7" ht="15.75">
      <c r="A94" s="21" t="s">
        <v>147</v>
      </c>
      <c r="B94" s="72">
        <f>IF(619.11188="","-",619.11188)</f>
        <v>619.11188</v>
      </c>
      <c r="C94" s="72">
        <f>IF(-301.42546="","-",-301.42546)</f>
        <v>-301.42546</v>
      </c>
      <c r="D94" s="72" t="s">
        <v>21</v>
      </c>
      <c r="E94" s="15"/>
      <c r="F94" s="15"/>
      <c r="G94" s="15"/>
    </row>
    <row r="95" spans="1:7" ht="15.75">
      <c r="A95" s="21" t="s">
        <v>158</v>
      </c>
      <c r="B95" s="72">
        <f>IF(-51.33211="","-",-51.33211)</f>
        <v>-51.33211</v>
      </c>
      <c r="C95" s="72">
        <f>IF(-264.29401="","-",-264.29401)</f>
        <v>-264.29401</v>
      </c>
      <c r="D95" s="72" t="s">
        <v>280</v>
      </c>
      <c r="E95" s="15"/>
      <c r="F95" s="15"/>
      <c r="G95" s="15"/>
    </row>
    <row r="96" spans="1:4" ht="15.75">
      <c r="A96" s="21" t="s">
        <v>260</v>
      </c>
      <c r="B96" s="72">
        <f>IF(-897.46841="","-",-897.46841)</f>
        <v>-897.46841</v>
      </c>
      <c r="C96" s="72">
        <f>IF(-250.02782="","-",-250.02782)</f>
        <v>-250.02782</v>
      </c>
      <c r="D96" s="72">
        <f>IF(OR(-897.46841="",-250.02782="",-897.46841=0),"-",-250.02782/-897.46841*100)</f>
        <v>27.859233507728703</v>
      </c>
    </row>
    <row r="97" spans="1:4" ht="15.75">
      <c r="A97" s="21" t="s">
        <v>178</v>
      </c>
      <c r="B97" s="72">
        <f>IF(-236.33804="","-",-236.33804)</f>
        <v>-236.33804</v>
      </c>
      <c r="C97" s="72">
        <f>IF(-136.93004="","-",-136.93004)</f>
        <v>-136.93004</v>
      </c>
      <c r="D97" s="72">
        <f>IF(OR(-236.33804="",-136.93004="",-236.33804=0),"-",-136.93004/-236.33804*100)</f>
        <v>57.9382142629261</v>
      </c>
    </row>
    <row r="98" spans="1:7" ht="15.75">
      <c r="A98" s="21" t="s">
        <v>235</v>
      </c>
      <c r="B98" s="72">
        <f>IF(-13.52598="","-",-13.52598)</f>
        <v>-13.52598</v>
      </c>
      <c r="C98" s="72">
        <f>IF(-131.62717="","-",-131.62717)</f>
        <v>-131.62717</v>
      </c>
      <c r="D98" s="72" t="s">
        <v>282</v>
      </c>
      <c r="E98" s="14"/>
      <c r="F98" s="14"/>
      <c r="G98" s="14"/>
    </row>
    <row r="99" spans="1:4" ht="15.75">
      <c r="A99" s="21" t="s">
        <v>189</v>
      </c>
      <c r="B99" s="72">
        <f>IF(-100.53531="","-",-100.53531)</f>
        <v>-100.53531</v>
      </c>
      <c r="C99" s="72">
        <f>IF(-128.71675="","-",-128.71675)</f>
        <v>-128.71675</v>
      </c>
      <c r="D99" s="72">
        <f>IF(OR(-100.53531="",-128.71675="",-100.53531=0),"-",-128.71675/-100.53531*100)</f>
        <v>128.03138519192908</v>
      </c>
    </row>
    <row r="100" spans="1:7" ht="15.75">
      <c r="A100" s="21" t="s">
        <v>190</v>
      </c>
      <c r="B100" s="72">
        <f>IF(-117.37388="","-",-117.37388)</f>
        <v>-117.37388</v>
      </c>
      <c r="C100" s="72">
        <f>IF(-116.44193="","-",-116.44193)</f>
        <v>-116.44193</v>
      </c>
      <c r="D100" s="72">
        <f>IF(OR(-117.37388="",-116.44193="",-117.37388=0),"-",-116.44193/-117.37388*100)</f>
        <v>99.2059988133646</v>
      </c>
      <c r="E100" s="14"/>
      <c r="F100" s="14"/>
      <c r="G100" s="14"/>
    </row>
    <row r="101" spans="1:7" ht="15.75">
      <c r="A101" s="21" t="s">
        <v>237</v>
      </c>
      <c r="B101" s="72">
        <f>IF(-82.98357="","-",-82.98357)</f>
        <v>-82.98357</v>
      </c>
      <c r="C101" s="72">
        <f>IF(-107.40447="","-",-107.40447)</f>
        <v>-107.40447</v>
      </c>
      <c r="D101" s="72">
        <f>IF(OR(-82.98357="",-107.40447="",-82.98357=0),"-",-107.40447/-82.98357*100)</f>
        <v>129.42859652820434</v>
      </c>
      <c r="E101" s="1"/>
      <c r="F101" s="1"/>
      <c r="G101" s="1"/>
    </row>
    <row r="102" spans="1:4" ht="15.75">
      <c r="A102" s="21" t="s">
        <v>227</v>
      </c>
      <c r="B102" s="72">
        <f>IF(1196.2642="","-",1196.2642)</f>
        <v>1196.2642</v>
      </c>
      <c r="C102" s="72">
        <f>IF(-102.68834="","-",-102.68834)</f>
        <v>-102.68834</v>
      </c>
      <c r="D102" s="72" t="s">
        <v>21</v>
      </c>
    </row>
    <row r="103" spans="1:4" ht="15.75">
      <c r="A103" s="21" t="s">
        <v>236</v>
      </c>
      <c r="B103" s="72">
        <f>IF(-52.75044="","-",-52.75044)</f>
        <v>-52.75044</v>
      </c>
      <c r="C103" s="72">
        <f>IF(-102.06242="","-",-102.06242)</f>
        <v>-102.06242</v>
      </c>
      <c r="D103" s="72" t="s">
        <v>245</v>
      </c>
    </row>
    <row r="104" spans="1:7" ht="15.75">
      <c r="A104" s="21" t="s">
        <v>301</v>
      </c>
      <c r="B104" s="72">
        <f>IF(260.93082="","-",260.93082)</f>
        <v>260.93082</v>
      </c>
      <c r="C104" s="72">
        <f>IF(36.71506="","-",36.71506)</f>
        <v>36.71506</v>
      </c>
      <c r="D104" s="72">
        <f>IF(OR(260.93082="",36.71506="",260.93082=0),"-",36.71506/260.93082*100)</f>
        <v>14.070802368229252</v>
      </c>
      <c r="E104" s="15"/>
      <c r="F104" s="15"/>
      <c r="G104" s="15"/>
    </row>
    <row r="105" spans="1:7" ht="15.75">
      <c r="A105" s="21" t="s">
        <v>302</v>
      </c>
      <c r="B105" s="72">
        <f>IF(1034.74032="","-",1034.74032)</f>
        <v>1034.74032</v>
      </c>
      <c r="C105" s="72">
        <f>IF(69.65623="","-",69.65623)</f>
        <v>69.65623</v>
      </c>
      <c r="D105" s="72">
        <f>IF(OR(1034.74032="",69.65623="",1034.74032=0),"-",69.65623/1034.74032*100)</f>
        <v>6.731759520108387</v>
      </c>
      <c r="E105" s="11"/>
      <c r="F105" s="11"/>
      <c r="G105" s="11"/>
    </row>
    <row r="106" spans="1:7" ht="15.75">
      <c r="A106" s="21" t="s">
        <v>187</v>
      </c>
      <c r="B106" s="72">
        <f>IF(402.03702="","-",402.03702)</f>
        <v>402.03702</v>
      </c>
      <c r="C106" s="72">
        <f>IF(126.79295="","-",126.79295)</f>
        <v>126.79295</v>
      </c>
      <c r="D106" s="72">
        <f>IF(OR(402.03702="",126.79295="",402.03702=0),"-",126.79295/402.03702*100)</f>
        <v>31.537630539595586</v>
      </c>
      <c r="E106" s="15"/>
      <c r="F106" s="15"/>
      <c r="G106" s="15"/>
    </row>
    <row r="107" spans="1:4" ht="15.75">
      <c r="A107" s="21" t="s">
        <v>214</v>
      </c>
      <c r="B107" s="72">
        <f>IF(174.27736="","-",174.27736)</f>
        <v>174.27736</v>
      </c>
      <c r="C107" s="72">
        <f>IF(161.90105="","-",161.90105)</f>
        <v>161.90105</v>
      </c>
      <c r="D107" s="72">
        <f>IF(OR(174.27736="",161.90105="",174.27736=0),"-",161.90105/174.27736*100)</f>
        <v>92.8984981181721</v>
      </c>
    </row>
    <row r="108" spans="1:4" ht="15.75">
      <c r="A108" s="21" t="s">
        <v>229</v>
      </c>
      <c r="B108" s="72">
        <f>IF(25.98037="","-",25.98037)</f>
        <v>25.98037</v>
      </c>
      <c r="C108" s="72">
        <f>IF(168.24637="","-",168.24637)</f>
        <v>168.24637</v>
      </c>
      <c r="D108" s="72" t="s">
        <v>274</v>
      </c>
    </row>
    <row r="109" spans="1:4" ht="15.75">
      <c r="A109" s="21" t="s">
        <v>220</v>
      </c>
      <c r="B109" s="72">
        <f>IF(827.4645="","-",827.4645)</f>
        <v>827.4645</v>
      </c>
      <c r="C109" s="72">
        <f>IF(203.26985="","-",203.26985)</f>
        <v>203.26985</v>
      </c>
      <c r="D109" s="72">
        <f>IF(OR(827.4645="",203.26985="",827.4645=0),"-",203.26985/827.4645*100)</f>
        <v>24.56538618877305</v>
      </c>
    </row>
    <row r="110" spans="1:4" ht="15.75">
      <c r="A110" s="21" t="s">
        <v>212</v>
      </c>
      <c r="B110" s="72">
        <f>IF(-2.38488="","-",-2.38488)</f>
        <v>-2.38488</v>
      </c>
      <c r="C110" s="72">
        <f>IF(282.96068="","-",282.96068)</f>
        <v>282.96068</v>
      </c>
      <c r="D110" s="72" t="s">
        <v>21</v>
      </c>
    </row>
    <row r="111" spans="1:4" ht="15.75">
      <c r="A111" s="21" t="s">
        <v>176</v>
      </c>
      <c r="B111" s="72">
        <f>IF(2.82522="","-",2.82522)</f>
        <v>2.82522</v>
      </c>
      <c r="C111" s="72">
        <f>IF(329.78556="","-",329.78556)</f>
        <v>329.78556</v>
      </c>
      <c r="D111" s="72" t="s">
        <v>244</v>
      </c>
    </row>
    <row r="112" spans="1:4" ht="15.75">
      <c r="A112" s="21" t="s">
        <v>160</v>
      </c>
      <c r="B112" s="72">
        <f>IF(-0.10503="","-",-0.10503)</f>
        <v>-0.10503</v>
      </c>
      <c r="C112" s="72">
        <f>IF(335.59473="","-",335.59473)</f>
        <v>335.59473</v>
      </c>
      <c r="D112" s="72" t="s">
        <v>21</v>
      </c>
    </row>
    <row r="113" spans="1:4" ht="15.75">
      <c r="A113" s="21" t="s">
        <v>173</v>
      </c>
      <c r="B113" s="72">
        <f>IF(239.07536="","-",239.07536)</f>
        <v>239.07536</v>
      </c>
      <c r="C113" s="72">
        <f>IF(488.99499="","-",488.99499)</f>
        <v>488.99499</v>
      </c>
      <c r="D113" s="72" t="s">
        <v>242</v>
      </c>
    </row>
    <row r="114" spans="1:4" ht="15.75">
      <c r="A114" s="21" t="s">
        <v>124</v>
      </c>
      <c r="B114" s="72">
        <f>IF(-45.29229="","-",-45.29229)</f>
        <v>-45.29229</v>
      </c>
      <c r="C114" s="72">
        <f>IF(525.63255="","-",525.63255)</f>
        <v>525.63255</v>
      </c>
      <c r="D114" s="72" t="s">
        <v>21</v>
      </c>
    </row>
    <row r="115" spans="1:4" ht="15.75">
      <c r="A115" s="21" t="s">
        <v>156</v>
      </c>
      <c r="B115" s="72">
        <f>IF(443.30909="","-",443.30909)</f>
        <v>443.30909</v>
      </c>
      <c r="C115" s="72">
        <f>IF(530.24082="","-",530.24082)</f>
        <v>530.24082</v>
      </c>
      <c r="D115" s="72">
        <f>IF(OR(443.30909="",530.24082="",443.30909=0),"-",530.24082/443.30909*100)</f>
        <v>119.60973324503676</v>
      </c>
    </row>
    <row r="116" spans="1:4" ht="15.75">
      <c r="A116" s="21" t="s">
        <v>213</v>
      </c>
      <c r="B116" s="72">
        <f>IF(40.35339="","-",40.35339)</f>
        <v>40.35339</v>
      </c>
      <c r="C116" s="72">
        <f>IF(555.49575="","-",555.49575)</f>
        <v>555.49575</v>
      </c>
      <c r="D116" s="72" t="s">
        <v>303</v>
      </c>
    </row>
    <row r="117" spans="1:7" ht="15.75">
      <c r="A117" s="21" t="s">
        <v>180</v>
      </c>
      <c r="B117" s="72">
        <f>IF(0.53598="","-",0.53598)</f>
        <v>0.53598</v>
      </c>
      <c r="C117" s="72">
        <f>IF(586.67841="","-",586.67841)</f>
        <v>586.67841</v>
      </c>
      <c r="D117" s="72" t="s">
        <v>304</v>
      </c>
      <c r="E117" s="1"/>
      <c r="F117" s="1"/>
      <c r="G117" s="1"/>
    </row>
    <row r="118" spans="1:7" ht="15.75">
      <c r="A118" s="21" t="s">
        <v>142</v>
      </c>
      <c r="B118" s="72">
        <f>IF(372.47912="","-",372.47912)</f>
        <v>372.47912</v>
      </c>
      <c r="C118" s="72">
        <f>IF(636.46013="","-",636.46013)</f>
        <v>636.46013</v>
      </c>
      <c r="D118" s="72" t="s">
        <v>238</v>
      </c>
      <c r="E118" s="15"/>
      <c r="F118" s="15"/>
      <c r="G118" s="15"/>
    </row>
    <row r="119" spans="1:4" ht="15.75">
      <c r="A119" s="21" t="s">
        <v>152</v>
      </c>
      <c r="B119" s="72">
        <f>IF(1868.51353="","-",1868.51353)</f>
        <v>1868.51353</v>
      </c>
      <c r="C119" s="72">
        <f>IF(926.37985="","-",926.37985)</f>
        <v>926.37985</v>
      </c>
      <c r="D119" s="72">
        <f>IF(OR(1868.51353="",926.37985="",1868.51353=0),"-",926.37985/1868.51353*100)</f>
        <v>49.57843949891013</v>
      </c>
    </row>
    <row r="120" spans="1:4" ht="15.75">
      <c r="A120" s="21" t="s">
        <v>153</v>
      </c>
      <c r="B120" s="72">
        <f>IF(922.6256="","-",922.6256)</f>
        <v>922.6256</v>
      </c>
      <c r="C120" s="72">
        <f>IF(933.41408="","-",933.41408)</f>
        <v>933.41408</v>
      </c>
      <c r="D120" s="72">
        <f>IF(OR(922.6256="",933.41408="",922.6256=0),"-",933.41408/922.6256*100)</f>
        <v>101.16932372134484</v>
      </c>
    </row>
    <row r="121" spans="1:4" ht="15.75">
      <c r="A121" s="21" t="s">
        <v>174</v>
      </c>
      <c r="B121" s="72">
        <f>IF(36.72057="","-",36.72057)</f>
        <v>36.72057</v>
      </c>
      <c r="C121" s="72">
        <f>IF(960.60742="","-",960.60742)</f>
        <v>960.60742</v>
      </c>
      <c r="D121" s="72" t="s">
        <v>305</v>
      </c>
    </row>
    <row r="122" spans="1:4" ht="15.75">
      <c r="A122" s="21" t="s">
        <v>122</v>
      </c>
      <c r="B122" s="72">
        <f>IF(916.05773="","-",916.05773)</f>
        <v>916.05773</v>
      </c>
      <c r="C122" s="72">
        <f>IF(1497.50217="","-",1497.50217)</f>
        <v>1497.50217</v>
      </c>
      <c r="D122" s="72" t="s">
        <v>193</v>
      </c>
    </row>
    <row r="123" spans="1:4" ht="15.75">
      <c r="A123" s="21" t="s">
        <v>172</v>
      </c>
      <c r="B123" s="72">
        <f>IF(-113.67282="","-",-113.67282)</f>
        <v>-113.67282</v>
      </c>
      <c r="C123" s="72">
        <f>IF(1531.54944="","-",1531.54944)</f>
        <v>1531.54944</v>
      </c>
      <c r="D123" s="72" t="s">
        <v>21</v>
      </c>
    </row>
    <row r="124" spans="1:4" ht="15.75">
      <c r="A124" s="21" t="s">
        <v>161</v>
      </c>
      <c r="B124" s="72">
        <f>IF(1.046="","-",1.046)</f>
        <v>1.046</v>
      </c>
      <c r="C124" s="72">
        <f>IF(1747.10378="","-",1747.10378)</f>
        <v>1747.10378</v>
      </c>
      <c r="D124" s="72" t="s">
        <v>266</v>
      </c>
    </row>
    <row r="125" spans="1:4" ht="15.75">
      <c r="A125" s="21" t="s">
        <v>108</v>
      </c>
      <c r="B125" s="72">
        <f>IF(4349.13641="","-",4349.13641)</f>
        <v>4349.13641</v>
      </c>
      <c r="C125" s="72">
        <f>IF(3044.64148="","-",3044.64148)</f>
        <v>3044.64148</v>
      </c>
      <c r="D125" s="72">
        <f>IF(OR(4349.13641="",3044.64148="",4349.13641=0),"-",3044.64148/4349.13641*100)</f>
        <v>70.00565613438646</v>
      </c>
    </row>
    <row r="126" spans="1:4" ht="15.75">
      <c r="A126" s="21" t="s">
        <v>110</v>
      </c>
      <c r="B126" s="72">
        <f>IF(-593.30912="","-",-593.30912)</f>
        <v>-593.30912</v>
      </c>
      <c r="C126" s="72">
        <f>IF(3247.10556="","-",3247.10556)</f>
        <v>3247.10556</v>
      </c>
      <c r="D126" s="72" t="s">
        <v>21</v>
      </c>
    </row>
    <row r="127" spans="1:4" ht="15.75">
      <c r="A127" s="21" t="s">
        <v>258</v>
      </c>
      <c r="B127" s="72">
        <f>IF(1250.70222="","-",1250.70222)</f>
        <v>1250.70222</v>
      </c>
      <c r="C127" s="72">
        <f>IF(3494.42007="","-",3494.42007)</f>
        <v>3494.42007</v>
      </c>
      <c r="D127" s="72" t="s">
        <v>264</v>
      </c>
    </row>
    <row r="128" spans="1:4" ht="15.75">
      <c r="A128" s="21" t="s">
        <v>175</v>
      </c>
      <c r="B128" s="72">
        <f>IF(4987.31993="","-",4987.31993)</f>
        <v>4987.31993</v>
      </c>
      <c r="C128" s="72">
        <f>IF(4221.59715="","-",4221.59715)</f>
        <v>4221.59715</v>
      </c>
      <c r="D128" s="72">
        <f>IF(OR(4987.31993="",4221.59715="",4987.31993=0),"-",4221.59715/4987.31993*100)</f>
        <v>84.64660798289714</v>
      </c>
    </row>
    <row r="129" spans="1:4" ht="15.75">
      <c r="A129" s="21" t="s">
        <v>196</v>
      </c>
      <c r="B129" s="72">
        <f>IF(3060.61279="","-",3060.61279)</f>
        <v>3060.61279</v>
      </c>
      <c r="C129" s="72">
        <f>IF(4801.4642="","-",4801.4642)</f>
        <v>4801.4642</v>
      </c>
      <c r="D129" s="72" t="s">
        <v>193</v>
      </c>
    </row>
    <row r="130" spans="1:4" ht="15.75">
      <c r="A130" s="21" t="s">
        <v>120</v>
      </c>
      <c r="B130" s="72">
        <f>IF(575.48017="","-",575.48017)</f>
        <v>575.48017</v>
      </c>
      <c r="C130" s="72">
        <f>IF(6986.41947="","-",6986.41947)</f>
        <v>6986.41947</v>
      </c>
      <c r="D130" s="72" t="s">
        <v>306</v>
      </c>
    </row>
    <row r="131" spans="1:4" ht="15.75">
      <c r="A131" s="21" t="s">
        <v>101</v>
      </c>
      <c r="B131" s="72">
        <f>IF(13176.34272="","-",13176.34272)</f>
        <v>13176.34272</v>
      </c>
      <c r="C131" s="72">
        <f>IF(11143.6216="","-",11143.6216)</f>
        <v>11143.6216</v>
      </c>
      <c r="D131" s="72">
        <f>IF(OR(13176.34272="",11143.6216="",13176.34272=0),"-",11143.6216/13176.34272*100)</f>
        <v>84.57294893434587</v>
      </c>
    </row>
    <row r="132" spans="1:4" ht="15.75">
      <c r="A132" s="21" t="s">
        <v>104</v>
      </c>
      <c r="B132" s="72">
        <f>IF(7416.21166="","-",7416.21166)</f>
        <v>7416.21166</v>
      </c>
      <c r="C132" s="72">
        <f>IF(13470.72462="","-",13470.72462)</f>
        <v>13470.72462</v>
      </c>
      <c r="D132" s="72" t="s">
        <v>150</v>
      </c>
    </row>
    <row r="133" spans="1:4" ht="15.75">
      <c r="A133" s="21" t="s">
        <v>102</v>
      </c>
      <c r="B133" s="72">
        <f>IF(16105.6319="","-",16105.6319)</f>
        <v>16105.6319</v>
      </c>
      <c r="C133" s="72">
        <f>IF(18093.67599="","-",18093.67599)</f>
        <v>18093.67599</v>
      </c>
      <c r="D133" s="72">
        <f>IF(OR(16105.6319="",18093.67599="",16105.6319=0),"-",18093.67599/16105.6319*100)</f>
        <v>112.34378199094441</v>
      </c>
    </row>
    <row r="134" spans="1:4" ht="15.75">
      <c r="A134" s="55" t="s">
        <v>257</v>
      </c>
      <c r="B134" s="73">
        <f>IF(12404.05728="","-",12404.05728)</f>
        <v>12404.05728</v>
      </c>
      <c r="C134" s="73">
        <f>IF(25242.3968="","-",25242.3968)</f>
        <v>25242.3968</v>
      </c>
      <c r="D134" s="73" t="s">
        <v>242</v>
      </c>
    </row>
    <row r="135" ht="15.75">
      <c r="A135" s="59" t="s">
        <v>19</v>
      </c>
    </row>
  </sheetData>
  <sheetProtection/>
  <mergeCells count="1">
    <mergeCell ref="A1:D1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8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75390625" style="0" customWidth="1"/>
    <col min="4" max="4" width="11.75390625" style="0" customWidth="1"/>
    <col min="5" max="5" width="11.50390625" style="0" customWidth="1"/>
    <col min="6" max="6" width="10.25390625" style="0" customWidth="1"/>
  </cols>
  <sheetData>
    <row r="1" spans="1:5" ht="15.75">
      <c r="A1" s="83" t="s">
        <v>211</v>
      </c>
      <c r="B1" s="83"/>
      <c r="C1" s="83"/>
      <c r="D1" s="83"/>
      <c r="E1" s="83"/>
    </row>
    <row r="2" spans="1:5" ht="15.75">
      <c r="A2" s="10"/>
      <c r="B2" s="10"/>
      <c r="C2" s="10"/>
      <c r="D2" s="10"/>
      <c r="E2" s="10"/>
    </row>
    <row r="3" spans="1:6" ht="19.5" customHeight="1">
      <c r="A3" s="84"/>
      <c r="B3" s="86">
        <v>2018</v>
      </c>
      <c r="C3" s="87"/>
      <c r="D3" s="86" t="s">
        <v>155</v>
      </c>
      <c r="E3" s="91"/>
      <c r="F3" s="1"/>
    </row>
    <row r="4" spans="1:6" ht="20.25" customHeight="1">
      <c r="A4" s="85"/>
      <c r="B4" s="64" t="s">
        <v>179</v>
      </c>
      <c r="C4" s="65" t="s">
        <v>251</v>
      </c>
      <c r="D4" s="27">
        <v>2017</v>
      </c>
      <c r="E4" s="26">
        <v>2018</v>
      </c>
      <c r="F4" s="1"/>
    </row>
    <row r="5" spans="1:5" ht="15.75" customHeight="1">
      <c r="A5" s="41" t="s">
        <v>307</v>
      </c>
      <c r="B5" s="81">
        <f>IF(2706901.80962="","-",2706901.80962)</f>
        <v>2706901.80962</v>
      </c>
      <c r="C5" s="74">
        <f>IF(2424972.02699="","-",2706901.80962/2424972.02699*100)</f>
        <v>111.62610452789204</v>
      </c>
      <c r="D5" s="81">
        <v>100</v>
      </c>
      <c r="E5" s="81">
        <v>100</v>
      </c>
    </row>
    <row r="6" spans="1:5" ht="15.75" customHeight="1">
      <c r="A6" s="9" t="s">
        <v>191</v>
      </c>
      <c r="B6" s="44"/>
      <c r="C6" s="61"/>
      <c r="D6" s="44"/>
      <c r="E6" s="44"/>
    </row>
    <row r="7" spans="1:5" ht="15.75">
      <c r="A7" s="31" t="s">
        <v>162</v>
      </c>
      <c r="B7" s="72">
        <f>IF(185901.87539="","-",185901.87539)</f>
        <v>185901.87539</v>
      </c>
      <c r="C7" s="78">
        <v>96.73</v>
      </c>
      <c r="D7" s="72">
        <f>IF(192186.25865="","-",192186.25865/2424972.02699*100)</f>
        <v>7.925297962655324</v>
      </c>
      <c r="E7" s="72">
        <f>IF(185901.87539="","-",185901.87539/2706901.80962*100)</f>
        <v>6.8676992541557045</v>
      </c>
    </row>
    <row r="8" spans="1:5" ht="15.75">
      <c r="A8" s="31" t="s">
        <v>163</v>
      </c>
      <c r="B8" s="72">
        <f>IF(121138.66888="","-",121138.66888)</f>
        <v>121138.66888</v>
      </c>
      <c r="C8" s="78">
        <v>131.05</v>
      </c>
      <c r="D8" s="72">
        <f>IF(92438.74014="","-",92438.74014/2424972.02699*100)</f>
        <v>3.8119507817473552</v>
      </c>
      <c r="E8" s="72">
        <f>IF(121138.66888="","-",121138.66888/2706901.80962*100)</f>
        <v>4.475177801037625</v>
      </c>
    </row>
    <row r="9" spans="1:5" ht="15.75">
      <c r="A9" s="31" t="s">
        <v>164</v>
      </c>
      <c r="B9" s="72">
        <f>IF(2352512.24266="","-",2352512.24266)</f>
        <v>2352512.24266</v>
      </c>
      <c r="C9" s="78">
        <v>113.07</v>
      </c>
      <c r="D9" s="72">
        <f>IF(2080597.75273="","-",2080597.75273/2424972.02699*100)</f>
        <v>85.79883518543284</v>
      </c>
      <c r="E9" s="72">
        <f>IF(2352512.24266="","-",2352512.24266/2706901.80962*100)</f>
        <v>86.90792677811429</v>
      </c>
    </row>
    <row r="10" spans="1:5" ht="15.75">
      <c r="A10" s="31" t="s">
        <v>165</v>
      </c>
      <c r="B10" s="72">
        <f>IF(45990.66402="","-",45990.66402)</f>
        <v>45990.66402</v>
      </c>
      <c r="C10" s="78">
        <v>79.27</v>
      </c>
      <c r="D10" s="72">
        <f>IF(58016.46616="","-",58016.46616/2424972.02699*100)</f>
        <v>2.3924591918700613</v>
      </c>
      <c r="E10" s="72">
        <f>IF(45990.66402="","-",45990.66402/2706901.80962*100)</f>
        <v>1.699014861069388</v>
      </c>
    </row>
    <row r="11" spans="1:5" ht="15.75">
      <c r="A11" s="31" t="s">
        <v>166</v>
      </c>
      <c r="B11" s="72">
        <f>IF(1241.99267="","-",1241.99267)</f>
        <v>1241.99267</v>
      </c>
      <c r="C11" s="78">
        <v>85.82</v>
      </c>
      <c r="D11" s="72">
        <f>IF(1447.15732="","-",1447.15732/2424972.02699*100)</f>
        <v>0.05967727890850296</v>
      </c>
      <c r="E11" s="72">
        <f>IF(1241.99267="","-",1241.99267/2706901.80962*100)</f>
        <v>0.045882442635566206</v>
      </c>
    </row>
    <row r="12" spans="1:5" ht="15.75">
      <c r="A12" s="31" t="s">
        <v>167</v>
      </c>
      <c r="B12" s="72">
        <f>IF(8.14167="","-",8.14167)</f>
        <v>8.14167</v>
      </c>
      <c r="C12" s="78">
        <v>112.59</v>
      </c>
      <c r="D12" s="72">
        <f>IF(7.23318="","-",7.23318/2424972.02699*100)</f>
        <v>0.00029827890464279684</v>
      </c>
      <c r="E12" s="72">
        <f>IF(8.14167="","-",8.14167/2706901.80962*100)</f>
        <v>0.0003007744858371107</v>
      </c>
    </row>
    <row r="13" spans="1:5" ht="15.75">
      <c r="A13" s="31" t="s">
        <v>168</v>
      </c>
      <c r="B13" s="72">
        <f>IF(108.22433="","-",108.22433)</f>
        <v>108.22433</v>
      </c>
      <c r="C13" s="78">
        <v>38.87</v>
      </c>
      <c r="D13" s="72">
        <f>IF(278.41881="","-",278.41881/2424972.02699*100)</f>
        <v>0.011481320481275313</v>
      </c>
      <c r="E13" s="72">
        <f>IF(108.22433="","-",108.22433/2706901.80962*100)</f>
        <v>0.003998088501599277</v>
      </c>
    </row>
    <row r="14" spans="1:5" ht="15.75">
      <c r="A14" s="30" t="s">
        <v>209</v>
      </c>
      <c r="B14" s="71">
        <f>IF(1862127.50047="","-",1862127.50047)</f>
        <v>1862127.50047</v>
      </c>
      <c r="C14" s="71">
        <f>IF(1596839.59621="","-",1862127.50047/1596839.59621*100)</f>
        <v>116.61330949518313</v>
      </c>
      <c r="D14" s="71">
        <f>IF(1596839.59621="","-",1596839.59621/2424972.02699*100)</f>
        <v>65.84981510867486</v>
      </c>
      <c r="E14" s="71">
        <f>IF(1862127.50047="","-",1862127.50047/2706901.80962*100)</f>
        <v>68.79183773316879</v>
      </c>
    </row>
    <row r="15" spans="1:5" ht="16.5">
      <c r="A15" s="9" t="s">
        <v>191</v>
      </c>
      <c r="B15" s="44"/>
      <c r="C15" s="46"/>
      <c r="D15" s="44"/>
      <c r="E15" s="82"/>
    </row>
    <row r="16" spans="1:5" ht="15.75">
      <c r="A16" s="31" t="s">
        <v>162</v>
      </c>
      <c r="B16" s="72">
        <f>IF(99874.58103="","-",99874.58103)</f>
        <v>99874.58103</v>
      </c>
      <c r="C16" s="78">
        <v>89.75</v>
      </c>
      <c r="D16" s="72">
        <f>IF(111282.58476="","-",111282.58476/2424972.02699*100)</f>
        <v>4.58902550303352</v>
      </c>
      <c r="E16" s="72">
        <f>IF(99874.58103="","-",99874.58103/2706901.80962*100)</f>
        <v>3.6896270368972335</v>
      </c>
    </row>
    <row r="17" spans="1:5" ht="15.75">
      <c r="A17" s="31" t="s">
        <v>163</v>
      </c>
      <c r="B17" s="72">
        <f>IF(56902.03069="","-",56902.03069)</f>
        <v>56902.03069</v>
      </c>
      <c r="C17" s="78">
        <v>149.24</v>
      </c>
      <c r="D17" s="72">
        <f>IF(38127.52125="","-",38127.52125/2424972.02699*100)</f>
        <v>1.5722870542686562</v>
      </c>
      <c r="E17" s="72">
        <f>IF(56902.03069="","-",56902.03069/2706901.80962*100)</f>
        <v>2.102109152529179</v>
      </c>
    </row>
    <row r="18" spans="1:5" ht="15.75">
      <c r="A18" s="31" t="s">
        <v>164</v>
      </c>
      <c r="B18" s="72">
        <f>IF(1695497.54771="","-",1695497.54771)</f>
        <v>1695497.54771</v>
      </c>
      <c r="C18" s="78">
        <v>117.56</v>
      </c>
      <c r="D18" s="72">
        <f>IF(1442227.43895="","-",1442227.43895/2424972.02699*100)</f>
        <v>59.473982499508125</v>
      </c>
      <c r="E18" s="72">
        <f>IF(1695497.54771="","-",1695497.54771/2706901.80962*100)</f>
        <v>62.63609347352046</v>
      </c>
    </row>
    <row r="19" spans="1:5" ht="15.75">
      <c r="A19" s="31" t="s">
        <v>165</v>
      </c>
      <c r="B19" s="72">
        <f>IF(9058.07737="","-",9058.07737)</f>
        <v>9058.07737</v>
      </c>
      <c r="C19" s="78" t="s">
        <v>243</v>
      </c>
      <c r="D19" s="72">
        <f>IF(4392.58939="","-",4392.58939/2424972.02699*100)</f>
        <v>0.18113979629910648</v>
      </c>
      <c r="E19" s="72">
        <f>IF(9058.07737="","-",9058.07737/2706901.80962*100)</f>
        <v>0.33462895986136976</v>
      </c>
    </row>
    <row r="20" spans="1:5" ht="15.75">
      <c r="A20" s="31" t="s">
        <v>166</v>
      </c>
      <c r="B20" s="72">
        <f>IF(689.50683="","-",689.50683)</f>
        <v>689.50683</v>
      </c>
      <c r="C20" s="79">
        <v>105.23</v>
      </c>
      <c r="D20" s="72">
        <f>IF(655.2554="","-",655.2554/2424972.02699*100)</f>
        <v>0.02702115293318813</v>
      </c>
      <c r="E20" s="72">
        <f>IF(689.50683="","-",689.50683/2706901.80962*100)</f>
        <v>0.025472177363418818</v>
      </c>
    </row>
    <row r="21" spans="1:5" ht="15.75">
      <c r="A21" s="31" t="s">
        <v>168</v>
      </c>
      <c r="B21" s="72">
        <f>IF(105.75684="","-",105.75684)</f>
        <v>105.75684</v>
      </c>
      <c r="C21" s="79">
        <v>68.58</v>
      </c>
      <c r="D21" s="72">
        <f>IF(154.20646="","-",154.20646/2424972.02699*100)</f>
        <v>0.006359102632264545</v>
      </c>
      <c r="E21" s="72">
        <f>IF(105.75684="","-",105.75684/2706901.80962*100)</f>
        <v>0.003906932997131741</v>
      </c>
    </row>
    <row r="22" spans="1:5" ht="15.75">
      <c r="A22" s="30" t="s">
        <v>205</v>
      </c>
      <c r="B22" s="71">
        <f>IF(415999.838="","-",415999.838)</f>
        <v>415999.838</v>
      </c>
      <c r="C22" s="71">
        <f>IF(462820.44579="","-",415999.838/462820.44579*100)</f>
        <v>89.88363452481431</v>
      </c>
      <c r="D22" s="71">
        <f>IF(462820.44579="","-",462820.44579/2424972.02699*100)</f>
        <v>19.0855993652214</v>
      </c>
      <c r="E22" s="71">
        <f>IF(415999.838="","-",415999.838/2706901.80962*100)</f>
        <v>15.368117030384596</v>
      </c>
    </row>
    <row r="23" spans="1:5" ht="15.75">
      <c r="A23" s="31" t="s">
        <v>191</v>
      </c>
      <c r="B23" s="44"/>
      <c r="C23" s="46"/>
      <c r="D23" s="44"/>
      <c r="E23" s="46"/>
    </row>
    <row r="24" spans="1:11" ht="15.75">
      <c r="A24" s="31" t="s">
        <v>162</v>
      </c>
      <c r="B24" s="72">
        <f>IF(5068.11695="","-",5068.11695)</f>
        <v>5068.11695</v>
      </c>
      <c r="C24" s="78" t="s">
        <v>240</v>
      </c>
      <c r="D24" s="72">
        <f>IF(2314.90215="","-",2314.90215/2424972.02699*100)</f>
        <v>0.0954609836416701</v>
      </c>
      <c r="E24" s="72">
        <f>IF(5068.11695="","-",5068.11695/2706901.80962*100)</f>
        <v>0.18722943447702936</v>
      </c>
      <c r="K24" s="29"/>
    </row>
    <row r="25" spans="1:5" ht="15.75">
      <c r="A25" s="31" t="s">
        <v>163</v>
      </c>
      <c r="B25" s="72">
        <f>IF(20338.83964="","-",20338.83964)</f>
        <v>20338.83964</v>
      </c>
      <c r="C25" s="78">
        <v>107.66</v>
      </c>
      <c r="D25" s="72">
        <f>IF(18891.2752="","-",18891.2752/2424972.02699*100)</f>
        <v>0.7790306440544315</v>
      </c>
      <c r="E25" s="72">
        <f>IF(20338.83964="","-",20338.83964/2706901.80962*100)</f>
        <v>0.7513696864702751</v>
      </c>
    </row>
    <row r="26" spans="1:5" ht="15.75">
      <c r="A26" s="31" t="s">
        <v>164</v>
      </c>
      <c r="B26" s="72">
        <f>IF(379173.29855="","-",379173.29855)</f>
        <v>379173.29855</v>
      </c>
      <c r="C26" s="72">
        <v>89.16</v>
      </c>
      <c r="D26" s="72">
        <f>IF(425254.83314="","-",425254.83314/2424972.02699*100)</f>
        <v>17.536484066904812</v>
      </c>
      <c r="E26" s="72">
        <f>IF(379173.29855="","-",379173.29855/2706901.80962*100)</f>
        <v>14.007648788828032</v>
      </c>
    </row>
    <row r="27" spans="1:5" ht="15.75">
      <c r="A27" s="31" t="s">
        <v>165</v>
      </c>
      <c r="B27" s="72">
        <f>IF(11363.30603="","-",11363.30603)</f>
        <v>11363.30603</v>
      </c>
      <c r="C27" s="72">
        <v>70.76</v>
      </c>
      <c r="D27" s="72">
        <f>IF(16058.37686="","-",16058.37686/2424972.02699*100)</f>
        <v>0.6622087463801585</v>
      </c>
      <c r="E27" s="72">
        <f>IF(11363.30603="","-",11363.30603/2706901.80962*100)</f>
        <v>0.4197901079978665</v>
      </c>
    </row>
    <row r="28" spans="1:5" ht="15.75">
      <c r="A28" s="31" t="s">
        <v>166</v>
      </c>
      <c r="B28" s="72">
        <f>IF(45.66767="","-",45.66767)</f>
        <v>45.66767</v>
      </c>
      <c r="C28" s="72">
        <v>21.69</v>
      </c>
      <c r="D28" s="72">
        <f>IF(210.58412="","-",210.58412/2424972.02699*100)</f>
        <v>0.008683981409112907</v>
      </c>
      <c r="E28" s="72">
        <f>IF(45.66767="","-",45.66767/2706901.80962*100)</f>
        <v>0.0016870826210874238</v>
      </c>
    </row>
    <row r="29" spans="1:5" ht="15.75">
      <c r="A29" s="31" t="s">
        <v>167</v>
      </c>
      <c r="B29" s="72">
        <f>IF(8.14167="","-",8.14167)</f>
        <v>8.14167</v>
      </c>
      <c r="C29" s="72">
        <v>112.59</v>
      </c>
      <c r="D29" s="72">
        <f>IF(7.23318="","-",7.23318/2424972.02699*100)</f>
        <v>0.00029827890464279684</v>
      </c>
      <c r="E29" s="72">
        <f>IF(8.14167="","-",8.14167/2706901.80962*100)</f>
        <v>0.0003007744858371107</v>
      </c>
    </row>
    <row r="30" spans="1:5" ht="15.75">
      <c r="A30" s="31" t="s">
        <v>168</v>
      </c>
      <c r="B30" s="72">
        <f>IF(2.46749="","-",2.46749)</f>
        <v>2.46749</v>
      </c>
      <c r="C30" s="72">
        <v>2.97</v>
      </c>
      <c r="D30" s="72">
        <f>IF(83.24114="","-",83.24114/2424972.02699*100)</f>
        <v>0.0034326639265741623</v>
      </c>
      <c r="E30" s="72">
        <f>IF(2.46749="","-",2.46749/2706901.80962*100)</f>
        <v>9.115550446753704E-05</v>
      </c>
    </row>
    <row r="31" spans="1:5" ht="15.75">
      <c r="A31" s="30" t="s">
        <v>208</v>
      </c>
      <c r="B31" s="71">
        <f>IF(428774.47115="","-",428774.47115)</f>
        <v>428774.47115</v>
      </c>
      <c r="C31" s="71">
        <f>IF(365311.98499="","-",428774.47115/365311.98499*100)</f>
        <v>117.37213361936023</v>
      </c>
      <c r="D31" s="71">
        <f>IF(365311.98499="","-",365311.98499/2424972.02699*100)</f>
        <v>15.064585526103738</v>
      </c>
      <c r="E31" s="71">
        <f>IF(428774.47115="","-",428774.47115/2706901.80962*100)</f>
        <v>15.840045236446615</v>
      </c>
    </row>
    <row r="32" spans="1:5" ht="15.75">
      <c r="A32" s="31" t="s">
        <v>191</v>
      </c>
      <c r="B32" s="44"/>
      <c r="C32" s="46"/>
      <c r="D32" s="44"/>
      <c r="E32" s="44"/>
    </row>
    <row r="33" spans="1:5" ht="15.75">
      <c r="A33" s="31" t="s">
        <v>162</v>
      </c>
      <c r="B33" s="72">
        <f>IF(80959.17741="","-",80959.17741)</f>
        <v>80959.17741</v>
      </c>
      <c r="C33" s="78">
        <v>103.02</v>
      </c>
      <c r="D33" s="72">
        <f>IF(78588.77174="","-",78588.77174/2424972.02699*100)</f>
        <v>3.2408114759801343</v>
      </c>
      <c r="E33" s="72">
        <f>IF(80959.17741="","-",80959.17741/2706901.80962*100)</f>
        <v>2.9908427827814417</v>
      </c>
    </row>
    <row r="34" spans="1:7" ht="15.75">
      <c r="A34" s="31" t="s">
        <v>163</v>
      </c>
      <c r="B34" s="72">
        <f>IF(43897.79855="","-",43897.79855)</f>
        <v>43897.79855</v>
      </c>
      <c r="C34" s="78">
        <v>123.94</v>
      </c>
      <c r="D34" s="72">
        <f>IF(35419.94369="","-",35419.94369/2424972.02699*100)</f>
        <v>1.4606330834242676</v>
      </c>
      <c r="E34" s="72">
        <f>IF(43897.79855="","-",43897.79855/2706901.80962*100)</f>
        <v>1.621698962038171</v>
      </c>
      <c r="F34" s="1"/>
      <c r="G34" s="1"/>
    </row>
    <row r="35" spans="1:7" ht="15.75">
      <c r="A35" s="31" t="s">
        <v>164</v>
      </c>
      <c r="B35" s="72">
        <f>IF(277841.3964="","-",277841.3964)</f>
        <v>277841.3964</v>
      </c>
      <c r="C35" s="78">
        <v>130.37</v>
      </c>
      <c r="D35" s="72">
        <f>IF(213115.48064="","-",213115.48064/2424972.02699*100)</f>
        <v>8.7883686190199</v>
      </c>
      <c r="E35" s="72">
        <f>IF(277841.3964="","-",277841.3964/2706901.80962*100)</f>
        <v>10.264184515765791</v>
      </c>
      <c r="F35" s="15"/>
      <c r="G35" s="15"/>
    </row>
    <row r="36" spans="1:5" ht="15.75">
      <c r="A36" s="31" t="s">
        <v>165</v>
      </c>
      <c r="B36" s="72">
        <f>IF(25569.28062="","-",25569.28062)</f>
        <v>25569.28062</v>
      </c>
      <c r="C36" s="79">
        <v>68.07</v>
      </c>
      <c r="D36" s="72">
        <f>IF(37565.49991="","-",37565.49991/2424972.02699*100)</f>
        <v>1.5491106491907962</v>
      </c>
      <c r="E36" s="72">
        <f>IF(25569.28062="","-",25569.28062/2706901.80962*100)</f>
        <v>0.9445957932101522</v>
      </c>
    </row>
    <row r="37" spans="1:5" ht="15.75">
      <c r="A37" s="37" t="s">
        <v>166</v>
      </c>
      <c r="B37" s="73">
        <f>IF(506.81817="","-",506.81817)</f>
        <v>506.81817</v>
      </c>
      <c r="C37" s="80">
        <v>87.18</v>
      </c>
      <c r="D37" s="73">
        <f>IF(581.3178="","-",581.3178/2424972.02699*100)</f>
        <v>0.023972144566201926</v>
      </c>
      <c r="E37" s="73">
        <f>IF(506.81817="","-",506.81817/2706901.80962*100)</f>
        <v>0.01872318265105996</v>
      </c>
    </row>
    <row r="38" ht="15.75">
      <c r="A38" s="60" t="s">
        <v>19</v>
      </c>
    </row>
  </sheetData>
  <sheetProtection/>
  <mergeCells count="4">
    <mergeCell ref="A1:E1"/>
    <mergeCell ref="A3:A4"/>
    <mergeCell ref="B3:C3"/>
    <mergeCell ref="D3:E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9"/>
  <sheetViews>
    <sheetView zoomScalePageLayoutView="0" workbookViewId="0" topLeftCell="A1">
      <selection activeCell="G20" sqref="G20"/>
    </sheetView>
  </sheetViews>
  <sheetFormatPr defaultColWidth="9.00390625" defaultRowHeight="15.75"/>
  <cols>
    <col min="1" max="1" width="31.50390625" style="0" customWidth="1"/>
    <col min="2" max="2" width="14.875" style="0" customWidth="1"/>
    <col min="3" max="3" width="14.625" style="0" customWidth="1"/>
    <col min="4" max="5" width="11.875" style="0" customWidth="1"/>
    <col min="6" max="6" width="13.625" style="0" customWidth="1"/>
  </cols>
  <sheetData>
    <row r="1" spans="1:5" ht="15.75">
      <c r="A1" s="83" t="s">
        <v>210</v>
      </c>
      <c r="B1" s="83"/>
      <c r="C1" s="83"/>
      <c r="D1" s="83"/>
      <c r="E1" s="83"/>
    </row>
    <row r="2" spans="1:5" ht="15.75">
      <c r="A2" s="10"/>
      <c r="B2" s="10"/>
      <c r="C2" s="10"/>
      <c r="D2" s="10"/>
      <c r="E2" s="10"/>
    </row>
    <row r="3" spans="1:6" ht="19.5" customHeight="1">
      <c r="A3" s="84"/>
      <c r="B3" s="86">
        <v>2018</v>
      </c>
      <c r="C3" s="87"/>
      <c r="D3" s="86" t="s">
        <v>155</v>
      </c>
      <c r="E3" s="91"/>
      <c r="F3" s="1"/>
    </row>
    <row r="4" spans="1:6" ht="20.25" customHeight="1">
      <c r="A4" s="85"/>
      <c r="B4" s="64" t="s">
        <v>179</v>
      </c>
      <c r="C4" s="65" t="s">
        <v>251</v>
      </c>
      <c r="D4" s="66">
        <v>2017</v>
      </c>
      <c r="E4" s="63">
        <v>2018</v>
      </c>
      <c r="F4" s="1"/>
    </row>
    <row r="5" spans="1:5" ht="16.5" customHeight="1">
      <c r="A5" s="41" t="s">
        <v>207</v>
      </c>
      <c r="B5" s="81">
        <f>IF(5764278.95119="","-",5764278.95119)</f>
        <v>5764278.95119</v>
      </c>
      <c r="C5" s="74">
        <f>IF(4831335.29052="","-",5764278.95119/4831335.29052*100)</f>
        <v>119.31026526974051</v>
      </c>
      <c r="D5" s="81">
        <v>100</v>
      </c>
      <c r="E5" s="81">
        <v>100</v>
      </c>
    </row>
    <row r="6" spans="1:5" ht="15.75" customHeight="1">
      <c r="A6" s="9" t="s">
        <v>191</v>
      </c>
      <c r="B6" s="44"/>
      <c r="C6" s="61"/>
      <c r="D6" s="44"/>
      <c r="E6" s="44"/>
    </row>
    <row r="7" spans="1:5" ht="15.75" customHeight="1">
      <c r="A7" s="31" t="s">
        <v>162</v>
      </c>
      <c r="B7" s="72">
        <f>IF(160739.41378="","-",160739.41378)</f>
        <v>160739.41378</v>
      </c>
      <c r="C7" s="78">
        <v>119</v>
      </c>
      <c r="D7" s="72">
        <f>IF(135073.61118="","-",135073.61118/4831335.29052*100)</f>
        <v>2.7957821814817976</v>
      </c>
      <c r="E7" s="72">
        <f>IF(160739.41378="","-",160739.41378/5764278.95119*100)</f>
        <v>2.7885432877396803</v>
      </c>
    </row>
    <row r="8" spans="1:5" ht="15.75" customHeight="1">
      <c r="A8" s="31" t="s">
        <v>163</v>
      </c>
      <c r="B8" s="72">
        <f>IF(330156.42262="","-",330156.42262)</f>
        <v>330156.42262</v>
      </c>
      <c r="C8" s="78">
        <v>122.96</v>
      </c>
      <c r="D8" s="72">
        <f>IF(268511.32324="","-",268511.32324/4831335.29052*100)</f>
        <v>5.557704176873635</v>
      </c>
      <c r="E8" s="72">
        <f>IF(330156.42262="","-",330156.42262/5764278.95119*100)</f>
        <v>5.727627434682724</v>
      </c>
    </row>
    <row r="9" spans="1:5" ht="15.75" customHeight="1">
      <c r="A9" s="31" t="s">
        <v>164</v>
      </c>
      <c r="B9" s="72">
        <f>IF(4770553.36247="","-",4770553.36247)</f>
        <v>4770553.36247</v>
      </c>
      <c r="C9" s="78">
        <v>118.35</v>
      </c>
      <c r="D9" s="72">
        <f>IF(4031049.35762="","-",4031049.35762/4831335.29052*100)</f>
        <v>83.43551244579706</v>
      </c>
      <c r="E9" s="72">
        <f>IF(4770553.36247="","-",4770553.36247/5764278.95119*100)</f>
        <v>82.76062631363716</v>
      </c>
    </row>
    <row r="10" spans="1:5" ht="15.75" customHeight="1">
      <c r="A10" s="31" t="s">
        <v>165</v>
      </c>
      <c r="B10" s="72">
        <f>IF(152908.0812="","-",152908.0812)</f>
        <v>152908.0812</v>
      </c>
      <c r="C10" s="78">
        <v>118.5</v>
      </c>
      <c r="D10" s="72">
        <f>IF(129040.77006="","-",129040.77006/4831335.29052*100)</f>
        <v>2.670913159622818</v>
      </c>
      <c r="E10" s="72">
        <f>IF(152908.0812="","-",152908.0812/5764278.95119*100)</f>
        <v>2.652683579243386</v>
      </c>
    </row>
    <row r="11" spans="1:5" ht="15.75" customHeight="1">
      <c r="A11" s="31" t="s">
        <v>166</v>
      </c>
      <c r="B11" s="72">
        <f>IF(12836.72917="","-",12836.72917)</f>
        <v>12836.72917</v>
      </c>
      <c r="C11" s="78">
        <v>92.09</v>
      </c>
      <c r="D11" s="72">
        <f>IF(13938.70571="","-",13938.70571/4831335.29052*100)</f>
        <v>0.2885062797721863</v>
      </c>
      <c r="E11" s="72">
        <f>IF(12836.72917="","-",12836.72917/5764278.95119*100)</f>
        <v>0.22269444762644486</v>
      </c>
    </row>
    <row r="12" spans="1:5" ht="15.75" customHeight="1">
      <c r="A12" s="31" t="s">
        <v>167</v>
      </c>
      <c r="B12" s="72">
        <f>IF(300750.55728="","-",300750.55728)</f>
        <v>300750.55728</v>
      </c>
      <c r="C12" s="78">
        <v>133.95</v>
      </c>
      <c r="D12" s="72">
        <f>IF(224521.91079="","-",224521.91079/4831335.29052*100)</f>
        <v>4.6472020112235795</v>
      </c>
      <c r="E12" s="72">
        <f>IF(300750.55728="","-",300750.55728/5764278.95119*100)</f>
        <v>5.217487908316996</v>
      </c>
    </row>
    <row r="13" spans="1:5" ht="15.75" customHeight="1">
      <c r="A13" s="31" t="s">
        <v>168</v>
      </c>
      <c r="B13" s="72">
        <f>IF(36334.38467="","-",36334.38467)</f>
        <v>36334.38467</v>
      </c>
      <c r="C13" s="78">
        <v>124.44</v>
      </c>
      <c r="D13" s="72">
        <f>IF(29199.3042="","-",29199.3042/4831335.29052*100)</f>
        <v>0.6043733759752629</v>
      </c>
      <c r="E13" s="72">
        <f>IF(36334.38467="","-",36334.38467/5764278.95119*100)</f>
        <v>0.6303370287535961</v>
      </c>
    </row>
    <row r="14" spans="1:5" ht="15.75">
      <c r="A14" s="30" t="s">
        <v>209</v>
      </c>
      <c r="B14" s="71">
        <f>IF(2851748.90127="","-",2851748.90127)</f>
        <v>2851748.90127</v>
      </c>
      <c r="C14" s="71">
        <f>IF(2389159.54058="","-",2851748.90127/2389159.54058*100)</f>
        <v>119.36201215669759</v>
      </c>
      <c r="D14" s="71">
        <f>IF(2389159.54058="","-",2389159.54058/4831335.29052*100)</f>
        <v>49.451329641061875</v>
      </c>
      <c r="E14" s="71">
        <f>IF(2851748.90127="","-",2851748.90127/5764278.95119*100)</f>
        <v>49.47277752200513</v>
      </c>
    </row>
    <row r="15" spans="1:5" ht="15.75">
      <c r="A15" s="9" t="s">
        <v>191</v>
      </c>
      <c r="B15" s="44"/>
      <c r="C15" s="46"/>
      <c r="D15" s="44"/>
      <c r="E15" s="44"/>
    </row>
    <row r="16" spans="1:5" ht="15.75">
      <c r="A16" s="31" t="s">
        <v>162</v>
      </c>
      <c r="B16" s="72">
        <f>IF(88596.13514="","-",88596.13514)</f>
        <v>88596.13514</v>
      </c>
      <c r="C16" s="78">
        <v>115.79</v>
      </c>
      <c r="D16" s="72">
        <f>IF(76513.65633="","-",76513.65633/4831335.29052*100)</f>
        <v>1.5836958465733968</v>
      </c>
      <c r="E16" s="72">
        <f>IF(88596.13514="","-",88596.13514/5764278.95119*100)</f>
        <v>1.5369855603832265</v>
      </c>
    </row>
    <row r="17" spans="1:5" ht="15.75">
      <c r="A17" s="31" t="s">
        <v>163</v>
      </c>
      <c r="B17" s="72">
        <f>IF(56752.97029="","-",56752.97029)</f>
        <v>56752.97029</v>
      </c>
      <c r="C17" s="78">
        <v>133.48</v>
      </c>
      <c r="D17" s="72">
        <f>IF(42516.50435="","-",42516.50435/4831335.29052*100)</f>
        <v>0.8800156021757686</v>
      </c>
      <c r="E17" s="72">
        <f>IF(56752.97029="","-",56752.97029/5764278.95119*100)</f>
        <v>0.9845632171962061</v>
      </c>
    </row>
    <row r="18" spans="1:5" ht="15.75">
      <c r="A18" s="31" t="s">
        <v>164</v>
      </c>
      <c r="B18" s="72">
        <f>IF(2626246.91898="","-",2626246.91898)</f>
        <v>2626246.91898</v>
      </c>
      <c r="C18" s="78">
        <v>119.34</v>
      </c>
      <c r="D18" s="72">
        <f>IF(2200691.85754="","-",2200691.85754/4831335.29052*100)</f>
        <v>45.55038566373517</v>
      </c>
      <c r="E18" s="72">
        <f>IF(2626246.91898="","-",2626246.91898/5764278.95119*100)</f>
        <v>45.56071871639431</v>
      </c>
    </row>
    <row r="19" spans="1:5" ht="15.75">
      <c r="A19" s="31" t="s">
        <v>165</v>
      </c>
      <c r="B19" s="72">
        <f>IF(43002.01446="","-",43002.01446)</f>
        <v>43002.01446</v>
      </c>
      <c r="C19" s="78">
        <v>116.36</v>
      </c>
      <c r="D19" s="72">
        <f>IF(36956.47647="","-",36956.47647/4831335.29052*100)</f>
        <v>0.7649329687905463</v>
      </c>
      <c r="E19" s="72">
        <f>IF(43002.01446="","-",43002.01446/5764278.95119*100)</f>
        <v>0.74600856107289</v>
      </c>
    </row>
    <row r="20" spans="1:5" ht="15.75">
      <c r="A20" s="31" t="s">
        <v>166</v>
      </c>
      <c r="B20" s="72">
        <f>IF(5709.61248="","-",5709.61248)</f>
        <v>5709.61248</v>
      </c>
      <c r="C20" s="78">
        <v>102.27</v>
      </c>
      <c r="D20" s="72">
        <f>IF(5583.09243="","-",5583.09243/4831335.29052*100)</f>
        <v>0.11556002832084725</v>
      </c>
      <c r="E20" s="72">
        <f>IF(5709.61248="","-",5709.61248/5764278.95119*100)</f>
        <v>0.09905163383568182</v>
      </c>
    </row>
    <row r="21" spans="1:5" ht="15.75">
      <c r="A21" s="31" t="s">
        <v>168</v>
      </c>
      <c r="B21" s="72">
        <f>IF(31441.24992="","-",31441.24992)</f>
        <v>31441.24992</v>
      </c>
      <c r="C21" s="78">
        <v>116.89</v>
      </c>
      <c r="D21" s="72">
        <f>IF(26897.95346="","-",26897.95346/4831335.29052*100)</f>
        <v>0.556739531466154</v>
      </c>
      <c r="E21" s="72">
        <f>IF(31441.24992="","-",31441.24992/5764278.95119*100)</f>
        <v>0.5454498331228252</v>
      </c>
    </row>
    <row r="22" spans="1:5" ht="15.75">
      <c r="A22" s="30" t="s">
        <v>205</v>
      </c>
      <c r="B22" s="71">
        <f>IF(1449255.16673="","-",1449255.16673)</f>
        <v>1449255.16673</v>
      </c>
      <c r="C22" s="71">
        <f>IF(1206051.90242="","-",1449255.16673/1206051.90242*100)</f>
        <v>120.16524030367195</v>
      </c>
      <c r="D22" s="71">
        <f>IF(1206051.90242="","-",1206051.90242/4831335.29052*100)</f>
        <v>24.9631174384958</v>
      </c>
      <c r="E22" s="71">
        <f>IF(1449255.16673="","-",1449255.16673/5764278.95119*100)</f>
        <v>25.142002651186928</v>
      </c>
    </row>
    <row r="23" spans="1:5" ht="15.75">
      <c r="A23" s="31" t="s">
        <v>191</v>
      </c>
      <c r="B23" s="44"/>
      <c r="C23" s="46"/>
      <c r="D23" s="44"/>
      <c r="E23" s="44"/>
    </row>
    <row r="24" spans="1:5" ht="15.75">
      <c r="A24" s="31" t="s">
        <v>162</v>
      </c>
      <c r="B24" s="72">
        <f>IF(49964.07834="","-",49964.07834)</f>
        <v>49964.07834</v>
      </c>
      <c r="C24" s="78">
        <v>97.88</v>
      </c>
      <c r="D24" s="72">
        <f>IF(51045.04241="","-",51045.04241/4831335.29052*100)</f>
        <v>1.0565410873089287</v>
      </c>
      <c r="E24" s="72">
        <f>IF(49964.07834="","-",49964.07834/5764278.95119*100)</f>
        <v>0.8667880018139167</v>
      </c>
    </row>
    <row r="25" spans="1:5" ht="15.75">
      <c r="A25" s="31" t="s">
        <v>163</v>
      </c>
      <c r="B25" s="72">
        <f>IF(272688.23575="","-",272688.23575)</f>
        <v>272688.23575</v>
      </c>
      <c r="C25" s="78">
        <v>121.21</v>
      </c>
      <c r="D25" s="72">
        <f>IF(224977.07489="","-",224977.07489/4831335.29052*100)</f>
        <v>4.65662309406362</v>
      </c>
      <c r="E25" s="72">
        <f>IF(272688.23575="","-",272688.23575/5764278.95119*100)</f>
        <v>4.730656480351374</v>
      </c>
    </row>
    <row r="26" spans="1:5" ht="15.75">
      <c r="A26" s="31" t="s">
        <v>164</v>
      </c>
      <c r="B26" s="72">
        <f>IF(806211.35501="","-",806211.35501)</f>
        <v>806211.35501</v>
      </c>
      <c r="C26" s="78">
        <v>116.89</v>
      </c>
      <c r="D26" s="72">
        <f>IF(689732.76076="","-",689732.76076/4831335.29052*100)</f>
        <v>14.276234607715738</v>
      </c>
      <c r="E26" s="72">
        <f>IF(806211.35501="","-",806211.35501/5764278.95119*100)</f>
        <v>13.986334836268854</v>
      </c>
    </row>
    <row r="27" spans="1:5" ht="15.75">
      <c r="A27" s="31" t="s">
        <v>165</v>
      </c>
      <c r="B27" s="72">
        <f>IF(16155.75994="","-",16155.75994)</f>
        <v>16155.75994</v>
      </c>
      <c r="C27" s="78">
        <v>118.66</v>
      </c>
      <c r="D27" s="72">
        <f>IF(13615.34639="","-",13615.34639/4831335.29052*100)</f>
        <v>0.2818133201542833</v>
      </c>
      <c r="E27" s="72">
        <f>IF(16155.75994="","-",16155.75994/5764278.95119*100)</f>
        <v>0.28027373548021545</v>
      </c>
    </row>
    <row r="28" spans="1:5" ht="15.75">
      <c r="A28" s="31" t="s">
        <v>166</v>
      </c>
      <c r="B28" s="72">
        <f>IF(435.15821="","-",435.15821)</f>
        <v>435.15821</v>
      </c>
      <c r="C28" s="78">
        <v>49.46</v>
      </c>
      <c r="D28" s="72">
        <f>IF(879.75848="","-",879.75848/4831335.29052*100)</f>
        <v>0.018209427147940934</v>
      </c>
      <c r="E28" s="72">
        <f>IF(435.15821="","-",435.15821/5764278.95119*100)</f>
        <v>0.007549221918036499</v>
      </c>
    </row>
    <row r="29" spans="1:5" ht="15.75">
      <c r="A29" s="31" t="s">
        <v>167</v>
      </c>
      <c r="B29" s="72">
        <f>IF(300750.55728="","-",300750.55728)</f>
        <v>300750.55728</v>
      </c>
      <c r="C29" s="78">
        <v>133.95</v>
      </c>
      <c r="D29" s="72">
        <f>IF(224521.91079="","-",224521.91079/4831335.29052*100)</f>
        <v>4.6472020112235795</v>
      </c>
      <c r="E29" s="72">
        <f>IF(300750.55728="","-",300750.55728/5764278.95119*100)</f>
        <v>5.217487908316996</v>
      </c>
    </row>
    <row r="30" spans="1:5" ht="15.75">
      <c r="A30" s="31" t="s">
        <v>168</v>
      </c>
      <c r="B30" s="72">
        <f>IF(3050.0222="","-",3050.0222)</f>
        <v>3050.0222</v>
      </c>
      <c r="C30" s="78" t="s">
        <v>241</v>
      </c>
      <c r="D30" s="72">
        <f>IF(1279.70098="","-",1279.70098/4831335.29052*100)</f>
        <v>0.02648752162804799</v>
      </c>
      <c r="E30" s="72">
        <f>IF(3050.0222="","-",3050.0222/5764278.95119*100)</f>
        <v>0.052912467037535396</v>
      </c>
    </row>
    <row r="31" spans="1:5" ht="15.75">
      <c r="A31" s="30" t="s">
        <v>206</v>
      </c>
      <c r="B31" s="71">
        <f>IF(1463274.88319="","-",1463274.88319)</f>
        <v>1463274.88319</v>
      </c>
      <c r="C31" s="71">
        <f>IF(1236123.84752="","-",1463274.88319/1236123.84752*100)</f>
        <v>118.37607421988716</v>
      </c>
      <c r="D31" s="71">
        <f>IF(1236123.84752="","-",1236123.84752/4831335.29052*100)</f>
        <v>25.58555292044231</v>
      </c>
      <c r="E31" s="71">
        <f>IF(1463274.88319="","-",1463274.88319/5764278.95119*100)</f>
        <v>25.385219826807926</v>
      </c>
    </row>
    <row r="32" spans="1:5" ht="15.75">
      <c r="A32" s="31" t="s">
        <v>191</v>
      </c>
      <c r="B32" s="44"/>
      <c r="C32" s="46"/>
      <c r="D32" s="62"/>
      <c r="E32" s="44"/>
    </row>
    <row r="33" spans="1:5" ht="15.75">
      <c r="A33" s="31" t="s">
        <v>162</v>
      </c>
      <c r="B33" s="75">
        <f>IF(22179.2003="","-",22179.2003)</f>
        <v>22179.2003</v>
      </c>
      <c r="C33" s="78" t="s">
        <v>249</v>
      </c>
      <c r="D33" s="75">
        <f>IF(7514.91244="","-",7514.91244/4831335.29052*100)</f>
        <v>0.15554524759947191</v>
      </c>
      <c r="E33" s="75">
        <f>IF(22179.2003="","-",22179.2003/5764278.95119*100)</f>
        <v>0.38476972554253713</v>
      </c>
    </row>
    <row r="34" spans="1:7" ht="15.75">
      <c r="A34" s="31" t="s">
        <v>163</v>
      </c>
      <c r="B34" s="75">
        <f>IF(715.21658="","-",715.21658)</f>
        <v>715.21658</v>
      </c>
      <c r="C34" s="78">
        <v>70.28</v>
      </c>
      <c r="D34" s="75">
        <f>IF(1017.744="","-",1017.744/4831335.29052*100)</f>
        <v>0.021065480634246344</v>
      </c>
      <c r="E34" s="75">
        <f>IF(715.21658="","-",715.21658/5764278.95119*100)</f>
        <v>0.012407737135142425</v>
      </c>
      <c r="F34" s="1"/>
      <c r="G34" s="1"/>
    </row>
    <row r="35" spans="1:7" ht="15.75">
      <c r="A35" s="31" t="s">
        <v>164</v>
      </c>
      <c r="B35" s="75">
        <f>IF(1338095.08848="","-",1338095.08848)</f>
        <v>1338095.08848</v>
      </c>
      <c r="C35" s="78">
        <v>117.31</v>
      </c>
      <c r="D35" s="75">
        <f>IF(1140624.73932="","-",1140624.73932/4831335.29052*100)</f>
        <v>23.608892174346146</v>
      </c>
      <c r="E35" s="75">
        <f>IF(1338095.08848="","-",1338095.08848/5764278.95119*100)</f>
        <v>23.213572760974007</v>
      </c>
      <c r="F35" s="1"/>
      <c r="G35" s="1"/>
    </row>
    <row r="36" spans="1:7" ht="15.75">
      <c r="A36" s="31" t="s">
        <v>165</v>
      </c>
      <c r="B36" s="75">
        <f>IF(93750.3068="","-",93750.3068)</f>
        <v>93750.3068</v>
      </c>
      <c r="C36" s="78">
        <v>119.47</v>
      </c>
      <c r="D36" s="75">
        <f>IF(78468.9472="","-",78468.9472/4831335.29052*100)</f>
        <v>1.6241668706779886</v>
      </c>
      <c r="E36" s="75">
        <f>IF(93750.3068="","-",93750.3068/5764278.95119*100)</f>
        <v>1.6264012826902805</v>
      </c>
      <c r="F36" s="15"/>
      <c r="G36" s="15"/>
    </row>
    <row r="37" spans="1:5" ht="15.75">
      <c r="A37" s="31" t="s">
        <v>166</v>
      </c>
      <c r="B37" s="75">
        <f>IF(6691.95848="","-",6691.95848)</f>
        <v>6691.95848</v>
      </c>
      <c r="C37" s="78">
        <v>89.51</v>
      </c>
      <c r="D37" s="75">
        <f>IF(7475.8548="","-",7475.8548/4831335.29052*100)</f>
        <v>0.15473682430339808</v>
      </c>
      <c r="E37" s="75">
        <f>IF(6691.95848="","-",6691.95848/5764278.95119*100)</f>
        <v>0.11609359187272654</v>
      </c>
    </row>
    <row r="38" spans="1:5" ht="15.75">
      <c r="A38" s="37" t="s">
        <v>168</v>
      </c>
      <c r="B38" s="73">
        <f>IF(1843.11255="","-",1843.11255)</f>
        <v>1843.11255</v>
      </c>
      <c r="C38" s="80" t="s">
        <v>150</v>
      </c>
      <c r="D38" s="73">
        <f>IF(1021.64976="","-",1021.64976/4831335.29052*100)</f>
        <v>0.021146322881060883</v>
      </c>
      <c r="E38" s="73">
        <f>IF(1843.11255="","-",1843.11255/5764278.95119*100)</f>
        <v>0.03197472859323543</v>
      </c>
    </row>
    <row r="39" ht="15.75">
      <c r="A39" s="35" t="s">
        <v>19</v>
      </c>
    </row>
  </sheetData>
  <sheetProtection/>
  <mergeCells count="4">
    <mergeCell ref="A1:E1"/>
    <mergeCell ref="A3:A4"/>
    <mergeCell ref="B3:C3"/>
    <mergeCell ref="D3:E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7"/>
  <sheetViews>
    <sheetView zoomScalePageLayoutView="0" workbookViewId="0" topLeftCell="A1">
      <selection activeCell="K15" sqref="K15"/>
    </sheetView>
  </sheetViews>
  <sheetFormatPr defaultColWidth="9.00390625" defaultRowHeight="15.75"/>
  <cols>
    <col min="1" max="1" width="27.375" style="0" customWidth="1"/>
    <col min="2" max="2" width="12.125" style="0" customWidth="1"/>
    <col min="3" max="3" width="11.25390625" style="0" customWidth="1"/>
    <col min="4" max="4" width="8.25390625" style="0" customWidth="1"/>
    <col min="5" max="5" width="8.375" style="0" customWidth="1"/>
    <col min="6" max="6" width="9.625" style="0" customWidth="1"/>
    <col min="7" max="7" width="9.875" style="0" customWidth="1"/>
    <col min="8" max="8" width="11.00390625" style="0" customWidth="1"/>
  </cols>
  <sheetData>
    <row r="1" spans="1:7" ht="15.75">
      <c r="A1" s="90" t="s">
        <v>184</v>
      </c>
      <c r="B1" s="90"/>
      <c r="C1" s="90"/>
      <c r="D1" s="90"/>
      <c r="E1" s="90"/>
      <c r="F1" s="90"/>
      <c r="G1" s="90"/>
    </row>
    <row r="2" spans="1:7" ht="15.75">
      <c r="A2" s="90" t="s">
        <v>22</v>
      </c>
      <c r="B2" s="90"/>
      <c r="C2" s="90"/>
      <c r="D2" s="90"/>
      <c r="E2" s="90"/>
      <c r="F2" s="90"/>
      <c r="G2" s="90"/>
    </row>
    <row r="3" ht="15.75">
      <c r="A3" s="6"/>
    </row>
    <row r="4" spans="1:7" ht="57" customHeight="1">
      <c r="A4" s="92"/>
      <c r="B4" s="94">
        <v>2018</v>
      </c>
      <c r="C4" s="95"/>
      <c r="D4" s="94" t="s">
        <v>0</v>
      </c>
      <c r="E4" s="95"/>
      <c r="F4" s="96" t="s">
        <v>151</v>
      </c>
      <c r="G4" s="97"/>
    </row>
    <row r="5" spans="1:13" ht="26.25" customHeight="1">
      <c r="A5" s="93"/>
      <c r="B5" s="64" t="s">
        <v>145</v>
      </c>
      <c r="C5" s="64" t="s">
        <v>250</v>
      </c>
      <c r="D5" s="28">
        <v>2017</v>
      </c>
      <c r="E5" s="28">
        <v>2018</v>
      </c>
      <c r="F5" s="28" t="s">
        <v>141</v>
      </c>
      <c r="G5" s="24" t="s">
        <v>159</v>
      </c>
      <c r="H5" s="1"/>
      <c r="I5" s="1"/>
      <c r="J5" s="1"/>
      <c r="K5" s="1"/>
      <c r="L5" s="1"/>
      <c r="M5" s="1"/>
    </row>
    <row r="6" spans="1:13" ht="16.5" customHeight="1">
      <c r="A6" s="56" t="s">
        <v>146</v>
      </c>
      <c r="B6" s="74">
        <f>IF(2706901.80962="","-",2706901.80962)</f>
        <v>2706901.80962</v>
      </c>
      <c r="C6" s="74">
        <f>IF(2424972.02699="","-",2706901.80962/2424972.02699*100)</f>
        <v>111.62610452789204</v>
      </c>
      <c r="D6" s="74">
        <v>100</v>
      </c>
      <c r="E6" s="74">
        <v>100</v>
      </c>
      <c r="F6" s="74">
        <f>IF(2044610.75747="","-",(2424972.02699-2044610.75747)/2044610.75747*100)</f>
        <v>18.6031139731779</v>
      </c>
      <c r="G6" s="74">
        <f>IF(2424972.02699="","-",(2706901.80962-2424972.02699)/2424972.02699*100)</f>
        <v>11.626104527892041</v>
      </c>
      <c r="H6" s="32"/>
      <c r="I6" s="32"/>
      <c r="J6" s="32"/>
      <c r="K6" s="32"/>
      <c r="L6" s="32"/>
      <c r="M6" s="32"/>
    </row>
    <row r="7" spans="1:13" ht="13.5" customHeight="1">
      <c r="A7" s="42" t="s">
        <v>23</v>
      </c>
      <c r="B7" s="71">
        <f>IF(613056.38452="","-",613056.38452)</f>
        <v>613056.38452</v>
      </c>
      <c r="C7" s="71">
        <f>IF(609574.34554="","-",613056.38452/609574.34554*100)</f>
        <v>100.57122465954752</v>
      </c>
      <c r="D7" s="71">
        <f>IF(609574.34554="","-",609574.34554/2424972.02699*100)</f>
        <v>25.13737638023953</v>
      </c>
      <c r="E7" s="71">
        <f>IF(613056.38452="","-",613056.38452/2706901.80962*100)</f>
        <v>22.64789887617172</v>
      </c>
      <c r="F7" s="71">
        <f>IF(2044610.75747="","-",(609574.34554-498453.7609)/2044610.75747*100)</f>
        <v>5.434803873256568</v>
      </c>
      <c r="G7" s="71">
        <f>IF(2424972.02699="","-",(613056.38452-609574.34554)/2424972.02699*100)</f>
        <v>0.14359089264720465</v>
      </c>
      <c r="H7" s="32"/>
      <c r="I7" s="32"/>
      <c r="J7" s="32"/>
      <c r="K7" s="32"/>
      <c r="L7" s="32"/>
      <c r="M7" s="32"/>
    </row>
    <row r="8" spans="1:13" ht="12.75" customHeight="1">
      <c r="A8" s="21" t="s">
        <v>24</v>
      </c>
      <c r="B8" s="72">
        <f>IF(11656.0891="","-",11656.0891)</f>
        <v>11656.0891</v>
      </c>
      <c r="C8" s="72">
        <f>IF(OR(7795.87671="",11656.0891=""),"-",11656.0891/7795.87671*100)</f>
        <v>149.51607796783642</v>
      </c>
      <c r="D8" s="72">
        <f>IF(7795.87671="","-",7795.87671/2424972.02699*100)</f>
        <v>0.32148316035119967</v>
      </c>
      <c r="E8" s="72">
        <f>IF(11656.0891="","-",11656.0891/2706901.80962*100)</f>
        <v>0.430606276835594</v>
      </c>
      <c r="F8" s="72">
        <f>IF(OR(2044610.75747="",10080.02738="",7795.87671=""),"-",(7795.87671-10080.02738)/2044610.75747*100)</f>
        <v>-0.1117156731008501</v>
      </c>
      <c r="G8" s="72">
        <f>IF(OR(2424972.02699="",11656.0891="",7795.87671=""),"-",(11656.0891-7795.87671)/2424972.02699*100)</f>
        <v>0.1591858523329646</v>
      </c>
      <c r="H8" s="32"/>
      <c r="I8" s="32"/>
      <c r="J8" s="32"/>
      <c r="K8" s="32"/>
      <c r="L8" s="32"/>
      <c r="M8" s="32"/>
    </row>
    <row r="9" spans="1:7" ht="13.5" customHeight="1">
      <c r="A9" s="21" t="s">
        <v>25</v>
      </c>
      <c r="B9" s="72">
        <f>IF(9721.72759="","-",9721.72759)</f>
        <v>9721.72759</v>
      </c>
      <c r="C9" s="72">
        <f>IF(OR(10837.86423="",9721.72759=""),"-",9721.72759/10837.86423*100)</f>
        <v>89.70150745282035</v>
      </c>
      <c r="D9" s="72">
        <f>IF(10837.86423="","-",10837.86423/2424972.02699*100)</f>
        <v>0.4469273917131536</v>
      </c>
      <c r="E9" s="72">
        <f>IF(9721.72759="","-",9721.72759/2706901.80962*100)</f>
        <v>0.3591459267362474</v>
      </c>
      <c r="F9" s="72">
        <f>IF(OR(2044610.75747="",8487.41361="",10837.86423=""),"-",(10837.86423-8487.41361)/2044610.75747*100)</f>
        <v>0.11495834165073286</v>
      </c>
      <c r="G9" s="72">
        <f>IF(OR(2424972.02699="",9721.72759="",10837.86423=""),"-",(9721.72759-10837.86423)/2424972.02699*100)</f>
        <v>-0.04602678412688351</v>
      </c>
    </row>
    <row r="10" spans="1:10" ht="15.75">
      <c r="A10" s="21" t="s">
        <v>26</v>
      </c>
      <c r="B10" s="72">
        <f>IF(19957.7309="","-",19957.7309)</f>
        <v>19957.7309</v>
      </c>
      <c r="C10" s="72">
        <f>IF(OR(20376.82389="",19957.7309=""),"-",19957.7309/20376.82389*100)</f>
        <v>97.94328599853252</v>
      </c>
      <c r="D10" s="72">
        <f>IF(20376.82389="","-",20376.82389/2424972.02699*100)</f>
        <v>0.8402910905035371</v>
      </c>
      <c r="E10" s="72">
        <f>IF(19957.7309="","-",19957.7309/2706901.80962*100)</f>
        <v>0.7372905374355526</v>
      </c>
      <c r="F10" s="72">
        <f>IF(OR(2044610.75747="",18577.12832="",20376.82389=""),"-",(20376.82389-18577.12832)/2044610.75747*100)</f>
        <v>0.08802142722886491</v>
      </c>
      <c r="G10" s="72">
        <f>IF(OR(2424972.02699="",19957.7309="",20376.82389=""),"-",(19957.7309-20376.82389)/2424972.02699*100)</f>
        <v>-0.017282384511470045</v>
      </c>
      <c r="J10" s="20"/>
    </row>
    <row r="11" spans="1:10" s="10" customFormat="1" ht="15.75">
      <c r="A11" s="21" t="s">
        <v>27</v>
      </c>
      <c r="B11" s="72">
        <f>IF(18.99308="","-",18.99308)</f>
        <v>18.99308</v>
      </c>
      <c r="C11" s="72">
        <f>IF(OR(28.86306="",18.99308=""),"-",18.99308/28.86306*100)</f>
        <v>65.80411086004048</v>
      </c>
      <c r="D11" s="72">
        <f>IF(28.86306="","-",28.86306/2424972.02699*100)</f>
        <v>0.001190243008115286</v>
      </c>
      <c r="E11" s="72">
        <f>IF(18.99308="","-",18.99308/2706901.80962*100)</f>
        <v>0.0007016538218158081</v>
      </c>
      <c r="F11" s="72">
        <f>IF(OR(2044610.75747="",21.66614="",28.86306=""),"-",(28.86306-21.66614)/2044610.75747*100)</f>
        <v>0.0003519946265422894</v>
      </c>
      <c r="G11" s="72">
        <f>IF(OR(2424972.02699="",18.99308="",28.86306=""),"-",(18.99308-28.86306)/2424972.02699*100)</f>
        <v>-0.00040701417955122266</v>
      </c>
      <c r="J11" s="20"/>
    </row>
    <row r="12" spans="1:10" s="10" customFormat="1" ht="15.75">
      <c r="A12" s="21" t="s">
        <v>28</v>
      </c>
      <c r="B12" s="72">
        <f>IF(240155.54199="","-",240155.54199)</f>
        <v>240155.54199</v>
      </c>
      <c r="C12" s="72">
        <f>IF(OR(198800.08915="",240155.54199=""),"-",240155.54199/198800.08915*100)</f>
        <v>120.80253234131912</v>
      </c>
      <c r="D12" s="72">
        <f>IF(198800.08915="","-",198800.08915/2424972.02699*100)</f>
        <v>8.198036387114986</v>
      </c>
      <c r="E12" s="72">
        <f>IF(240155.54199="","-",240155.54199/2706901.80962*100)</f>
        <v>8.871970942444843</v>
      </c>
      <c r="F12" s="72">
        <f>IF(OR(2044610.75747="",172509.4319="",198800.08915=""),"-",(198800.08915-172509.4319)/2044610.75747*100)</f>
        <v>1.2858514587163798</v>
      </c>
      <c r="G12" s="72">
        <f>IF(OR(2424972.02699="",240155.54199="",198800.08915=""),"-",(240155.54199-198800.08915)/2424972.02699*100)</f>
        <v>1.7053991707827039</v>
      </c>
      <c r="J12" s="20"/>
    </row>
    <row r="13" spans="1:10" s="10" customFormat="1" ht="15.75">
      <c r="A13" s="21" t="s">
        <v>29</v>
      </c>
      <c r="B13" s="72">
        <f>IF(264318.93206="","-",264318.93206)</f>
        <v>264318.93206</v>
      </c>
      <c r="C13" s="72">
        <f>IF(OR(301043.93683="",264318.93206=""),"-",264318.93206/301043.93683*100)</f>
        <v>87.800782451653</v>
      </c>
      <c r="D13" s="72">
        <f>IF(301043.93683="","-",301043.93683/2424972.02699*100)</f>
        <v>12.414326164564926</v>
      </c>
      <c r="E13" s="72">
        <f>IF(264318.93206="","-",264318.93206/2706901.80962*100)</f>
        <v>9.764629478640217</v>
      </c>
      <c r="F13" s="72">
        <f>IF(OR(2044610.75747="",206048.11428="",301043.93683=""),"-",(301043.93683-206048.11428)/2044610.75747*100)</f>
        <v>4.646156839532027</v>
      </c>
      <c r="G13" s="72">
        <f>IF(OR(2424972.02699="",264318.93206="",301043.93683=""),"-",(264318.93206-301043.93683)/2424972.02699*100)</f>
        <v>-1.5144506559766366</v>
      </c>
      <c r="J13" s="20"/>
    </row>
    <row r="14" spans="1:10" s="10" customFormat="1" ht="15.75" customHeight="1">
      <c r="A14" s="21" t="s">
        <v>30</v>
      </c>
      <c r="B14" s="72">
        <f>IF(30883.65789="","-",30883.65789)</f>
        <v>30883.65789</v>
      </c>
      <c r="C14" s="72">
        <f>IF(OR(41156.88695="",30883.65789=""),"-",30883.65789/41156.88695*100)</f>
        <v>75.03885784053452</v>
      </c>
      <c r="D14" s="72">
        <f>IF(41156.88695="","-",41156.88695/2424972.02699*100)</f>
        <v>1.697210792203902</v>
      </c>
      <c r="E14" s="72">
        <f>IF(30883.65789="","-",30883.65789/2706901.80962*100)</f>
        <v>1.140922725022505</v>
      </c>
      <c r="F14" s="72">
        <f>IF(OR(2044610.75747="",52764.58241="",41156.88695=""),"-",(41156.88695-52764.58241)/2044610.75747*100)</f>
        <v>-0.5677215292735404</v>
      </c>
      <c r="G14" s="72">
        <f>IF(OR(2424972.02699="",30883.65789="",41156.88695=""),"-",(30883.65789-41156.88695)/2424972.02699*100)</f>
        <v>-0.42364319858780647</v>
      </c>
      <c r="J14" s="20"/>
    </row>
    <row r="15" spans="1:10" s="10" customFormat="1" ht="25.5">
      <c r="A15" s="21" t="s">
        <v>31</v>
      </c>
      <c r="B15" s="72">
        <f>IF(11601.00029="","-",11601.00029)</f>
        <v>11601.00029</v>
      </c>
      <c r="C15" s="72">
        <f>IF(OR(10186.05917="",11601.00029=""),"-",11601.00029/10186.05917*100)</f>
        <v>113.89095720322622</v>
      </c>
      <c r="D15" s="72">
        <f>IF(10186.05917="","-",10186.05917/2424972.02699*100)</f>
        <v>0.420048522483101</v>
      </c>
      <c r="E15" s="72">
        <f>IF(11601.00029="","-",11601.00029/2706901.80962*100)</f>
        <v>0.42857115277589514</v>
      </c>
      <c r="F15" s="72">
        <f>IF(OR(2044610.75747="",8327.45022="",10186.05917=""),"-",(10186.05917-8327.45022)/2044610.75747*100)</f>
        <v>0.09090282554806868</v>
      </c>
      <c r="G15" s="72">
        <f>IF(OR(2424972.02699="",11601.00029="",10186.05917=""),"-",(11601.00029-10186.05917)/2424972.02699*100)</f>
        <v>0.0583487604909116</v>
      </c>
      <c r="J15" s="20"/>
    </row>
    <row r="16" spans="1:10" s="10" customFormat="1" ht="25.5">
      <c r="A16" s="21" t="s">
        <v>32</v>
      </c>
      <c r="B16" s="72">
        <f>IF(22037.49392="","-",22037.49392)</f>
        <v>22037.49392</v>
      </c>
      <c r="C16" s="72">
        <f>IF(OR(16204.28226="",22037.49392=""),"-",22037.49392/16204.28226*100)</f>
        <v>135.99796378762906</v>
      </c>
      <c r="D16" s="72">
        <f>IF(16204.28226="","-",16204.28226/2424972.02699*100)</f>
        <v>0.6682255333111445</v>
      </c>
      <c r="E16" s="72">
        <f>IF(22037.49392="","-",22037.49392/2706901.80962*100)</f>
        <v>0.8141223978528302</v>
      </c>
      <c r="F16" s="72">
        <f>IF(OR(2044610.75747="",15873.10716="",16204.28226=""),"-",(16204.28226-15873.10716)/2044610.75747*100)</f>
        <v>0.01619746442153108</v>
      </c>
      <c r="G16" s="72">
        <f>IF(OR(2424972.02699="",22037.49392="",16204.28226=""),"-",(22037.49392-16204.28226)/2424972.02699*100)</f>
        <v>0.240547585501037</v>
      </c>
      <c r="J16" s="20"/>
    </row>
    <row r="17" spans="1:10" s="10" customFormat="1" ht="15.75">
      <c r="A17" s="21" t="s">
        <v>33</v>
      </c>
      <c r="B17" s="72">
        <f>IF(2705.2177="","-",2705.2177)</f>
        <v>2705.2177</v>
      </c>
      <c r="C17" s="72">
        <f>IF(OR(3143.66329="",2705.2177=""),"-",2705.2177/3143.66329*100)</f>
        <v>86.05303591530632</v>
      </c>
      <c r="D17" s="72">
        <f>IF(3143.66329="","-",3143.66329/2424972.02699*100)</f>
        <v>0.12963709498546572</v>
      </c>
      <c r="E17" s="72">
        <f>IF(2705.2177="","-",2705.2177/2706901.80962*100)</f>
        <v>0.09993778460622345</v>
      </c>
      <c r="F17" s="72">
        <f>IF(OR(2044610.75747="",5764.83948="",3143.66329=""),"-",(3143.66329-5764.83948)/2044610.75747*100)</f>
        <v>-0.12819927609318857</v>
      </c>
      <c r="G17" s="72">
        <f>IF(OR(2424972.02699="",2705.2177="",3143.66329=""),"-",(2705.2177-3143.66329)/2424972.02699*100)</f>
        <v>-0.01808043907806314</v>
      </c>
      <c r="J17" s="20"/>
    </row>
    <row r="18" spans="1:10" s="10" customFormat="1" ht="15.75">
      <c r="A18" s="42" t="s">
        <v>34</v>
      </c>
      <c r="B18" s="71">
        <f>IF(218902.23791="","-",218902.23791)</f>
        <v>218902.23791</v>
      </c>
      <c r="C18" s="71">
        <f>IF(201210.99807="","-",218902.23791/201210.99807*100)</f>
        <v>108.79238213104301</v>
      </c>
      <c r="D18" s="71">
        <f>IF(201210.99807="","-",201210.99807/2424972.02699*100)</f>
        <v>8.297456458487623</v>
      </c>
      <c r="E18" s="71">
        <f>IF(218902.23791="","-",218902.23791/2706901.80962*100)</f>
        <v>8.086818558842735</v>
      </c>
      <c r="F18" s="71">
        <f>IF(2044610.75747="","-",(201210.99807-171660.56328)/2044610.75747*100)</f>
        <v>1.445284129609378</v>
      </c>
      <c r="G18" s="71">
        <f>IF(2424972.02699="","-",(218902.23791-201210.99807)/2424972.02699*100)</f>
        <v>0.7295440789871407</v>
      </c>
      <c r="J18" s="20"/>
    </row>
    <row r="19" spans="1:10" s="10" customFormat="1" ht="15.75">
      <c r="A19" s="21" t="s">
        <v>283</v>
      </c>
      <c r="B19" s="72">
        <f>IF(196085.2606="","-",196085.2606)</f>
        <v>196085.2606</v>
      </c>
      <c r="C19" s="72">
        <f>IF(OR(182586.06213="",196085.2606=""),"-",196085.2606/182586.06213*100)</f>
        <v>107.39333458015467</v>
      </c>
      <c r="D19" s="72">
        <f>IF(182586.06213="","-",182586.06213/2424972.02699*100)</f>
        <v>7.529409003395195</v>
      </c>
      <c r="E19" s="72">
        <f>IF(196085.2606="","-",196085.2606/2706901.80962*100)</f>
        <v>7.243900015254962</v>
      </c>
      <c r="F19" s="72">
        <f>IF(OR(2044610.75747="",158092.06618="",182586.06213=""),"-",(182586.06213-158092.06618)/2044610.75747*100)</f>
        <v>1.1979784347955238</v>
      </c>
      <c r="G19" s="72">
        <f>IF(OR(2424972.02699="",196085.2606="",182586.06213=""),"-",(196085.2606-182586.06213)/2424972.02699*100)</f>
        <v>0.556674399529297</v>
      </c>
      <c r="J19" s="20"/>
    </row>
    <row r="20" spans="1:7" s="10" customFormat="1" ht="15.75">
      <c r="A20" s="21" t="s">
        <v>35</v>
      </c>
      <c r="B20" s="72">
        <f>IF(22816.97731="","-",22816.97731)</f>
        <v>22816.97731</v>
      </c>
      <c r="C20" s="72">
        <f>IF(OR(18624.93594="",22816.97731=""),"-",22816.97731/18624.93594*100)</f>
        <v>122.50768208548264</v>
      </c>
      <c r="D20" s="72">
        <f>IF(18624.93594="","-",18624.93594/2424972.02699*100)</f>
        <v>0.7680474550924296</v>
      </c>
      <c r="E20" s="72">
        <f>IF(22816.97731="","-",22816.97731/2706901.80962*100)</f>
        <v>0.8429185435877738</v>
      </c>
      <c r="F20" s="72">
        <f>IF(OR(2044610.75747="",13568.4971="",18624.93594=""),"-",(18624.93594-13568.4971)/2044610.75747*100)</f>
        <v>0.2473056948138546</v>
      </c>
      <c r="G20" s="72">
        <f>IF(OR(2424972.02699="",22816.97731="",18624.93594=""),"-",(22816.97731-18624.93594)/2424972.02699*100)</f>
        <v>0.17286967945784415</v>
      </c>
    </row>
    <row r="21" spans="1:7" s="10" customFormat="1" ht="25.5">
      <c r="A21" s="42" t="s">
        <v>36</v>
      </c>
      <c r="B21" s="71">
        <f>IF(280008.50871="","-",280008.50871)</f>
        <v>280008.50871</v>
      </c>
      <c r="C21" s="71">
        <f>IF(276824.62098="","-",280008.50871/276824.62098*100)</f>
        <v>101.15014615344855</v>
      </c>
      <c r="D21" s="71">
        <f>IF(276824.62098="","-",276824.62098/2424972.02699*100)</f>
        <v>11.415579969539234</v>
      </c>
      <c r="E21" s="71">
        <f>IF(280008.50871="","-",280008.50871/2706901.80962*100)</f>
        <v>10.344243286360955</v>
      </c>
      <c r="F21" s="71">
        <f>IF(2044610.75747="","-",(276824.62098-231690.36679)/2044610.75747*100)</f>
        <v>2.207474162262997</v>
      </c>
      <c r="G21" s="71">
        <f>IF(2424972.02699="","-",(280008.50871-276824.62098)/2424972.02699*100)</f>
        <v>0.13129585391349943</v>
      </c>
    </row>
    <row r="22" spans="1:7" s="10" customFormat="1" ht="15.75">
      <c r="A22" s="21" t="s">
        <v>37</v>
      </c>
      <c r="B22" s="72">
        <f>IF(2946.41398="","-",2946.41398)</f>
        <v>2946.41398</v>
      </c>
      <c r="C22" s="72">
        <f>IF(OR(3653.74889="",2946.41398=""),"-",2946.41398/3653.74889*100)</f>
        <v>80.64084502534054</v>
      </c>
      <c r="D22" s="72">
        <f>IF(3653.74889="","-",3653.74889/2424972.02699*100)</f>
        <v>0.15067179535820133</v>
      </c>
      <c r="E22" s="72">
        <f>IF(2946.41398="","-",2946.41398/2706901.80962*100)</f>
        <v>0.10884820312021673</v>
      </c>
      <c r="F22" s="72">
        <f>IF(OR(2044610.75747="",3578.16014="",3653.74889=""),"-",(3653.74889-3578.16014)/2044610.75747*100)</f>
        <v>0.0036969750708703768</v>
      </c>
      <c r="G22" s="72">
        <f>IF(OR(2424972.02699="",2946.41398="",3653.74889=""),"-",(2946.41398-3653.74889)/2424972.02699*100)</f>
        <v>-0.029168786366495964</v>
      </c>
    </row>
    <row r="23" spans="1:7" s="10" customFormat="1" ht="15.75">
      <c r="A23" s="21" t="s">
        <v>38</v>
      </c>
      <c r="B23" s="72">
        <f>IF(240038.90708="","-",240038.90708)</f>
        <v>240038.90708</v>
      </c>
      <c r="C23" s="72">
        <f>IF(OR(240737.581="",240038.90708=""),"-",240038.90708/240737.581*100)</f>
        <v>99.70977779327275</v>
      </c>
      <c r="D23" s="72">
        <f>IF(240737.581="","-",240737.581/2424972.02699*100)</f>
        <v>9.927437443425518</v>
      </c>
      <c r="E23" s="72">
        <f>IF(240038.90708="","-",240038.90708/2706901.80962*100)</f>
        <v>8.867662145221926</v>
      </c>
      <c r="F23" s="72">
        <f>IF(OR(2044610.75747="",201499.9007="",240737.581=""),"-",(240737.581-201499.9007)/2044610.75747*100)</f>
        <v>1.9190782478593964</v>
      </c>
      <c r="G23" s="72">
        <f>IF(OR(2424972.02699="",240038.90708="",240737.581=""),"-",(240038.90708-240737.581)/2424972.02699*100)</f>
        <v>-0.02881162801977683</v>
      </c>
    </row>
    <row r="24" spans="1:8" s="10" customFormat="1" ht="15.75">
      <c r="A24" s="21" t="s">
        <v>40</v>
      </c>
      <c r="B24" s="72">
        <f>IF(800.16779="","-",800.16779)</f>
        <v>800.16779</v>
      </c>
      <c r="C24" s="72">
        <f>IF(OR(553.28088="",800.16779=""),"-",800.16779/553.28088*100)</f>
        <v>144.62234624843714</v>
      </c>
      <c r="D24" s="72">
        <f>IF(553.28088="","-",553.28088/2424972.02699*100)</f>
        <v>0.022815969579936174</v>
      </c>
      <c r="E24" s="72">
        <f>IF(800.16779="","-",800.16779/2706901.80962*100)</f>
        <v>0.02956028132074466</v>
      </c>
      <c r="F24" s="72">
        <f>IF(OR(2044610.75747="",1933.30242="",553.28088=""),"-",(553.28088-1933.30242)/2044610.75747*100)</f>
        <v>-0.06749556290643985</v>
      </c>
      <c r="G24" s="72">
        <f>IF(OR(2424972.02699="",800.16779="",553.28088=""),"-",(800.16779-553.28088)/2424972.02699*100)</f>
        <v>0.010181020945897205</v>
      </c>
      <c r="H24" s="7"/>
    </row>
    <row r="25" spans="1:8" s="10" customFormat="1" ht="15.75">
      <c r="A25" s="21" t="s">
        <v>201</v>
      </c>
      <c r="B25" s="72">
        <f>IF(3278.83104="","-",3278.83104)</f>
        <v>3278.83104</v>
      </c>
      <c r="C25" s="72">
        <f>IF(OR(3012.18274="",3278.83104=""),"-",3278.83104/3012.18274*100)</f>
        <v>108.8523281293352</v>
      </c>
      <c r="D25" s="72">
        <f>IF(3012.18274="","-",3012.18274/2424972.02699*100)</f>
        <v>0.12421515409144229</v>
      </c>
      <c r="E25" s="72">
        <f>IF(3278.83104="","-",3278.83104/2706901.80962*100)</f>
        <v>0.12112855473173918</v>
      </c>
      <c r="F25" s="72">
        <f>IF(OR(2044610.75747="",2635.26976="",3012.18274=""),"-",(3012.18274-2635.26976)/2044610.75747*100)</f>
        <v>0.018434461357642075</v>
      </c>
      <c r="G25" s="72">
        <f>IF(OR(2424972.02699="",3278.83104="",3012.18274=""),"-",(3278.83104-3012.18274)/2424972.02699*100)</f>
        <v>0.010995933026533811</v>
      </c>
      <c r="H25" s="8"/>
    </row>
    <row r="26" spans="1:8" s="10" customFormat="1" ht="38.25">
      <c r="A26" s="21" t="s">
        <v>215</v>
      </c>
      <c r="B26" s="72">
        <f>IF(469.61314="","-",469.61314)</f>
        <v>469.61314</v>
      </c>
      <c r="C26" s="72">
        <f>IF(OR(385.93626="",469.61314=""),"-",469.61314/385.93626*100)</f>
        <v>121.68152844721043</v>
      </c>
      <c r="D26" s="72">
        <f>IF(385.93626="","-",385.93626/2424972.02699*100)</f>
        <v>0.01591508090421331</v>
      </c>
      <c r="E26" s="72">
        <f>IF(469.61314="","-",469.61314/2706901.80962*100)</f>
        <v>0.017348731983223474</v>
      </c>
      <c r="F26" s="72">
        <f>IF(OR(2044610.75747="",788.7385="",385.93626=""),"-",(385.93626-788.7385)/2044610.75747*100)</f>
        <v>-0.01970068085225313</v>
      </c>
      <c r="G26" s="72">
        <f>IF(OR(2424972.02699="",469.61314="",385.93626=""),"-",(469.61314-385.93626)/2424972.02699*100)</f>
        <v>0.0034506327936435635</v>
      </c>
      <c r="H26" s="8"/>
    </row>
    <row r="27" spans="1:8" s="10" customFormat="1" ht="38.25">
      <c r="A27" s="21" t="s">
        <v>284</v>
      </c>
      <c r="B27" s="72">
        <f>IF(10565.97882="","-",10565.97882)</f>
        <v>10565.97882</v>
      </c>
      <c r="C27" s="72">
        <f>IF(OR(10087.23866="",10565.97882=""),"-",10565.97882/10087.23866*100)</f>
        <v>104.74599814811955</v>
      </c>
      <c r="D27" s="72">
        <f>IF(10087.23866="","-",10087.23866/2424972.02699*100)</f>
        <v>0.4159734028982099</v>
      </c>
      <c r="E27" s="72">
        <f>IF(10565.97882="","-",10565.97882/2706901.80962*100)</f>
        <v>0.3903347650974925</v>
      </c>
      <c r="F27" s="72">
        <f>IF(OR(2044610.75747="",7545.5741="",10087.23866=""),"-",(10087.23866-7545.5741)/2044610.75747*100)</f>
        <v>0.12431043663024913</v>
      </c>
      <c r="G27" s="72">
        <f>IF(OR(2424972.02699="",10565.97882="",10087.23866=""),"-",(10565.97882-10087.23866)/2424972.02699*100)</f>
        <v>0.019742089998218918</v>
      </c>
      <c r="H27" s="8"/>
    </row>
    <row r="28" spans="1:8" s="10" customFormat="1" ht="15" customHeight="1">
      <c r="A28" s="21" t="s">
        <v>216</v>
      </c>
      <c r="B28" s="72">
        <f>IF(17159.71488="","-",17159.71488)</f>
        <v>17159.71488</v>
      </c>
      <c r="C28" s="72">
        <f>IF(OR(15049.39127="",17159.71488=""),"-",17159.71488/15049.39127*100)</f>
        <v>114.02265096400805</v>
      </c>
      <c r="D28" s="72">
        <f>IF(15049.39127="","-",15049.39127/2424972.02699*100)</f>
        <v>0.620600613223571</v>
      </c>
      <c r="E28" s="72">
        <f>IF(17159.71488="","-",17159.71488/2706901.80962*100)</f>
        <v>0.6339245412972299</v>
      </c>
      <c r="F28" s="72">
        <f>IF(OR(2044610.75747="",10724.32964="",15049.39127=""),"-",(15049.39127-10724.32964)/2044610.75747*100)</f>
        <v>0.21153471946669342</v>
      </c>
      <c r="G28" s="72">
        <f>IF(OR(2424972.02699="",17159.71488="",15049.39127=""),"-",(17159.71488-15049.39127)/2424972.02699*100)</f>
        <v>0.08702465787283499</v>
      </c>
      <c r="H28" s="8"/>
    </row>
    <row r="29" spans="1:8" s="10" customFormat="1" ht="25.5">
      <c r="A29" s="21" t="s">
        <v>42</v>
      </c>
      <c r="B29" s="72">
        <f>IF(4747.82852="","-",4747.82852)</f>
        <v>4747.82852</v>
      </c>
      <c r="C29" s="72">
        <f>IF(OR(3344.79703="",4747.82852=""),"-",4747.82852/3344.79703*100)</f>
        <v>141.94668547645776</v>
      </c>
      <c r="D29" s="72">
        <f>IF(3344.79703="","-",3344.79703/2424972.02699*100)</f>
        <v>0.13793136550740892</v>
      </c>
      <c r="E29" s="72">
        <f>IF(4747.82852="","-",4747.82852/2706901.80962*100)</f>
        <v>0.17539714603340226</v>
      </c>
      <c r="F29" s="72">
        <f>IF(OR(2044610.75747="",2868.32694="",3344.79703=""),"-",(3344.79703-2868.32694)/2044610.75747*100)</f>
        <v>0.023303706500575398</v>
      </c>
      <c r="G29" s="72">
        <f>IF(OR(2424972.02699="",4747.82852="",3344.79703=""),"-",(4747.82852-3344.79703)/2424972.02699*100)</f>
        <v>0.05785763606277614</v>
      </c>
      <c r="H29" s="8"/>
    </row>
    <row r="30" spans="1:7" s="10" customFormat="1" ht="25.5">
      <c r="A30" s="42" t="s">
        <v>43</v>
      </c>
      <c r="B30" s="71">
        <f>IF(18470.94986="","-",18470.94986)</f>
        <v>18470.94986</v>
      </c>
      <c r="C30" s="71">
        <f>IF(18245.18148="","-",18470.94986/18245.18148*100)</f>
        <v>101.23741372618016</v>
      </c>
      <c r="D30" s="71">
        <f>IF(18245.18148="","-",18245.18148/2424972.02699*100)</f>
        <v>0.7523872967164432</v>
      </c>
      <c r="E30" s="71">
        <f>IF(18470.94986="","-",18470.94986/2706901.80962*100)</f>
        <v>0.6823649751297403</v>
      </c>
      <c r="F30" s="71">
        <f>IF(2044610.75747="","-",(18245.18148-6697.10618)/2044610.75747*100)</f>
        <v>0.5648055630055269</v>
      </c>
      <c r="G30" s="71">
        <f>IF(2424972.02699="","-",(18470.94986-18245.18148)/2424972.02699*100)</f>
        <v>0.009310143683605153</v>
      </c>
    </row>
    <row r="31" spans="1:7" s="10" customFormat="1" ht="15.75">
      <c r="A31" s="21" t="s">
        <v>223</v>
      </c>
      <c r="B31" s="72">
        <f>IF(18.25726="","-",18.25726)</f>
        <v>18.25726</v>
      </c>
      <c r="C31" s="72">
        <f>IF(OR(15.42444="",18.25726=""),"-",18.25726/15.42444*100)</f>
        <v>118.36578832035391</v>
      </c>
      <c r="D31" s="72">
        <f>IF(15.42444="","-",15.42444/2424972.02699*100)</f>
        <v>0.0006360667186394561</v>
      </c>
      <c r="E31" s="72">
        <f>IF(18.25726="","-",18.25726/2706901.80962*100)</f>
        <v>0.0006744707153808061</v>
      </c>
      <c r="F31" s="72" t="str">
        <f>IF(OR(2044610.75747="",""="",15.42444=""),"-",(15.42444-"")/2044610.75747*100)</f>
        <v>-</v>
      </c>
      <c r="G31" s="72">
        <f>IF(OR(2424972.02699="",18.25726="",15.42444=""),"-",(18.25726-15.42444)/2424972.02699*100)</f>
        <v>0.00011681866712154367</v>
      </c>
    </row>
    <row r="32" spans="1:7" s="10" customFormat="1" ht="25.5">
      <c r="A32" s="21" t="s">
        <v>44</v>
      </c>
      <c r="B32" s="72">
        <f>IF(18435.16956="","-",18435.16956)</f>
        <v>18435.16956</v>
      </c>
      <c r="C32" s="72">
        <f>IF(OR(18222.52386="",18435.16956=""),"-",18435.16956/18222.52386*100)</f>
        <v>101.1669387930767</v>
      </c>
      <c r="D32" s="72">
        <f>IF(18222.52386="","-",18222.52386/2424972.02699*100)</f>
        <v>0.751452951093161</v>
      </c>
      <c r="E32" s="72">
        <f>IF(18435.16956="","-",18435.16956/2706901.80962*100)</f>
        <v>0.6810431576972481</v>
      </c>
      <c r="F32" s="72">
        <f>IF(OR(2044610.75747="",6690.52587="",18222.52386=""),"-",(18222.52386-6690.52587)/2044610.75747*100)</f>
        <v>0.5640192368091463</v>
      </c>
      <c r="G32" s="72">
        <f>IF(OR(2424972.02699="",18435.16956="",18222.52386=""),"-",(18435.16956-18222.52386)/2424972.02699*100)</f>
        <v>0.008768995998025763</v>
      </c>
    </row>
    <row r="33" spans="1:7" s="10" customFormat="1" ht="15.75">
      <c r="A33" s="21" t="s">
        <v>46</v>
      </c>
      <c r="B33" s="72">
        <f>IF(8.14167="","-",8.14167)</f>
        <v>8.14167</v>
      </c>
      <c r="C33" s="72">
        <f>IF(OR(7.23318="",8.14167=""),"-",8.14167/7.23318*100)</f>
        <v>112.56003583486101</v>
      </c>
      <c r="D33" s="72">
        <f>IF(7.23318="","-",7.23318/2424972.02699*100)</f>
        <v>0.00029827890464279684</v>
      </c>
      <c r="E33" s="72">
        <f>IF(8.14167="","-",8.14167/2706901.80962*100)</f>
        <v>0.0003007744858371107</v>
      </c>
      <c r="F33" s="72">
        <f>IF(OR(2044610.75747="",6.58031="",7.23318=""),"-",(7.23318-6.58031)/2044610.75747*100)</f>
        <v>3.193126112707443E-05</v>
      </c>
      <c r="G33" s="72">
        <f>IF(OR(2424972.02699="",8.14167="",7.23318=""),"-",(8.14167-7.23318)/2424972.02699*100)</f>
        <v>3.7463937310966185E-05</v>
      </c>
    </row>
    <row r="34" spans="1:7" s="10" customFormat="1" ht="25.5">
      <c r="A34" s="42" t="s">
        <v>47</v>
      </c>
      <c r="B34" s="71">
        <f>IF(66841.31895="","-",66841.31895)</f>
        <v>66841.31895</v>
      </c>
      <c r="C34" s="71">
        <f>IF(53689.18063="","-",66841.31895/53689.18063*100)</f>
        <v>124.49681326045597</v>
      </c>
      <c r="D34" s="71">
        <f>IF(53689.18063="","-",53689.18063/2424972.02699*100)</f>
        <v>2.2140123693155247</v>
      </c>
      <c r="E34" s="71">
        <f>IF(66841.31895="","-",66841.31895/2706901.80962*100)</f>
        <v>2.469292336813034</v>
      </c>
      <c r="F34" s="71">
        <f>IF(2044610.75747="","-",(53689.18063-54310.39029)/2044610.75747*100)</f>
        <v>-0.030382783506856085</v>
      </c>
      <c r="G34" s="71">
        <f>IF(2424972.02699="","-",(66841.31895-53689.18063)/2424972.02699*100)</f>
        <v>0.5423624756746207</v>
      </c>
    </row>
    <row r="35" spans="1:7" s="10" customFormat="1" ht="25.5">
      <c r="A35" s="21" t="s">
        <v>49</v>
      </c>
      <c r="B35" s="72">
        <f>IF(66667.3926="","-",66667.3926)</f>
        <v>66667.3926</v>
      </c>
      <c r="C35" s="72">
        <f>IF(OR(53562.85513="",66667.3926=""),"-",66667.3926/53562.85513*100)</f>
        <v>124.46571871158581</v>
      </c>
      <c r="D35" s="72">
        <f>IF(53562.85513="","-",53562.85513/2424972.02699*100)</f>
        <v>2.2088030102551315</v>
      </c>
      <c r="E35" s="72">
        <f>IF(66667.3926="","-",66667.3926/2706901.80962*100)</f>
        <v>2.462867044643888</v>
      </c>
      <c r="F35" s="72">
        <f>IF(OR(2044610.75747="",54100.62913="",53562.85513=""),"-",(53562.85513-54100.62913)/2044610.75747*100)</f>
        <v>-0.026302023406422785</v>
      </c>
      <c r="G35" s="72">
        <f>IF(OR(2424972.02699="",66667.3926="",53562.85513=""),"-",(66667.3926-53562.85513)/2424972.02699*100)</f>
        <v>0.5403995313820601</v>
      </c>
    </row>
    <row r="36" spans="1:7" s="10" customFormat="1" ht="63.75">
      <c r="A36" s="21" t="s">
        <v>202</v>
      </c>
      <c r="B36" s="72">
        <f>IF(173.9088="","-",173.9088)</f>
        <v>173.9088</v>
      </c>
      <c r="C36" s="72">
        <f>IF(OR(126.3255="",173.9088=""),"-",173.9088/126.3255*100)</f>
        <v>137.667216832706</v>
      </c>
      <c r="D36" s="72">
        <f>IF(126.3255="","-",126.3255/2424972.02699*100)</f>
        <v>0.005209359060393027</v>
      </c>
      <c r="E36" s="72">
        <f>IF(173.9088="","-",173.9088/2706901.80962*100)</f>
        <v>0.006424643826456847</v>
      </c>
      <c r="F36" s="72">
        <f>IF(OR(2044610.75747="",184.12319="",126.3255=""),"-",(126.3255-184.12319)/2044610.75747*100)</f>
        <v>-0.002826830964712267</v>
      </c>
      <c r="G36" s="72">
        <f>IF(OR(2424972.02699="",173.9088="",126.3255=""),"-",(173.9088-126.3255)/2424972.02699*100)</f>
        <v>0.001962220572872457</v>
      </c>
    </row>
    <row r="37" spans="1:7" s="10" customFormat="1" ht="25.5">
      <c r="A37" s="42" t="s">
        <v>285</v>
      </c>
      <c r="B37" s="71">
        <f>IF(129824.44363="","-",129824.44363)</f>
        <v>129824.44363</v>
      </c>
      <c r="C37" s="71">
        <f>IF(127741.01565="","-",129824.44363/127741.01565*100)</f>
        <v>101.63097809219586</v>
      </c>
      <c r="D37" s="71">
        <f>IF(127741.01565="","-",127741.01565/2424972.02699*100)</f>
        <v>5.267731513115997</v>
      </c>
      <c r="E37" s="71">
        <f>IF(129824.44363="","-",129824.44363/2706901.80962*100)</f>
        <v>4.796052932862939</v>
      </c>
      <c r="F37" s="71">
        <f>IF(2044610.75747="","-",(127741.01565-113350.5433)/2044610.75747*100)</f>
        <v>0.7038245444725507</v>
      </c>
      <c r="G37" s="71">
        <f>IF(2424972.02699="","-",(129824.44363-127741.01565)/2424972.02699*100)</f>
        <v>0.08591554693461974</v>
      </c>
    </row>
    <row r="38" spans="1:7" s="10" customFormat="1" ht="15.75">
      <c r="A38" s="21" t="s">
        <v>51</v>
      </c>
      <c r="B38" s="72">
        <f>IF(26300.77018="","-",26300.77018)</f>
        <v>26300.77018</v>
      </c>
      <c r="C38" s="72">
        <f>IF(OR(23240.18381="",26300.77018=""),"-",26300.77018/23240.18381*100)</f>
        <v>113.1693724758023</v>
      </c>
      <c r="D38" s="72">
        <f>IF(23240.18381="","-",23240.18381/2424972.02699*100)</f>
        <v>0.9583691502968349</v>
      </c>
      <c r="E38" s="72">
        <f>IF(26300.77018="","-",26300.77018/2706901.80962*100)</f>
        <v>0.9716189219176795</v>
      </c>
      <c r="F38" s="72">
        <f>IF(OR(2044610.75747="",17932.04113="",23240.18381=""),"-",(23240.18381-17932.04113)/2044610.75747*100)</f>
        <v>0.2596162942313915</v>
      </c>
      <c r="G38" s="72">
        <f>IF(OR(2424972.02699="",26300.77018="",23240.18381=""),"-",(26300.77018-23240.18381)/2424972.02699*100)</f>
        <v>0.1262112030957717</v>
      </c>
    </row>
    <row r="39" spans="1:7" s="10" customFormat="1" ht="15.75">
      <c r="A39" s="21" t="s">
        <v>52</v>
      </c>
      <c r="B39" s="72">
        <f>IF(1081.96154="","-",1081.96154)</f>
        <v>1081.96154</v>
      </c>
      <c r="C39" s="72">
        <f>IF(OR(1132.73="",1081.96154=""),"-",1081.96154/1132.73*100)</f>
        <v>95.51804401755052</v>
      </c>
      <c r="D39" s="72">
        <f>IF(1132.73="","-",1132.73/2424972.02699*100)</f>
        <v>0.04671105428816029</v>
      </c>
      <c r="E39" s="72">
        <f>IF(1081.96154="","-",1081.96154/2706901.80962*100)</f>
        <v>0.039970476068058335</v>
      </c>
      <c r="F39" s="72">
        <f>IF(OR(2044610.75747="",899.85629="",1132.73=""),"-",(1132.73-899.85629)/2044610.75747*100)</f>
        <v>0.011389635369431288</v>
      </c>
      <c r="G39" s="72">
        <f>IF(OR(2424972.02699="",1081.96154="",1132.73=""),"-",(1081.96154-1132.73)/2424972.02699*100)</f>
        <v>-0.002093568892133425</v>
      </c>
    </row>
    <row r="40" spans="1:7" s="10" customFormat="1" ht="15.75">
      <c r="A40" s="21" t="s">
        <v>53</v>
      </c>
      <c r="B40" s="72">
        <f>IF(2745.62558="","-",2745.62558)</f>
        <v>2745.62558</v>
      </c>
      <c r="C40" s="72" t="s">
        <v>289</v>
      </c>
      <c r="D40" s="72">
        <f>IF(1098.02213="","-",1098.02213/2424972.02699*100)</f>
        <v>0.045279785406964944</v>
      </c>
      <c r="E40" s="72">
        <f>IF(2745.62558="","-",2745.62558/2706901.80962*100)</f>
        <v>0.10143055689136489</v>
      </c>
      <c r="F40" s="72">
        <f>IF(OR(2044610.75747="",1418.11717="",1098.02213=""),"-",(1098.02213-1418.11717)/2044610.75747*100)</f>
        <v>-0.01565554904915424</v>
      </c>
      <c r="G40" s="72">
        <f>IF(OR(2424972.02699="",2745.62558="",1098.02213=""),"-",(2745.62558-1098.02213)/2424972.02699*100)</f>
        <v>0.06794319405181304</v>
      </c>
    </row>
    <row r="41" spans="1:7" s="10" customFormat="1" ht="15.75">
      <c r="A41" s="21" t="s">
        <v>54</v>
      </c>
      <c r="B41" s="72">
        <f>IF(71809.18192="","-",71809.18192)</f>
        <v>71809.18192</v>
      </c>
      <c r="C41" s="72">
        <f>IF(OR(62581.23693="",71809.18192=""),"-",71809.18192/62581.23693*100)</f>
        <v>114.74554585797318</v>
      </c>
      <c r="D41" s="72">
        <f>IF(62581.23693="","-",62581.23693/2424972.02699*100)</f>
        <v>2.5806993331662897</v>
      </c>
      <c r="E41" s="72">
        <f>IF(71809.18192="","-",71809.18192/2706901.80962*100)</f>
        <v>2.6528181282674863</v>
      </c>
      <c r="F41" s="72">
        <f>IF(OR(2044610.75747="",48873.23855="",62581.23693=""),"-",(62581.23693-48873.23855)/2044610.75747*100)</f>
        <v>0.6704453808588127</v>
      </c>
      <c r="G41" s="72">
        <f>IF(OR(2424972.02699="",71809.18192="",62581.23693=""),"-",(71809.18192-62581.23693)/2424972.02699*100)</f>
        <v>0.38053820362844365</v>
      </c>
    </row>
    <row r="42" spans="1:7" s="10" customFormat="1" ht="38.25">
      <c r="A42" s="21" t="s">
        <v>224</v>
      </c>
      <c r="B42" s="72">
        <f>IF(20999.2955599999="","-",20999.2955599999)</f>
        <v>20999.2955599999</v>
      </c>
      <c r="C42" s="72">
        <f>IF(OR(27973.09051="",20999.2955599999=""),"-",20999.2955599999/27973.09051*100)</f>
        <v>75.0696300521136</v>
      </c>
      <c r="D42" s="72">
        <f>IF(27973.09051="","-",27973.09051/2424972.02699*100)</f>
        <v>1.1535428119854083</v>
      </c>
      <c r="E42" s="72">
        <f>IF(20999.2955599999="","-",20999.2955599999/2706901.80962*100)</f>
        <v>0.7757686475871033</v>
      </c>
      <c r="F42" s="72">
        <f>IF(OR(2044610.75747="",34970.92367="",27973.09051=""),"-",(27973.09051-34970.92367)/2044610.75747*100)</f>
        <v>-0.34225747538661627</v>
      </c>
      <c r="G42" s="72">
        <f>IF(OR(2424972.02699="",20999.2955599999="",27973.09051=""),"-",(20999.2955599999-27973.09051)/2424972.02699*100)</f>
        <v>-0.28758249053521384</v>
      </c>
    </row>
    <row r="43" spans="1:7" s="10" customFormat="1" ht="15.75">
      <c r="A43" s="21" t="s">
        <v>55</v>
      </c>
      <c r="B43" s="72">
        <f>IF(36.52661="","-",36.52661)</f>
        <v>36.52661</v>
      </c>
      <c r="C43" s="72">
        <f>IF(OR(54.51003="",36.52661=""),"-",36.52661/54.51003*100)</f>
        <v>67.00897064265054</v>
      </c>
      <c r="D43" s="72">
        <f>IF(54.51003="","-",54.51003/2424972.02699*100)</f>
        <v>0.002247862218339098</v>
      </c>
      <c r="E43" s="72">
        <f>IF(36.52661="","-",36.52661/2706901.80962*100)</f>
        <v>0.0013493880668367382</v>
      </c>
      <c r="F43" s="72">
        <f>IF(OR(2044610.75747="",21.44633="",54.51003=""),"-",(54.51003-21.44633)/2044610.75747*100)</f>
        <v>0.0016171146453769518</v>
      </c>
      <c r="G43" s="72">
        <f>IF(OR(2424972.02699="",36.52661="",54.51003=""),"-",(36.52661-54.51003)/2424972.02699*100)</f>
        <v>-0.0007415928843650187</v>
      </c>
    </row>
    <row r="44" spans="1:7" s="10" customFormat="1" ht="15.75">
      <c r="A44" s="21" t="s">
        <v>56</v>
      </c>
      <c r="B44" s="72">
        <f>IF(2214.5434="","-",2214.5434)</f>
        <v>2214.5434</v>
      </c>
      <c r="C44" s="72">
        <f>IF(OR(3475.78661="",2214.5434=""),"-",2214.5434/3475.78661*100)</f>
        <v>63.71344528541123</v>
      </c>
      <c r="D44" s="72">
        <f>IF(3475.78661="","-",3475.78661/2424972.02699*100)</f>
        <v>0.14333305998231763</v>
      </c>
      <c r="E44" s="72">
        <f>IF(2214.5434="","-",2214.5434/2706901.80962*100)</f>
        <v>0.08181099854194127</v>
      </c>
      <c r="F44" s="72">
        <f>IF(OR(2044610.75747="",2980.15044="",3475.78661=""),"-",(3475.78661-2980.15044)/2044610.75747*100)</f>
        <v>0.024241101548996058</v>
      </c>
      <c r="G44" s="72">
        <f>IF(OR(2424972.02699="",2214.5434="",3475.78661=""),"-",(2214.5434-3475.78661)/2424972.02699*100)</f>
        <v>-0.05201062923457802</v>
      </c>
    </row>
    <row r="45" spans="1:7" s="10" customFormat="1" ht="15.75">
      <c r="A45" s="21" t="s">
        <v>57</v>
      </c>
      <c r="B45" s="72">
        <f>IF(1946.7189="","-",1946.7189)</f>
        <v>1946.7189</v>
      </c>
      <c r="C45" s="72">
        <f>IF(OR(3261.40073="",1946.7189=""),"-",1946.7189/3261.40073*100)</f>
        <v>59.68965671998241</v>
      </c>
      <c r="D45" s="72">
        <f>IF(3261.40073="","-",3261.40073/2424972.02699*100)</f>
        <v>0.13449230315651178</v>
      </c>
      <c r="E45" s="72">
        <f>IF(1946.7189="","-",1946.7189/2706901.80962*100)</f>
        <v>0.0719168642571961</v>
      </c>
      <c r="F45" s="72">
        <f>IF(OR(2044610.75747="",3288.50089="",3261.40073=""),"-",(3261.40073-3288.50089)/2044610.75747*100)</f>
        <v>-0.001325443481160868</v>
      </c>
      <c r="G45" s="72">
        <f>IF(OR(2424972.02699="",1946.7189="",3261.40073=""),"-",(1946.7189-3261.40073)/2424972.02699*100)</f>
        <v>-0.054214309087591846</v>
      </c>
    </row>
    <row r="46" spans="1:7" s="10" customFormat="1" ht="15.75">
      <c r="A46" s="21" t="s">
        <v>58</v>
      </c>
      <c r="B46" s="72">
        <f>IF(2689.81994="","-",2689.81994)</f>
        <v>2689.81994</v>
      </c>
      <c r="C46" s="72">
        <f>IF(OR(4924.0549="",2689.81994=""),"-",2689.81994/4924.0549*100)</f>
        <v>54.626115967959656</v>
      </c>
      <c r="D46" s="72">
        <f>IF(4924.0549="","-",4924.0549/2424972.02699*100)</f>
        <v>0.20305615261517018</v>
      </c>
      <c r="E46" s="72">
        <f>IF(2689.81994="","-",2689.81994/2706901.80962*100)</f>
        <v>0.09936895126526964</v>
      </c>
      <c r="F46" s="72">
        <f>IF(OR(2044610.75747="",2966.26883="",4924.0549=""),"-",(4924.0549-2966.26883)/2044610.75747*100)</f>
        <v>0.09575348573547385</v>
      </c>
      <c r="G46" s="72">
        <f>IF(OR(2424972.02699="",2689.81994="",4924.0549=""),"-",(2689.81994-4924.0549)/2424972.02699*100)</f>
        <v>-0.09213446320753016</v>
      </c>
    </row>
    <row r="47" spans="1:7" s="10" customFormat="1" ht="25.5">
      <c r="A47" s="42" t="s">
        <v>232</v>
      </c>
      <c r="B47" s="71">
        <f>IF(179842.78537="","-",179842.78537)</f>
        <v>179842.78537</v>
      </c>
      <c r="C47" s="71">
        <f>IF(168502.21348="","-",179842.78537/168502.21348*100)</f>
        <v>106.73022131625946</v>
      </c>
      <c r="D47" s="71">
        <f>IF(168502.21348="","-",168502.21348/2424972.02699*100)</f>
        <v>6.948625039982568</v>
      </c>
      <c r="E47" s="71">
        <f>IF(179842.78537="","-",179842.78537/2706901.80962*100)</f>
        <v>6.64386069457195</v>
      </c>
      <c r="F47" s="71">
        <f>IF(2044610.75747="","-",(168502.21348-171874.9415)/2044610.75747*100)</f>
        <v>-0.16495697323696917</v>
      </c>
      <c r="G47" s="71">
        <f>IF(2424972.02699="","-",(179842.78537-168502.21348)/2424972.02699*100)</f>
        <v>0.4676578436278497</v>
      </c>
    </row>
    <row r="48" spans="1:7" s="10" customFormat="1" ht="15.75">
      <c r="A48" s="21" t="s">
        <v>59</v>
      </c>
      <c r="B48" s="72">
        <f>IF(1382.97503="","-",1382.97503)</f>
        <v>1382.97503</v>
      </c>
      <c r="C48" s="72">
        <f>IF(OR(2278.43551="",1382.97503=""),"-",1382.97503/2278.43551*100)</f>
        <v>60.69844961291005</v>
      </c>
      <c r="D48" s="72">
        <f>IF(2278.43551="","-",2278.43551/2424972.02699*100)</f>
        <v>0.09395718732591365</v>
      </c>
      <c r="E48" s="72">
        <f>IF(1382.97503="","-",1382.97503/2706901.80962*100)</f>
        <v>0.051090698047674826</v>
      </c>
      <c r="F48" s="72">
        <f>IF(OR(2044610.75747="",2350.56899="",2278.43551=""),"-",(2278.43551-2350.56899)/2044610.75747*100)</f>
        <v>-0.003527981046586018</v>
      </c>
      <c r="G48" s="72">
        <f>IF(OR(2424972.02699="",1382.97503="",2278.43551=""),"-",(1382.97503-2278.43551)/2424972.02699*100)</f>
        <v>-0.03692663131918644</v>
      </c>
    </row>
    <row r="49" spans="1:7" s="10" customFormat="1" ht="15.75">
      <c r="A49" s="21" t="s">
        <v>60</v>
      </c>
      <c r="B49" s="72">
        <f>IF(1299.37453="","-",1299.37453)</f>
        <v>1299.37453</v>
      </c>
      <c r="C49" s="72">
        <f>IF(OR(2176.49645="",1299.37453=""),"-",1299.37453/2176.49645*100)</f>
        <v>59.700282534345504</v>
      </c>
      <c r="D49" s="72">
        <f>IF(2176.49645="","-",2176.49645/2424972.02699*100)</f>
        <v>0.08975346625757077</v>
      </c>
      <c r="E49" s="72">
        <f>IF(1299.37453="","-",1299.37453/2706901.80962*100)</f>
        <v>0.048002277931995206</v>
      </c>
      <c r="F49" s="72">
        <f>IF(OR(2044610.75747="",12359.37123="",2176.49645=""),"-",(2176.49645-12359.37123)/2044610.75747*100)</f>
        <v>-0.498034882326467</v>
      </c>
      <c r="G49" s="72">
        <f>IF(OR(2424972.02699="",1299.37453="",2176.49645=""),"-",(1299.37453-2176.49645)/2424972.02699*100)</f>
        <v>-0.03617039331743256</v>
      </c>
    </row>
    <row r="50" spans="1:7" s="10" customFormat="1" ht="15.75">
      <c r="A50" s="21" t="s">
        <v>61</v>
      </c>
      <c r="B50" s="72">
        <f>IF(17130.65535="","-",17130.65535)</f>
        <v>17130.65535</v>
      </c>
      <c r="C50" s="72" t="s">
        <v>238</v>
      </c>
      <c r="D50" s="72">
        <f>IF(9966.44148="","-",9966.44148/2424972.02699*100)</f>
        <v>0.4109920184263263</v>
      </c>
      <c r="E50" s="72">
        <f>IF(17130.65535="","-",17130.65535/2706901.80962*100)</f>
        <v>0.6328510066054015</v>
      </c>
      <c r="F50" s="72">
        <f>IF(OR(2044610.75747="",7733.8581="",9966.44148=""),"-",(9966.44148-7733.8581)/2044610.75747*100)</f>
        <v>0.10919356517338276</v>
      </c>
      <c r="G50" s="72">
        <f>IF(OR(2424972.02699="",17130.65535="",9966.44148=""),"-",(17130.65535-9966.44148)/2424972.02699*100)</f>
        <v>0.29543490771283626</v>
      </c>
    </row>
    <row r="51" spans="1:7" s="10" customFormat="1" ht="25.5">
      <c r="A51" s="21" t="s">
        <v>217</v>
      </c>
      <c r="B51" s="72">
        <f>IF(9438.10759="","-",9438.10759)</f>
        <v>9438.10759</v>
      </c>
      <c r="C51" s="72">
        <f>IF(OR(7437.19929="",9438.10759=""),"-",9438.10759/7437.19929*100)</f>
        <v>126.90405651345668</v>
      </c>
      <c r="D51" s="72">
        <f>IF(7437.19929="","-",7437.19929/2424972.02699*100)</f>
        <v>0.3066921682899342</v>
      </c>
      <c r="E51" s="72">
        <f>IF(9438.10759="","-",9438.10759/2706901.80962*100)</f>
        <v>0.34866826555947145</v>
      </c>
      <c r="F51" s="72">
        <f>IF(OR(2044610.75747="",6495.12913="",7437.19929=""),"-",(7437.19929-6495.12913)/2044610.75747*100)</f>
        <v>0.046075770488741646</v>
      </c>
      <c r="G51" s="72">
        <f>IF(OR(2424972.02699="",9438.10759="",7437.19929=""),"-",(9438.10759-7437.19929)/2424972.02699*100)</f>
        <v>0.08251263427906962</v>
      </c>
    </row>
    <row r="52" spans="1:7" s="10" customFormat="1" ht="25.5">
      <c r="A52" s="21" t="s">
        <v>218</v>
      </c>
      <c r="B52" s="72">
        <f>IF(71063.64061="","-",71063.64061)</f>
        <v>71063.64061</v>
      </c>
      <c r="C52" s="72">
        <f>IF(OR(80412.13727="",71063.64061=""),"-",71063.64061/80412.13727*100)</f>
        <v>88.37427162443086</v>
      </c>
      <c r="D52" s="72">
        <f>IF(80412.13727="","-",80412.13727/2424972.02699*100)</f>
        <v>3.316002674464319</v>
      </c>
      <c r="E52" s="72">
        <f>IF(71063.64061="","-",71063.64061/2706901.80962*100)</f>
        <v>2.62527589133261</v>
      </c>
      <c r="F52" s="72">
        <f>IF(OR(2044610.75747="",75270.19446="",80412.13727=""),"-",(80412.13727-75270.19446)/2044610.75747*100)</f>
        <v>0.2514876140220765</v>
      </c>
      <c r="G52" s="72">
        <f>IF(OR(2424972.02699="",71063.64061="",80412.13727=""),"-",(71063.64061-80412.13727)/2424972.02699*100)</f>
        <v>-0.38550946385983015</v>
      </c>
    </row>
    <row r="53" spans="1:7" s="10" customFormat="1" ht="15.75">
      <c r="A53" s="21" t="s">
        <v>62</v>
      </c>
      <c r="B53" s="72">
        <f>IF(49643.62908="","-",49643.62908)</f>
        <v>49643.62908</v>
      </c>
      <c r="C53" s="72">
        <f>IF(OR(33118.2327="",49643.62908=""),"-",49643.62908/33118.2327*100)</f>
        <v>149.8981830633734</v>
      </c>
      <c r="D53" s="72">
        <f>IF(33118.2327="","-",33118.2327/2424972.02699*100)</f>
        <v>1.3657160714182774</v>
      </c>
      <c r="E53" s="72">
        <f>IF(49643.62908="","-",49643.62908/2706901.80962*100)</f>
        <v>1.8339649005210523</v>
      </c>
      <c r="F53" s="72">
        <f>IF(OR(2044610.75747="",35023.66856="",33118.2327=""),"-",(33118.2327-35023.66856)/2044610.75747*100)</f>
        <v>-0.09319308592300389</v>
      </c>
      <c r="G53" s="72">
        <f>IF(OR(2424972.02699="",49643.62908="",33118.2327=""),"-",(49643.62908-33118.2327)/2424972.02699*100)</f>
        <v>0.6814675054422037</v>
      </c>
    </row>
    <row r="54" spans="1:7" s="10" customFormat="1" ht="15.75">
      <c r="A54" s="21" t="s">
        <v>219</v>
      </c>
      <c r="B54" s="72">
        <f>IF(4152.63822="","-",4152.63822)</f>
        <v>4152.63822</v>
      </c>
      <c r="C54" s="72">
        <f>IF(OR(3015.43258="",4152.63822=""),"-",4152.63822/3015.43258*100)</f>
        <v>137.71285246244835</v>
      </c>
      <c r="D54" s="72">
        <f>IF(3015.43258="","-",3015.43258/2424972.02699*100)</f>
        <v>0.12434916965796551</v>
      </c>
      <c r="E54" s="72">
        <f>IF(4152.63822="","-",4152.63822/2706901.80962*100)</f>
        <v>0.15340926683199324</v>
      </c>
      <c r="F54" s="72">
        <f>IF(OR(2044610.75747="",3369.09362="",3015.43258=""),"-",(3015.43258-3369.09362)/2044610.75747*100)</f>
        <v>-0.017297230717773386</v>
      </c>
      <c r="G54" s="72">
        <f>IF(OR(2424972.02699="",4152.63822="",3015.43258=""),"-",(4152.63822-3015.43258)/2424972.02699*100)</f>
        <v>0.04689561889138811</v>
      </c>
    </row>
    <row r="55" spans="1:7" s="10" customFormat="1" ht="15.75">
      <c r="A55" s="21" t="s">
        <v>63</v>
      </c>
      <c r="B55" s="72">
        <f>IF(2149.39983="","-",2149.39983)</f>
        <v>2149.39983</v>
      </c>
      <c r="C55" s="72">
        <f>IF(OR(3442.22184="",2149.39983=""),"-",2149.39983/3442.22184*100)</f>
        <v>62.442222782480506</v>
      </c>
      <c r="D55" s="72">
        <f>IF(3442.22184="","-",3442.22184/2424972.02699*100)</f>
        <v>0.14194892978920925</v>
      </c>
      <c r="E55" s="72">
        <f>IF(2149.39983="","-",2149.39983/2706901.80962*100)</f>
        <v>0.07940442547126364</v>
      </c>
      <c r="F55" s="72">
        <f>IF(OR(2044610.75747="",2104.18423="",3442.22184=""),"-",(3442.22184-2104.18423)/2044610.75747*100)</f>
        <v>0.06544216815408362</v>
      </c>
      <c r="G55" s="72">
        <f>IF(OR(2424972.02699="",2149.39983="",3442.22184=""),"-",(2149.39983-3442.22184)/2424972.02699*100)</f>
        <v>-0.05331286281288437</v>
      </c>
    </row>
    <row r="56" spans="1:7" ht="15.75">
      <c r="A56" s="21" t="s">
        <v>64</v>
      </c>
      <c r="B56" s="72">
        <f>IF(23582.36513="","-",23582.36513)</f>
        <v>23582.36513</v>
      </c>
      <c r="C56" s="72">
        <f>IF(OR(26655.61636="",23582.36513=""),"-",23582.36513/26655.61636*100)</f>
        <v>88.47053023087551</v>
      </c>
      <c r="D56" s="72">
        <f>IF(26655.61636="","-",26655.61636/2424972.02699*100)</f>
        <v>1.099213354353053</v>
      </c>
      <c r="E56" s="72">
        <f>IF(23582.36513="","-",23582.36513/2706901.80962*100)</f>
        <v>0.8711939622704872</v>
      </c>
      <c r="F56" s="72">
        <f>IF(OR(2044610.75747="",27168.87318="",26655.61636=""),"-",(26655.61636-27168.87318)/2044610.75747*100)</f>
        <v>-0.02510291106142385</v>
      </c>
      <c r="G56" s="72">
        <f>IF(OR(2424972.02699="",23582.36513="",26655.61636=""),"-",(23582.36513-26655.61636)/2424972.02699*100)</f>
        <v>-0.12673347138831448</v>
      </c>
    </row>
    <row r="57" spans="1:7" ht="25.5">
      <c r="A57" s="42" t="s">
        <v>65</v>
      </c>
      <c r="B57" s="71">
        <f>IF(586434.10094="","-",586434.10094)</f>
        <v>586434.10094</v>
      </c>
      <c r="C57" s="71">
        <f>IF(431394.6172="","-",586434.10094/431394.6172*100)</f>
        <v>135.93913265452773</v>
      </c>
      <c r="D57" s="71">
        <f>IF(431394.6172="","-",431394.6172/2424972.02699*100)</f>
        <v>17.789673959062906</v>
      </c>
      <c r="E57" s="71">
        <f>IF(586434.10094="","-",586434.10094/2706901.80962*100)</f>
        <v>21.664402412229528</v>
      </c>
      <c r="F57" s="71">
        <f>IF(2044610.75747="","-",(431394.6172-325027.23554)/2044610.75747*100)</f>
        <v>5.202329160765</v>
      </c>
      <c r="G57" s="71">
        <f>IF(2424972.02699="","-",(586434.10094-431394.6172)/2424972.02699*100)</f>
        <v>6.393454522955591</v>
      </c>
    </row>
    <row r="58" spans="1:7" ht="25.5">
      <c r="A58" s="21" t="s">
        <v>66</v>
      </c>
      <c r="B58" s="72">
        <f>IF(3007.46431="","-",3007.46431)</f>
        <v>3007.46431</v>
      </c>
      <c r="C58" s="72">
        <f>IF(OR(3206.37417="",3007.46431=""),"-",3007.46431/3206.37417*100)</f>
        <v>93.79642395260439</v>
      </c>
      <c r="D58" s="72">
        <f>IF(3206.37417="","-",3206.37417/2424972.02699*100)</f>
        <v>0.13222314048628084</v>
      </c>
      <c r="E58" s="72">
        <f>IF(3007.46431="","-",3007.46431/2706901.80962*100)</f>
        <v>0.11110356124894659</v>
      </c>
      <c r="F58" s="72">
        <f>IF(OR(2044610.75747="",2518.32372="",3206.37417=""),"-",(3206.37417-2518.32372)/2044610.75747*100)</f>
        <v>0.033651904035337916</v>
      </c>
      <c r="G58" s="72">
        <f>IF(OR(2424972.02699="",3007.46431="",3206.37417=""),"-",(3007.46431-3206.37417)/2424972.02699*100)</f>
        <v>-0.008202563072321182</v>
      </c>
    </row>
    <row r="59" spans="1:7" ht="25.5">
      <c r="A59" s="21" t="s">
        <v>67</v>
      </c>
      <c r="B59" s="72">
        <f>IF(13380.52533="","-",13380.52533)</f>
        <v>13380.52533</v>
      </c>
      <c r="C59" s="72">
        <f>IF(OR(10081.25088="",13380.52533=""),"-",13380.52533/10081.25088*100)</f>
        <v>132.72683607691351</v>
      </c>
      <c r="D59" s="72">
        <f>IF(10081.25088="","-",10081.25088/2424972.02699*100)</f>
        <v>0.41572648128701783</v>
      </c>
      <c r="E59" s="72">
        <f>IF(13380.52533="","-",13380.52533/2706901.80962*100)</f>
        <v>0.4943114405719202</v>
      </c>
      <c r="F59" s="72">
        <f>IF(OR(2044610.75747="",10694.26136="",10081.25088=""),"-",(10081.25088-10694.26136)/2044610.75747*100)</f>
        <v>-0.02998176928104103</v>
      </c>
      <c r="G59" s="72">
        <f>IF(OR(2424972.02699="",13380.52533="",10081.25088=""),"-",(13380.52533-10081.25088)/2424972.02699*100)</f>
        <v>0.13605412405912284</v>
      </c>
    </row>
    <row r="60" spans="1:7" s="1" customFormat="1" ht="25.5">
      <c r="A60" s="21" t="s">
        <v>68</v>
      </c>
      <c r="B60" s="72">
        <f>IF(2268.02272="","-",2268.02272)</f>
        <v>2268.02272</v>
      </c>
      <c r="C60" s="72">
        <f>IF(OR(1526.46676="",2268.02272=""),"-",2268.02272/1526.46676*100)</f>
        <v>148.57989570634345</v>
      </c>
      <c r="D60" s="72">
        <f>IF(1526.46676="","-",1526.46676/2424972.02699*100)</f>
        <v>0.06294780900605805</v>
      </c>
      <c r="E60" s="72">
        <f>IF(2268.02272="","-",2268.02272/2706901.80962*100)</f>
        <v>0.08378666385089119</v>
      </c>
      <c r="F60" s="72">
        <f>IF(OR(2044610.75747="",2161.84939="",1526.46676=""),"-",(1526.46676-2161.84939)/2044610.75747*100)</f>
        <v>-0.031075970214801272</v>
      </c>
      <c r="G60" s="72">
        <f>IF(OR(2424972.02699="",2268.02272="",1526.46676=""),"-",(2268.02272-1526.46676)/2424972.02699*100)</f>
        <v>0.03057997996457127</v>
      </c>
    </row>
    <row r="61" spans="1:7" s="1" customFormat="1" ht="38.25">
      <c r="A61" s="21" t="s">
        <v>69</v>
      </c>
      <c r="B61" s="72">
        <f>IF(20220.48371="","-",20220.48371)</f>
        <v>20220.48371</v>
      </c>
      <c r="C61" s="72">
        <f>IF(OR(29619.13826="",20220.48371=""),"-",20220.48371/29619.13826*100)</f>
        <v>68.2683052170607</v>
      </c>
      <c r="D61" s="72">
        <f>IF(29619.13826="","-",29619.13826/2424972.02699*100)</f>
        <v>1.2214218527198764</v>
      </c>
      <c r="E61" s="72">
        <f>IF(20220.48371="","-",20220.48371/2706901.80962*100)</f>
        <v>0.7469973102880518</v>
      </c>
      <c r="F61" s="72">
        <f>IF(OR(2044610.75747="",28456.66281="",29619.13826=""),"-",(29619.13826-28456.66281)/2044610.75747*100)</f>
        <v>0.056855587096609254</v>
      </c>
      <c r="G61" s="72">
        <f>IF(OR(2424972.02699="",20220.48371="",29619.13826=""),"-",(20220.48371-29619.13826)/2424972.02699*100)</f>
        <v>-0.3875778543171936</v>
      </c>
    </row>
    <row r="62" spans="1:7" ht="25.5">
      <c r="A62" s="21" t="s">
        <v>70</v>
      </c>
      <c r="B62" s="72">
        <f>IF(1158.27364="","-",1158.27364)</f>
        <v>1158.27364</v>
      </c>
      <c r="C62" s="72">
        <f>IF(OR(1008.13373="",1158.27364=""),"-",1158.27364/1008.13373*100)</f>
        <v>114.89285652608805</v>
      </c>
      <c r="D62" s="72">
        <f>IF(1008.13373="","-",1008.13373/2424972.02699*100)</f>
        <v>0.04157300450394669</v>
      </c>
      <c r="E62" s="72">
        <f>IF(1158.27364="","-",1158.27364/2706901.80962*100)</f>
        <v>0.042789643713105376</v>
      </c>
      <c r="F62" s="72">
        <f>IF(OR(2044610.75747="",2252.19203="",1008.13373=""),"-",(1008.13373-2252.19203)/2044610.75747*100)</f>
        <v>-0.0608457279927157</v>
      </c>
      <c r="G62" s="72">
        <f>IF(OR(2424972.02699="",1158.27364="",1008.13373=""),"-",(1158.27364-1008.13373)/2424972.02699*100)</f>
        <v>0.006191407914356902</v>
      </c>
    </row>
    <row r="63" spans="1:7" ht="38.25">
      <c r="A63" s="21" t="s">
        <v>71</v>
      </c>
      <c r="B63" s="72">
        <f>IF(3740.42402="","-",3740.42402)</f>
        <v>3740.42402</v>
      </c>
      <c r="C63" s="72">
        <f>IF(OR(3820.90403="",3740.42402=""),"-",3740.42402/3820.90403*100)</f>
        <v>97.89369192819008</v>
      </c>
      <c r="D63" s="72">
        <f>IF(3820.90403="","-",3820.90403/2424972.02699*100)</f>
        <v>0.15756487033554373</v>
      </c>
      <c r="E63" s="72">
        <f>IF(3740.42402="","-",3740.42402/2706901.80962*100)</f>
        <v>0.13818100112486487</v>
      </c>
      <c r="F63" s="72">
        <f>IF(OR(2044610.75747="",2962.75578="",3820.90403=""),"-",(3820.90403-2962.75578)/2044610.75747*100)</f>
        <v>0.04197122835555615</v>
      </c>
      <c r="G63" s="72">
        <f>IF(OR(2424972.02699="",3740.42402="",3820.90403=""),"-",(3740.42402-3820.90403)/2424972.02699*100)</f>
        <v>-0.003318801582214379</v>
      </c>
    </row>
    <row r="64" spans="1:7" ht="51">
      <c r="A64" s="21" t="s">
        <v>286</v>
      </c>
      <c r="B64" s="72">
        <f>IF(521348.37595="","-",521348.37595)</f>
        <v>521348.37595</v>
      </c>
      <c r="C64" s="72" t="s">
        <v>230</v>
      </c>
      <c r="D64" s="72">
        <f>IF(341499.26323="","-",341499.26323/2424972.02699*100)</f>
        <v>14.08260629108726</v>
      </c>
      <c r="E64" s="72">
        <f>IF(521348.37595="","-",521348.37595/2706901.80962*100)</f>
        <v>19.259966286815107</v>
      </c>
      <c r="F64" s="72">
        <f>IF(OR(2044610.75747="",249090.03869="",341499.26323=""),"-",(341499.26323-249090.03869)/2044610.75747*100)</f>
        <v>4.519648749884653</v>
      </c>
      <c r="G64" s="72">
        <f>IF(OR(2424972.02699="",521348.37595="",341499.26323=""),"-",(521348.37595-341499.26323)/2424972.02699*100)</f>
        <v>7.416543808269739</v>
      </c>
    </row>
    <row r="65" spans="1:7" ht="25.5">
      <c r="A65" s="21" t="s">
        <v>72</v>
      </c>
      <c r="B65" s="72">
        <f>IF(20230.84418="","-",20230.84418)</f>
        <v>20230.84418</v>
      </c>
      <c r="C65" s="72">
        <f>IF(OR(25060.18287="",20230.84418=""),"-",20230.84418/25060.18287*100)</f>
        <v>80.72903651560624</v>
      </c>
      <c r="D65" s="72">
        <f>IF(25060.18287="","-",25060.18287/2424972.02699*100)</f>
        <v>1.0334215236744806</v>
      </c>
      <c r="E65" s="72">
        <f>IF(20230.84418="","-",20230.84418/2706901.80962*100)</f>
        <v>0.7473800530223165</v>
      </c>
      <c r="F65" s="72">
        <f>IF(OR(2044610.75747="",26344.99128="",25060.18287=""),"-",(25060.18287-26344.99128)/2044610.75747*100)</f>
        <v>-0.06283877776275709</v>
      </c>
      <c r="G65" s="72">
        <f>IF(OR(2424972.02699="",20230.84418="",25060.18287=""),"-",(20230.84418-25060.18287)/2424972.02699*100)</f>
        <v>-0.19915028446717478</v>
      </c>
    </row>
    <row r="66" spans="1:7" ht="15.75">
      <c r="A66" s="21" t="s">
        <v>73</v>
      </c>
      <c r="B66" s="72">
        <f>IF(1079.68708="","-",1079.68708)</f>
        <v>1079.68708</v>
      </c>
      <c r="C66" s="72">
        <f>IF(OR(15572.90327="",1079.68708=""),"-",1079.68708/15572.90327*100)</f>
        <v>6.933113635142998</v>
      </c>
      <c r="D66" s="72">
        <f>IF(15572.90327="","-",15572.90327/2424972.02699*100)</f>
        <v>0.6421889859624438</v>
      </c>
      <c r="E66" s="72">
        <f>IF(1079.68708="","-",1079.68708/2706901.80962*100)</f>
        <v>0.03988645159432541</v>
      </c>
      <c r="F66" s="72">
        <f>IF(OR(2044610.75747="",546.16048="",15572.90327=""),"-",(15572.90327-546.16048)/2044610.75747*100)</f>
        <v>0.7349439366441601</v>
      </c>
      <c r="G66" s="72">
        <f>IF(OR(2424972.02699="",1079.68708="",15572.90327=""),"-",(1079.68708-15572.90327)/2424972.02699*100)</f>
        <v>-0.597665293813295</v>
      </c>
    </row>
    <row r="67" spans="1:7" ht="15.75">
      <c r="A67" s="42" t="s">
        <v>74</v>
      </c>
      <c r="B67" s="71">
        <f>IF(612449.73318="","-",612449.73318)</f>
        <v>612449.73318</v>
      </c>
      <c r="C67" s="71">
        <f>IF(537146.69816="","-",612449.73318/537146.69816*100)</f>
        <v>114.01908180352798</v>
      </c>
      <c r="D67" s="71">
        <f>IF(537146.69816="","-",537146.69816/2424972.02699*100)</f>
        <v>22.150634818939917</v>
      </c>
      <c r="E67" s="71">
        <f>IF(612449.73318="","-",612449.73318/2706901.80962*100)</f>
        <v>22.625487596315022</v>
      </c>
      <c r="F67" s="71">
        <f>IF(2044610.75747="","-",(537146.69816-471159.79683)/2044610.75747*100)</f>
        <v>3.227357632200477</v>
      </c>
      <c r="G67" s="71">
        <f>IF(2424972.02699="","-",(612449.73318-537146.69816)/2424972.02699*100)</f>
        <v>3.1053156152679398</v>
      </c>
    </row>
    <row r="68" spans="1:7" ht="38.25">
      <c r="A68" s="21" t="s">
        <v>203</v>
      </c>
      <c r="B68" s="72">
        <f>IF(8457.2675="","-",8457.2675)</f>
        <v>8457.2675</v>
      </c>
      <c r="C68" s="72">
        <f>IF(OR(9100.55684="",8457.2675=""),"-",8457.2675/9100.55684*100)</f>
        <v>92.93131891476655</v>
      </c>
      <c r="D68" s="72">
        <f>IF(9100.55684="","-",9100.55684/2424972.02699*100)</f>
        <v>0.37528502344400555</v>
      </c>
      <c r="E68" s="72">
        <f>IF(8457.2675="","-",8457.2675/2706901.80962*100)</f>
        <v>0.3124334791141629</v>
      </c>
      <c r="F68" s="72">
        <f>IF(OR(2044610.75747="",6215.65646="",9100.55684=""),"-",(9100.55684-6215.65646)/2044610.75747*100)</f>
        <v>0.1410977795876303</v>
      </c>
      <c r="G68" s="72">
        <f>IF(OR(2424972.02699="",8457.2675="",9100.55684=""),"-",(8457.2675-9100.55684)/2424972.02699*100)</f>
        <v>-0.026527701467900358</v>
      </c>
    </row>
    <row r="69" spans="1:7" ht="15.75">
      <c r="A69" s="21" t="s">
        <v>287</v>
      </c>
      <c r="B69" s="72">
        <f>IF(157820.52656="","-",157820.52656)</f>
        <v>157820.52656</v>
      </c>
      <c r="C69" s="72">
        <f>IF(OR(135013.25102="",157820.52656=""),"-",157820.52656/135013.25102*100)</f>
        <v>116.89262007076732</v>
      </c>
      <c r="D69" s="72">
        <f>IF(135013.25102="","-",135013.25102/2424972.02699*100)</f>
        <v>5.56762096705855</v>
      </c>
      <c r="E69" s="72">
        <f>IF(157820.52656="","-",157820.52656/2706901.80962*100)</f>
        <v>5.83030112134563</v>
      </c>
      <c r="F69" s="72">
        <f>IF(OR(2044610.75747="",122319.53766="",135013.25102=""),"-",(135013.25102-122319.53766)/2044610.75747*100)</f>
        <v>0.6208376491037926</v>
      </c>
      <c r="G69" s="72">
        <f>IF(OR(2424972.02699="",157820.52656="",135013.25102=""),"-",(157820.52656-135013.25102)/2424972.02699*100)</f>
        <v>0.9405170569455832</v>
      </c>
    </row>
    <row r="70" spans="1:7" ht="15.75">
      <c r="A70" s="21" t="s">
        <v>76</v>
      </c>
      <c r="B70" s="72">
        <f>IF(16399.62238="","-",16399.62238)</f>
        <v>16399.62238</v>
      </c>
      <c r="C70" s="72">
        <f>IF(OR(12454.89035="",16399.62238=""),"-",16399.62238/12454.89035*100)</f>
        <v>131.67215382189215</v>
      </c>
      <c r="D70" s="72">
        <f>IF(12454.89035="","-",12454.89035/2424972.02699*100)</f>
        <v>0.5136096503950047</v>
      </c>
      <c r="E70" s="72">
        <f>IF(16399.62238="","-",16399.62238/2706901.80962*100)</f>
        <v>0.6058447455211614</v>
      </c>
      <c r="F70" s="72">
        <f>IF(OR(2044610.75747="",14667.92031="",12454.89035=""),"-",(12454.89035-14667.92031)/2044610.75747*100)</f>
        <v>-0.10823722568780778</v>
      </c>
      <c r="G70" s="72">
        <f>IF(OR(2424972.02699="",16399.62238="",12454.89035=""),"-",(16399.62238-12454.89035)/2424972.02699*100)</f>
        <v>0.16267123851718837</v>
      </c>
    </row>
    <row r="71" spans="1:7" ht="15.75">
      <c r="A71" s="21" t="s">
        <v>77</v>
      </c>
      <c r="B71" s="72">
        <f>IF(309206.51217="","-",309206.51217)</f>
        <v>309206.51217</v>
      </c>
      <c r="C71" s="72">
        <f>IF(OR(278069.39513="",309206.51217=""),"-",309206.51217/278069.39513*100)</f>
        <v>111.19760663536636</v>
      </c>
      <c r="D71" s="72">
        <f>IF(278069.39513="","-",278069.39513/2424972.02699*100)</f>
        <v>11.46691145444486</v>
      </c>
      <c r="E71" s="72">
        <f>IF(309206.51217="","-",309206.51217/2706901.80962*100)</f>
        <v>11.422893548303733</v>
      </c>
      <c r="F71" s="72">
        <f>IF(OR(2044610.75747="",243970.50286="",278069.39513=""),"-",(278069.39513-243970.50286)/2044610.75747*100)</f>
        <v>1.6677449311767272</v>
      </c>
      <c r="G71" s="72">
        <f>IF(OR(2424972.02699="",309206.51217="",278069.39513=""),"-",(309206.51217-278069.39513)/2424972.02699*100)</f>
        <v>1.2840196378945028</v>
      </c>
    </row>
    <row r="72" spans="1:7" ht="15.75">
      <c r="A72" s="21" t="s">
        <v>78</v>
      </c>
      <c r="B72" s="72">
        <f>IF(36019.71433="","-",36019.71433)</f>
        <v>36019.71433</v>
      </c>
      <c r="C72" s="72">
        <f>IF(OR(33292.61498="",36019.71433=""),"-",36019.71433/33292.61498*100)</f>
        <v>108.19130414249005</v>
      </c>
      <c r="D72" s="72">
        <f>IF(33292.61498="","-",33292.61498/2424972.02699*100)</f>
        <v>1.3729071762252245</v>
      </c>
      <c r="E72" s="72">
        <f>IF(36019.71433="","-",36019.71433/2706901.80962*100)</f>
        <v>1.3306620211339149</v>
      </c>
      <c r="F72" s="72">
        <f>IF(OR(2044610.75747="",28907.08592="",33292.61498=""),"-",(33292.61498-28907.08592)/2044610.75747*100)</f>
        <v>0.2144921249180283</v>
      </c>
      <c r="G72" s="72">
        <f>IF(OR(2424972.02699="",36019.71433="",33292.61498=""),"-",(36019.71433-33292.61498)/2424972.02699*100)</f>
        <v>0.11245900239868004</v>
      </c>
    </row>
    <row r="73" spans="1:7" ht="25.5">
      <c r="A73" s="21" t="s">
        <v>288</v>
      </c>
      <c r="B73" s="72">
        <f>IF(23281.98251="","-",23281.98251)</f>
        <v>23281.98251</v>
      </c>
      <c r="C73" s="72">
        <f>IF(OR(23712.04119="",23281.98251=""),"-",23281.98251/23712.04119*100)</f>
        <v>98.1863278806155</v>
      </c>
      <c r="D73" s="72">
        <f>IF(23712.04119="","-",23712.04119/2424972.02699*100)</f>
        <v>0.9778274110416276</v>
      </c>
      <c r="E73" s="72">
        <f>IF(23281.98251="","-",23281.98251/2706901.80962*100)</f>
        <v>0.860097046271079</v>
      </c>
      <c r="F73" s="72">
        <f>IF(OR(2044610.75747="",24337.48544="",23712.04119=""),"-",(23712.04119-24337.48544)/2044610.75747*100)</f>
        <v>-0.03058989334350978</v>
      </c>
      <c r="G73" s="72">
        <f>IF(OR(2424972.02699="",23281.98251="",23712.04119=""),"-",(23281.98251-23712.04119)/2424972.02699*100)</f>
        <v>-0.017734583129761262</v>
      </c>
    </row>
    <row r="74" spans="1:7" ht="25.5">
      <c r="A74" s="21" t="s">
        <v>79</v>
      </c>
      <c r="B74" s="72">
        <f>IF(3799.74397="","-",3799.74397)</f>
        <v>3799.74397</v>
      </c>
      <c r="C74" s="72">
        <f>IF(OR(3128.31851="",3799.74397=""),"-",3799.74397/3128.31851*100)</f>
        <v>121.46282285047758</v>
      </c>
      <c r="D74" s="72">
        <f>IF(3128.31851="","-",3128.31851/2424972.02699*100)</f>
        <v>0.12900431325317308</v>
      </c>
      <c r="E74" s="72">
        <f>IF(3799.74397="","-",3799.74397/2706901.80962*100)</f>
        <v>0.1403724345115206</v>
      </c>
      <c r="F74" s="72">
        <f>IF(OR(2044610.75747="",2045.31728="",3128.31851=""),"-",(3128.31851-2045.31728)/2044610.75747*100)</f>
        <v>0.05296857732178349</v>
      </c>
      <c r="G74" s="72">
        <f>IF(OR(2424972.02699="",3799.74397="",3128.31851=""),"-",(3799.74397-3128.31851)/2424972.02699*100)</f>
        <v>0.02768796722300371</v>
      </c>
    </row>
    <row r="75" spans="1:7" ht="15.75">
      <c r="A75" s="40" t="s">
        <v>80</v>
      </c>
      <c r="B75" s="75">
        <f>IF(57464.36376="","-",57464.36376)</f>
        <v>57464.36376</v>
      </c>
      <c r="C75" s="75">
        <f>IF(OR(42375.63014="",57464.36376=""),"-",57464.36376/42375.63014*100)</f>
        <v>135.60710146409636</v>
      </c>
      <c r="D75" s="75">
        <f>IF(42375.63014="","-",42375.63014/2424972.02699*100)</f>
        <v>1.7474688230774689</v>
      </c>
      <c r="E75" s="75">
        <f>IF(57464.36376="","-",57464.36376/2706901.80962*100)</f>
        <v>2.1228832001138214</v>
      </c>
      <c r="F75" s="75">
        <f>IF(OR(2044610.75747="",28696.2909="",42375.63014=""),"-",(42375.63014-28696.2909)/2044610.75747*100)</f>
        <v>0.6690436891238314</v>
      </c>
      <c r="G75" s="75">
        <f>IF(OR(2424972.02699="",57464.36376="",42375.63014=""),"-",(57464.36376-42375.63014)/2424972.02699*100)</f>
        <v>0.622222996886645</v>
      </c>
    </row>
    <row r="76" spans="1:7" ht="25.5">
      <c r="A76" s="38" t="s">
        <v>192</v>
      </c>
      <c r="B76" s="76">
        <f>IF(1071.34655="","-",1071.34655)</f>
        <v>1071.34655</v>
      </c>
      <c r="C76" s="76" t="s">
        <v>238</v>
      </c>
      <c r="D76" s="76">
        <f>IF(643.1558="","-",643.1558/2424972.02699*100)</f>
        <v>0.026522194600253516</v>
      </c>
      <c r="E76" s="76">
        <f>IF(1071.34655="","-",1071.34655/2706901.80962*100)</f>
        <v>0.03957833070237585</v>
      </c>
      <c r="F76" s="76">
        <f>IF(2044610.75747="","-",(643.1558-386.05286)/2044610.75747*100)</f>
        <v>0.012574664349225034</v>
      </c>
      <c r="G76" s="76">
        <f>IF(2424972.02699="","-",(1071.34655-643.1558)/2424972.02699*100)</f>
        <v>0.01765755419997534</v>
      </c>
    </row>
    <row r="77" ht="15.75">
      <c r="A77" s="57" t="s">
        <v>19</v>
      </c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85"/>
  <sheetViews>
    <sheetView zoomScalePageLayoutView="0" workbookViewId="0" topLeftCell="A1">
      <selection activeCell="B6" sqref="B6:G80"/>
    </sheetView>
  </sheetViews>
  <sheetFormatPr defaultColWidth="9.00390625" defaultRowHeight="15.75"/>
  <cols>
    <col min="1" max="1" width="28.75390625" style="0" customWidth="1"/>
    <col min="2" max="2" width="12.375" style="0" customWidth="1"/>
    <col min="3" max="3" width="10.375" style="0" customWidth="1"/>
    <col min="4" max="5" width="7.75390625" style="0" customWidth="1"/>
    <col min="6" max="6" width="10.125" style="0" customWidth="1"/>
    <col min="7" max="7" width="9.50390625" style="0" customWidth="1"/>
    <col min="8" max="8" width="13.00390625" style="0" customWidth="1"/>
  </cols>
  <sheetData>
    <row r="1" spans="1:7" ht="15.75">
      <c r="A1" s="90" t="s">
        <v>185</v>
      </c>
      <c r="B1" s="90"/>
      <c r="C1" s="90"/>
      <c r="D1" s="90"/>
      <c r="E1" s="90"/>
      <c r="F1" s="90"/>
      <c r="G1" s="90"/>
    </row>
    <row r="2" spans="1:7" ht="15.75">
      <c r="A2" s="90" t="s">
        <v>22</v>
      </c>
      <c r="B2" s="90"/>
      <c r="C2" s="90"/>
      <c r="D2" s="90"/>
      <c r="E2" s="90"/>
      <c r="F2" s="90"/>
      <c r="G2" s="90"/>
    </row>
    <row r="3" ht="15.75">
      <c r="A3" s="5"/>
    </row>
    <row r="4" spans="1:7" ht="55.5" customHeight="1">
      <c r="A4" s="92"/>
      <c r="B4" s="94">
        <v>2018</v>
      </c>
      <c r="C4" s="95"/>
      <c r="D4" s="94" t="s">
        <v>0</v>
      </c>
      <c r="E4" s="95"/>
      <c r="F4" s="96" t="s">
        <v>170</v>
      </c>
      <c r="G4" s="97"/>
    </row>
    <row r="5" spans="1:14" ht="25.5" customHeight="1">
      <c r="A5" s="93"/>
      <c r="B5" s="64" t="s">
        <v>145</v>
      </c>
      <c r="C5" s="64" t="s">
        <v>250</v>
      </c>
      <c r="D5" s="28">
        <v>2017</v>
      </c>
      <c r="E5" s="28">
        <v>2018</v>
      </c>
      <c r="F5" s="28" t="s">
        <v>141</v>
      </c>
      <c r="G5" s="24" t="s">
        <v>159</v>
      </c>
      <c r="H5" s="1"/>
      <c r="I5" s="1"/>
      <c r="J5" s="1"/>
      <c r="K5" s="1"/>
      <c r="L5" s="1"/>
      <c r="M5" s="1"/>
      <c r="N5" s="1"/>
    </row>
    <row r="6" spans="1:14" ht="15.75">
      <c r="A6" s="56" t="s">
        <v>197</v>
      </c>
      <c r="B6" s="74">
        <f>IF(5764278.95119="","-",5764278.95119)</f>
        <v>5764278.95119</v>
      </c>
      <c r="C6" s="74">
        <f>IF(4831335.29052="","-",5764278.95119/4831335.29052*100)</f>
        <v>119.31026526974051</v>
      </c>
      <c r="D6" s="74">
        <v>100</v>
      </c>
      <c r="E6" s="74">
        <v>100</v>
      </c>
      <c r="F6" s="74">
        <f>IF(4020356.96103="","-",(4831335.29052-4020356.96103)/4020356.96103*100)</f>
        <v>20.171799105177737</v>
      </c>
      <c r="G6" s="74">
        <f>IF(4831335.29052="","-",(5764278.95119-4831335.29052)/4831335.29052*100)</f>
        <v>19.310265269740505</v>
      </c>
      <c r="H6" s="33"/>
      <c r="I6" s="33"/>
      <c r="J6" s="33"/>
      <c r="K6" s="33"/>
      <c r="L6" s="33"/>
      <c r="M6" s="33"/>
      <c r="N6" s="1"/>
    </row>
    <row r="7" spans="1:14" ht="15.75">
      <c r="A7" s="53" t="s">
        <v>191</v>
      </c>
      <c r="B7" s="54"/>
      <c r="C7" s="54"/>
      <c r="D7" s="54"/>
      <c r="E7" s="54"/>
      <c r="F7" s="54"/>
      <c r="G7" s="54"/>
      <c r="H7" s="1"/>
      <c r="I7" s="1"/>
      <c r="J7" s="1"/>
      <c r="K7" s="1"/>
      <c r="L7" s="1"/>
      <c r="M7" s="1"/>
      <c r="N7" s="1"/>
    </row>
    <row r="8" spans="1:10" ht="15.75">
      <c r="A8" s="42" t="s">
        <v>23</v>
      </c>
      <c r="B8" s="71">
        <f>IF(561385.72212="","-",561385.72212)</f>
        <v>561385.72212</v>
      </c>
      <c r="C8" s="71">
        <f>IF(509922.94093="","-",561385.72212/509922.94093*100)</f>
        <v>110.09226631305154</v>
      </c>
      <c r="D8" s="71">
        <f>IF(509922.94093="","-",509922.94093/4831335.29052*100)</f>
        <v>10.554492914837972</v>
      </c>
      <c r="E8" s="71">
        <f>IF(561385.72212="","-",561385.72212/5764278.95119*100)</f>
        <v>9.73904501974363</v>
      </c>
      <c r="F8" s="71">
        <f>IF(4020356.96103="","-",(509922.94093-440645.31271)/4020356.96103*100)</f>
        <v>1.723171073900147</v>
      </c>
      <c r="G8" s="71">
        <f>IF(4831335.29052="","-",(561385.72212-509922.94093)/4831335.29052*100)</f>
        <v>1.0651875329576037</v>
      </c>
      <c r="J8" s="1"/>
    </row>
    <row r="9" spans="1:10" ht="15.75">
      <c r="A9" s="21" t="s">
        <v>24</v>
      </c>
      <c r="B9" s="72">
        <f>IF(4835.41029="","-",4835.41029)</f>
        <v>4835.41029</v>
      </c>
      <c r="C9" s="72">
        <f>IF(OR(6318.23115="",4835.41029=""),"-",4835.41029/6318.23115*100)</f>
        <v>76.53107610664101</v>
      </c>
      <c r="D9" s="72">
        <f>IF(6318.23115="","-",6318.23115/4831335.29052*100)</f>
        <v>0.1307760850793687</v>
      </c>
      <c r="E9" s="72">
        <f>IF(4835.41029="","-",4835.41029/5764278.95119*100)</f>
        <v>0.0838857787928837</v>
      </c>
      <c r="F9" s="72">
        <f>IF(OR(4020356.96103="",6619.23672="",6318.23115=""),"-",(6318.23115-6619.23672)/4020356.96103*100)</f>
        <v>-0.007487035925359319</v>
      </c>
      <c r="G9" s="72">
        <f>IF(OR(4831335.29052="",4835.41029="",6318.23115=""),"-",(4835.41029-6318.23115)/4831335.29052*100)</f>
        <v>-0.030691739877991422</v>
      </c>
      <c r="J9" s="1"/>
    </row>
    <row r="10" spans="1:10" s="10" customFormat="1" ht="15.75">
      <c r="A10" s="21" t="s">
        <v>25</v>
      </c>
      <c r="B10" s="72">
        <f>IF(39973.74493="","-",39973.74493)</f>
        <v>39973.74493</v>
      </c>
      <c r="C10" s="72">
        <f>IF(OR(36930.39198="",39973.74493=""),"-",39973.74493/36930.39198*100)</f>
        <v>108.2407816078642</v>
      </c>
      <c r="D10" s="72">
        <f>IF(36930.39198="","-",36930.39198/4831335.29052*100)</f>
        <v>0.7643930664978782</v>
      </c>
      <c r="E10" s="72">
        <f>IF(39973.74493="","-",39973.74493/5764278.95119*100)</f>
        <v>0.6934734642178909</v>
      </c>
      <c r="F10" s="72">
        <f>IF(OR(4020356.96103="",25283.15744="",36930.39198=""),"-",(36930.39198-25283.15744)/4020356.96103*100)</f>
        <v>0.2897064776311809</v>
      </c>
      <c r="G10" s="72">
        <f>IF(OR(4831335.29052="",39973.74493="",36930.39198=""),"-",(39973.74493-36930.39198)/4831335.29052*100)</f>
        <v>0.0629919632357464</v>
      </c>
      <c r="J10" s="77"/>
    </row>
    <row r="11" spans="1:7" s="10" customFormat="1" ht="15.75">
      <c r="A11" s="21" t="s">
        <v>26</v>
      </c>
      <c r="B11" s="72">
        <f>IF(57915.69255="","-",57915.69255)</f>
        <v>57915.69255</v>
      </c>
      <c r="C11" s="72">
        <f>IF(OR(50766.26852="",57915.69255=""),"-",57915.69255/50766.26852*100)</f>
        <v>114.08302055366428</v>
      </c>
      <c r="D11" s="72">
        <f>IF(50766.26852="","-",50766.26852/4831335.29052*100)</f>
        <v>1.050770966354024</v>
      </c>
      <c r="E11" s="72">
        <f>IF(57915.69255="","-",57915.69255/5764278.95119*100)</f>
        <v>1.0047343829195439</v>
      </c>
      <c r="F11" s="72">
        <f>IF(OR(4020356.96103="",39716.62916="",50766.26852=""),"-",(50766.26852-39716.62916)/4020356.96103*100)</f>
        <v>0.2748422457783233</v>
      </c>
      <c r="G11" s="72">
        <f>IF(OR(4831335.29052="",57915.69255="",50766.26852=""),"-",(57915.69255-50766.26852)/4831335.29052*100)</f>
        <v>0.14798029116357403</v>
      </c>
    </row>
    <row r="12" spans="1:7" s="10" customFormat="1" ht="15.75">
      <c r="A12" s="21" t="s">
        <v>27</v>
      </c>
      <c r="B12" s="72">
        <f>IF(52307.85162="","-",52307.85162)</f>
        <v>52307.85162</v>
      </c>
      <c r="C12" s="72">
        <f>IF(OR(47191.62739="",52307.85162=""),"-",52307.85162/47191.62739*100)</f>
        <v>110.84138122154299</v>
      </c>
      <c r="D12" s="72">
        <f>IF(47191.62739="","-",47191.62739/4831335.29052*100)</f>
        <v>0.976782287964964</v>
      </c>
      <c r="E12" s="72">
        <f>IF(52307.85162="","-",52307.85162/5764278.95119*100)</f>
        <v>0.9074483046869438</v>
      </c>
      <c r="F12" s="72">
        <f>IF(OR(4020356.96103="",43170.21679="",47191.62739=""),"-",(47191.62739-43170.21679)/4020356.96103*100)</f>
        <v>0.10002620759748987</v>
      </c>
      <c r="G12" s="72">
        <f>IF(OR(4831335.29052="",52307.85162="",47191.62739=""),"-",(52307.85162-47191.62739)/4831335.29052*100)</f>
        <v>0.10589669154279162</v>
      </c>
    </row>
    <row r="13" spans="1:7" s="10" customFormat="1" ht="15.75">
      <c r="A13" s="21" t="s">
        <v>28</v>
      </c>
      <c r="B13" s="72">
        <f>IF(73847.93147="","-",73847.93147)</f>
        <v>73847.93147</v>
      </c>
      <c r="C13" s="72">
        <f>IF(OR(64809.78872="",73847.93147=""),"-",73847.93147/64809.78872*100)</f>
        <v>113.94564452145926</v>
      </c>
      <c r="D13" s="72">
        <f>IF(64809.78872="","-",64809.78872/4831335.29052*100)</f>
        <v>1.3414467186156411</v>
      </c>
      <c r="E13" s="72">
        <f>IF(73847.93147="","-",73847.93147/5764278.95119*100)</f>
        <v>1.281130425770851</v>
      </c>
      <c r="F13" s="72">
        <f>IF(OR(4020356.96103="",58188.63086="",64809.78872=""),"-",(64809.78872-58188.63086)/4020356.96103*100)</f>
        <v>0.16469079547363585</v>
      </c>
      <c r="G13" s="72">
        <f>IF(OR(4831335.29052="",73847.93147="",64809.78872=""),"-",(73847.93147-64809.78872)/4831335.29052*100)</f>
        <v>0.18707339082291713</v>
      </c>
    </row>
    <row r="14" spans="1:9" s="10" customFormat="1" ht="15.75">
      <c r="A14" s="21" t="s">
        <v>29</v>
      </c>
      <c r="B14" s="72">
        <f>IF(149666.63337="","-",149666.63337)</f>
        <v>149666.63337</v>
      </c>
      <c r="C14" s="72">
        <f>IF(OR(109955.58431="",149666.63337=""),"-",149666.63337/109955.58431*100)</f>
        <v>136.11553638607552</v>
      </c>
      <c r="D14" s="72">
        <f>IF(109955.58431="","-",109955.58431/4831335.29052*100)</f>
        <v>2.2758839471512937</v>
      </c>
      <c r="E14" s="72">
        <f>IF(149666.63337="","-",149666.63337/5764278.95119*100)</f>
        <v>2.5964502175784228</v>
      </c>
      <c r="F14" s="72">
        <f>IF(OR(4020356.96103="",95022.22207="",109955.58431=""),"-",(109955.58431-95022.22207)/4020356.96103*100)</f>
        <v>0.37144368982037185</v>
      </c>
      <c r="G14" s="72">
        <f>IF(OR(4831335.29052="",149666.63337="",109955.58431=""),"-",(149666.63337-109955.58431)/4831335.29052*100)</f>
        <v>0.821947695038277</v>
      </c>
      <c r="I14" s="77"/>
    </row>
    <row r="15" spans="1:7" s="10" customFormat="1" ht="15" customHeight="1">
      <c r="A15" s="21" t="s">
        <v>30</v>
      </c>
      <c r="B15" s="72">
        <f>IF(18339.62277="","-",18339.62277)</f>
        <v>18339.62277</v>
      </c>
      <c r="C15" s="72">
        <f>IF(OR(36156.58577="",18339.62277=""),"-",18339.62277/36156.58577*100)</f>
        <v>50.72277257222897</v>
      </c>
      <c r="D15" s="72">
        <f>IF(36156.58577="","-",36156.58577/4831335.29052*100)</f>
        <v>0.7483766618505262</v>
      </c>
      <c r="E15" s="72">
        <f>IF(18339.62277="","-",18339.62277/5764278.95119*100)</f>
        <v>0.31815987611449476</v>
      </c>
      <c r="F15" s="72">
        <f>IF(OR(4020356.96103="",26358.48825="",36156.58577=""),"-",(36156.58577-26358.48825)/4020356.96103*100)</f>
        <v>0.24371212842477957</v>
      </c>
      <c r="G15" s="72">
        <f>IF(OR(4831335.29052="",18339.62277="",36156.58577=""),"-",(18339.62277-36156.58577)/4831335.29052*100)</f>
        <v>-0.36877926967644475</v>
      </c>
    </row>
    <row r="16" spans="1:7" s="10" customFormat="1" ht="25.5">
      <c r="A16" s="21" t="s">
        <v>31</v>
      </c>
      <c r="B16" s="72">
        <f>IF(56634.50374="","-",56634.50374)</f>
        <v>56634.50374</v>
      </c>
      <c r="C16" s="72">
        <f>IF(OR(53573.55183="",56634.50374=""),"-",56634.50374/53573.55183*100)</f>
        <v>105.7135504468941</v>
      </c>
      <c r="D16" s="72">
        <f>IF(53573.55183="","-",53573.55183/4831335.29052*100)</f>
        <v>1.108876710236226</v>
      </c>
      <c r="E16" s="72">
        <f>IF(56634.50374="","-",56634.50374/5764278.95119*100)</f>
        <v>0.9825080330005221</v>
      </c>
      <c r="F16" s="72">
        <f>IF(OR(4020356.96103="",49570.5642="",53573.55183=""),"-",(53573.55183-49570.5642)/4020356.96103*100)</f>
        <v>0.09956796545186491</v>
      </c>
      <c r="G16" s="72">
        <f>IF(OR(4831335.29052="",56634.50374="",53573.55183=""),"-",(56634.50374-53573.55183)/4831335.29052*100)</f>
        <v>0.06335623023320641</v>
      </c>
    </row>
    <row r="17" spans="1:7" s="10" customFormat="1" ht="25.5">
      <c r="A17" s="21" t="s">
        <v>32</v>
      </c>
      <c r="B17" s="72">
        <f>IF(34924.86342="","-",34924.86342)</f>
        <v>34924.86342</v>
      </c>
      <c r="C17" s="72">
        <f>IF(OR(31892.69203="",34924.86342=""),"-",34924.86342/31892.69203*100)</f>
        <v>109.50741752106651</v>
      </c>
      <c r="D17" s="72">
        <f>IF(31892.69203="","-",31892.69203/4831335.29052*100)</f>
        <v>0.6601216871157656</v>
      </c>
      <c r="E17" s="72">
        <f>IF(34924.86342="","-",34924.86342/5764278.95119*100)</f>
        <v>0.6058843389733937</v>
      </c>
      <c r="F17" s="72">
        <f>IF(OR(4020356.96103="",27448.83442="",31892.69203=""),"-",(31892.69203-27448.83442)/4020356.96103*100)</f>
        <v>0.11053390664249624</v>
      </c>
      <c r="G17" s="72">
        <f>IF(OR(4831335.29052="",34924.86342="",31892.69203=""),"-",(34924.86342-31892.69203)/4831335.29052*100)</f>
        <v>0.06276052494120417</v>
      </c>
    </row>
    <row r="18" spans="1:7" s="10" customFormat="1" ht="15.75" customHeight="1">
      <c r="A18" s="21" t="s">
        <v>33</v>
      </c>
      <c r="B18" s="72">
        <f>IF(72939.46796="","-",72939.46796)</f>
        <v>72939.46796</v>
      </c>
      <c r="C18" s="72">
        <f>IF(OR(72328.21923="",72939.46796=""),"-",72939.46796/72328.21923*100)</f>
        <v>100.84510407764395</v>
      </c>
      <c r="D18" s="72">
        <f>IF(72328.21923="","-",72328.21923/4831335.29052*100)</f>
        <v>1.4970647839722848</v>
      </c>
      <c r="E18" s="72">
        <f>IF(72939.46796="","-",72939.46796/5764278.95119*100)</f>
        <v>1.265370197688682</v>
      </c>
      <c r="F18" s="72">
        <f>IF(OR(4020356.96103="",69267.3328="",72328.21923=""),"-",(72328.21923-69267.3328)/4020356.96103*100)</f>
        <v>0.07613469300536466</v>
      </c>
      <c r="G18" s="72">
        <f>IF(OR(4831335.29052="",72939.46796="",72328.21923=""),"-",(72939.46796-72328.21923)/4831335.29052*100)</f>
        <v>0.012651755534321506</v>
      </c>
    </row>
    <row r="19" spans="1:7" s="10" customFormat="1" ht="15.75">
      <c r="A19" s="42" t="s">
        <v>34</v>
      </c>
      <c r="B19" s="71">
        <f>IF(125215.30886="","-",125215.30886)</f>
        <v>125215.30886</v>
      </c>
      <c r="C19" s="71">
        <f>IF(123438.38416="","-",125215.30886/123438.38416*100)</f>
        <v>101.43952362313556</v>
      </c>
      <c r="D19" s="71">
        <f>IF(123438.38416="","-",123438.38416/4831335.29052*100)</f>
        <v>2.5549537909780264</v>
      </c>
      <c r="E19" s="71">
        <f>IF(125215.30886="","-",125215.30886/5764278.95119*100)</f>
        <v>2.1722631732482354</v>
      </c>
      <c r="F19" s="71">
        <f>IF(4020356.96103="","-",(123438.38416-108817.02552)/4020356.96103*100)</f>
        <v>0.36368309535017185</v>
      </c>
      <c r="G19" s="71">
        <f>IF(4831335.29052="","-",(125215.30886-123438.38416)/4831335.29052*100)</f>
        <v>0.03677916338132582</v>
      </c>
    </row>
    <row r="20" spans="1:7" s="10" customFormat="1" ht="15.75">
      <c r="A20" s="21" t="s">
        <v>283</v>
      </c>
      <c r="B20" s="72">
        <f>IF(61701.29804="","-",61701.29804)</f>
        <v>61701.29804</v>
      </c>
      <c r="C20" s="72">
        <f>IF(OR(55563.36552="",61701.29804=""),"-",61701.29804/55563.36552*100)</f>
        <v>111.04672559438585</v>
      </c>
      <c r="D20" s="72">
        <f>IF(55563.36552="","-",55563.36552/4831335.29052*100)</f>
        <v>1.1500622949731083</v>
      </c>
      <c r="E20" s="72">
        <f>IF(61701.29804="","-",61701.29804/5764278.95119*100)</f>
        <v>1.0704079133308102</v>
      </c>
      <c r="F20" s="72">
        <f>IF(OR(4020356.96103="",49916.4362="",55563.36552=""),"-",(55563.36552-49916.4362)/4020356.96103*100)</f>
        <v>0.1404584064235252</v>
      </c>
      <c r="G20" s="72">
        <f>IF(OR(4831335.29052="",61701.29804="",55563.36552=""),"-",(61701.29804-55563.36552)/4831335.29052*100)</f>
        <v>0.12704422589017564</v>
      </c>
    </row>
    <row r="21" spans="1:7" s="10" customFormat="1" ht="15.75">
      <c r="A21" s="21" t="s">
        <v>35</v>
      </c>
      <c r="B21" s="72">
        <f>IF(63514.01082="","-",63514.01082)</f>
        <v>63514.01082</v>
      </c>
      <c r="C21" s="72">
        <f>IF(OR(67875.01864="",63514.01082=""),"-",63514.01082/67875.01864*100)</f>
        <v>93.57494420277041</v>
      </c>
      <c r="D21" s="72">
        <f>IF(67875.01864="","-",67875.01864/4831335.29052*100)</f>
        <v>1.4048914960049181</v>
      </c>
      <c r="E21" s="72">
        <f>IF(63514.01082="","-",63514.01082/5764278.95119*100)</f>
        <v>1.1018552599174252</v>
      </c>
      <c r="F21" s="72">
        <f>IF(OR(4020356.96103="",58900.58932="",67875.01864=""),"-",(67875.01864-58900.58932)/4020356.96103*100)</f>
        <v>0.2232246889266465</v>
      </c>
      <c r="G21" s="72">
        <f>IF(OR(4831335.29052="",63514.01082="",67875.01864=""),"-",(63514.01082-67875.01864)/4831335.29052*100)</f>
        <v>-0.09026506250884966</v>
      </c>
    </row>
    <row r="22" spans="1:7" s="10" customFormat="1" ht="25.5">
      <c r="A22" s="42" t="s">
        <v>36</v>
      </c>
      <c r="B22" s="71">
        <f>IF(140554.47145="","-",140554.47145)</f>
        <v>140554.47145</v>
      </c>
      <c r="C22" s="71">
        <f>IF(111079.75018="","-",140554.47145/111079.75018*100)</f>
        <v>126.53473852996382</v>
      </c>
      <c r="D22" s="71">
        <f>IF(111079.75018="","-",111079.75018/4831335.29052*100)</f>
        <v>2.2991521701662814</v>
      </c>
      <c r="E22" s="71">
        <f>IF(140554.47145="","-",140554.47145/5764278.95119*100)</f>
        <v>2.438370395329036</v>
      </c>
      <c r="F22" s="71">
        <f>IF(4020356.96103="","-",(111079.75018-96278.52435)/4020356.96103*100)</f>
        <v>0.3681570062924955</v>
      </c>
      <c r="G22" s="71">
        <f>IF(4831335.29052="","-",(140554.47145-111079.75018)/4831335.29052*100)</f>
        <v>0.6100740167596115</v>
      </c>
    </row>
    <row r="23" spans="1:7" s="10" customFormat="1" ht="12.75" customHeight="1">
      <c r="A23" s="21" t="s">
        <v>37</v>
      </c>
      <c r="B23" s="72">
        <f>IF(68.08375="","-",68.08375)</f>
        <v>68.08375</v>
      </c>
      <c r="C23" s="72">
        <f>IF(OR(60.70645="",68.08375=""),"-",68.08375/60.70645*100)</f>
        <v>112.15241543526264</v>
      </c>
      <c r="D23" s="72">
        <f>IF(60.70645="","-",60.70645/4831335.29052*100)</f>
        <v>0.0012565149456531738</v>
      </c>
      <c r="E23" s="72">
        <f>IF(68.08375="","-",68.08375/5764278.95119*100)</f>
        <v>0.0011811321168963295</v>
      </c>
      <c r="F23" s="72">
        <f>IF(OR(4020356.96103="",134.95307="",60.70645=""),"-",(60.70645-134.95307)/4020356.96103*100)</f>
        <v>-0.0018467668597511378</v>
      </c>
      <c r="G23" s="72">
        <f>IF(OR(4831335.29052="",68.08375="",60.70645=""),"-",(68.08375-60.70645)/4831335.29052*100)</f>
        <v>0.0001526969162019383</v>
      </c>
    </row>
    <row r="24" spans="1:7" s="10" customFormat="1" ht="14.25" customHeight="1">
      <c r="A24" s="21" t="s">
        <v>38</v>
      </c>
      <c r="B24" s="72">
        <f>IF(37925.96041="","-",37925.96041)</f>
        <v>37925.96041</v>
      </c>
      <c r="C24" s="72">
        <f>IF(OR(28318.42946="",37925.96041=""),"-",37925.96041/28318.42946*100)</f>
        <v>133.92677889701022</v>
      </c>
      <c r="D24" s="72">
        <f>IF(28318.42946="","-",28318.42946/4831335.29052*100)</f>
        <v>0.5861408442416769</v>
      </c>
      <c r="E24" s="72">
        <f>IF(37925.96041="","-",37925.96041/5764278.95119*100)</f>
        <v>0.6579480405293434</v>
      </c>
      <c r="F24" s="72">
        <f>IF(OR(4020356.96103="",25536.22187="",28318.42946=""),"-",(28318.42946-25536.22187)/4020356.96103*100)</f>
        <v>0.06920299906123777</v>
      </c>
      <c r="G24" s="72">
        <f>IF(OR(4831335.29052="",37925.96041="",28318.42946=""),"-",(37925.96041-28318.42946)/4831335.29052*100)</f>
        <v>0.19885870825094268</v>
      </c>
    </row>
    <row r="25" spans="1:7" s="10" customFormat="1" ht="27" customHeight="1">
      <c r="A25" s="21" t="s">
        <v>39</v>
      </c>
      <c r="B25" s="72">
        <f>IF(944.15946="","-",944.15946)</f>
        <v>944.15946</v>
      </c>
      <c r="C25" s="72">
        <f>IF(OR(745.99706="",944.15946=""),"-",944.15946/745.99706*100)</f>
        <v>126.56342908375535</v>
      </c>
      <c r="D25" s="72">
        <f>IF(745.99706="","-",745.99706/4831335.29052*100)</f>
        <v>0.01544080497712068</v>
      </c>
      <c r="E25" s="72">
        <f>IF(944.15946="","-",944.15946/5764278.95119*100)</f>
        <v>0.016379489403528676</v>
      </c>
      <c r="F25" s="72">
        <f>IF(OR(4020356.96103="",712.59639="",745.99706=""),"-",(745.99706-712.59639)/4020356.96103*100)</f>
        <v>0.0008307886668710847</v>
      </c>
      <c r="G25" s="72">
        <f>IF(OR(4831335.29052="",944.15946="",745.99706=""),"-",(944.15946-745.99706)/4831335.29052*100)</f>
        <v>0.00410160728005842</v>
      </c>
    </row>
    <row r="26" spans="1:7" s="10" customFormat="1" ht="15.75">
      <c r="A26" s="21" t="s">
        <v>40</v>
      </c>
      <c r="B26" s="72">
        <f>IF(35397.88979="","-",35397.88979)</f>
        <v>35397.88979</v>
      </c>
      <c r="C26" s="72">
        <f>IF(OR(33144.51781="",35397.88979=""),"-",35397.88979/33144.51781*100)</f>
        <v>106.79862652676799</v>
      </c>
      <c r="D26" s="72">
        <f>IF(33144.51781="","-",33144.51781/4831335.29052*100)</f>
        <v>0.6860322419567082</v>
      </c>
      <c r="E26" s="72">
        <f>IF(35397.88979="","-",35397.88979/5764278.95119*100)</f>
        <v>0.614090506197524</v>
      </c>
      <c r="F26" s="72">
        <f>IF(OR(4020356.96103="",27320.34833="",33144.51781=""),"-",(33144.51781-27320.34833)/4020356.96103*100)</f>
        <v>0.14486697416310682</v>
      </c>
      <c r="G26" s="72">
        <f>IF(OR(4831335.29052="",35397.88979="",33144.51781=""),"-",(35397.88979-33144.51781)/4831335.29052*100)</f>
        <v>0.04664076998384998</v>
      </c>
    </row>
    <row r="27" spans="1:7" s="10" customFormat="1" ht="15.75">
      <c r="A27" s="21" t="s">
        <v>201</v>
      </c>
      <c r="B27" s="72">
        <f>IF(519.49691="","-",519.49691)</f>
        <v>519.49691</v>
      </c>
      <c r="C27" s="72">
        <f>IF(OR(548.38923="",519.49691=""),"-",519.49691/548.38923*100)</f>
        <v>94.73142096536067</v>
      </c>
      <c r="D27" s="72">
        <f>IF(548.38923="","-",548.38923/4831335.29052*100)</f>
        <v>0.011350676304251624</v>
      </c>
      <c r="E27" s="72">
        <f>IF(519.49691="","-",519.49691/5764278.95119*100)</f>
        <v>0.009012348541750446</v>
      </c>
      <c r="F27" s="72">
        <f>IF(OR(4020356.96103="",637.92254="",548.38923=""),"-",(548.38923-637.92254)/4020356.96103*100)</f>
        <v>-0.002226999016949528</v>
      </c>
      <c r="G27" s="72">
        <f>IF(OR(4831335.29052="",519.49691="",548.38923=""),"-",(519.49691-548.38923)/4831335.29052*100)</f>
        <v>-0.000598019352055575</v>
      </c>
    </row>
    <row r="28" spans="1:7" s="10" customFormat="1" ht="38.25">
      <c r="A28" s="21" t="s">
        <v>215</v>
      </c>
      <c r="B28" s="72">
        <f>IF(8567.18527="","-",8567.18527)</f>
        <v>8567.18527</v>
      </c>
      <c r="C28" s="72">
        <f>IF(OR(9139.5173="",8567.18527=""),"-",8567.18527/9139.5173*100)</f>
        <v>93.7378308808497</v>
      </c>
      <c r="D28" s="72">
        <f>IF(9139.5173="","-",9139.5173/4831335.29052*100)</f>
        <v>0.18917166270644625</v>
      </c>
      <c r="E28" s="72">
        <f>IF(8567.18527="","-",8567.18527/5764278.95119*100)</f>
        <v>0.14862544548145706</v>
      </c>
      <c r="F28" s="72">
        <f>IF(OR(4020356.96103="",7894.84155="",9139.5173=""),"-",(9139.5173-7894.84155)/4020356.96103*100)</f>
        <v>0.030959334259739915</v>
      </c>
      <c r="G28" s="72">
        <f>IF(OR(4831335.29052="",8567.18527="",9139.5173=""),"-",(8567.18527-9139.5173)/4831335.29052*100)</f>
        <v>-0.011846249444186248</v>
      </c>
    </row>
    <row r="29" spans="1:7" s="10" customFormat="1" ht="38.25">
      <c r="A29" s="21" t="s">
        <v>41</v>
      </c>
      <c r="B29" s="72">
        <f>IF(16178.90692="","-",16178.90692)</f>
        <v>16178.90692</v>
      </c>
      <c r="C29" s="72">
        <f>IF(OR(11395.24789="",16178.90692=""),"-",16178.90692/11395.24789*100)</f>
        <v>141.97942051087753</v>
      </c>
      <c r="D29" s="72">
        <f>IF(11395.24789="","-",11395.24789/4831335.29052*100)</f>
        <v>0.23586125169908298</v>
      </c>
      <c r="E29" s="72">
        <f>IF(16178.90692="","-",16178.90692/5764278.95119*100)</f>
        <v>0.28067529446436595</v>
      </c>
      <c r="F29" s="72">
        <f>IF(OR(4020356.96103="",11410.20505="",11395.24789=""),"-",(11395.24789-11410.20505)/4020356.96103*100)</f>
        <v>-0.00037203562133865755</v>
      </c>
      <c r="G29" s="72">
        <f>IF(OR(4831335.29052="",16178.90692="",11395.24789=""),"-",(16178.90692-11395.24789)/4831335.29052*100)</f>
        <v>0.09901318667297733</v>
      </c>
    </row>
    <row r="30" spans="1:7" s="10" customFormat="1" ht="14.25" customHeight="1">
      <c r="A30" s="21" t="s">
        <v>216</v>
      </c>
      <c r="B30" s="72">
        <f>IF(4022.34653="","-",4022.34653)</f>
        <v>4022.34653</v>
      </c>
      <c r="C30" s="72" t="s">
        <v>295</v>
      </c>
      <c r="D30" s="72">
        <f>IF(1236.6805="","-",1236.6805/4831335.29052*100)</f>
        <v>0.0255970746312433</v>
      </c>
      <c r="E30" s="72">
        <f>IF(4022.34653="","-",4022.34653/5764278.95119*100)</f>
        <v>0.06978056690281463</v>
      </c>
      <c r="F30" s="72">
        <f>IF(OR(4020356.96103="",766.53044="",1236.6805=""),"-",(1236.6805-766.53044)/4020356.96103*100)</f>
        <v>0.011694236719705339</v>
      </c>
      <c r="G30" s="72">
        <f>IF(OR(4831335.29052="",4022.34653="",1236.6805=""),"-",(4022.34653-1236.6805)/4831335.29052*100)</f>
        <v>0.05765830484723358</v>
      </c>
    </row>
    <row r="31" spans="1:7" s="10" customFormat="1" ht="26.25" customHeight="1">
      <c r="A31" s="21" t="s">
        <v>42</v>
      </c>
      <c r="B31" s="72">
        <f>IF(36930.44241="","-",36930.44241)</f>
        <v>36930.44241</v>
      </c>
      <c r="C31" s="72">
        <f>IF(OR(26490.26448="",36930.44241=""),"-",36930.44241/26490.26448*100)</f>
        <v>139.4113767262772</v>
      </c>
      <c r="D31" s="72">
        <f>IF(26490.26448="","-",26490.26448/4831335.29052*100)</f>
        <v>0.5483010987040983</v>
      </c>
      <c r="E31" s="72">
        <f>IF(36930.44241="","-",36930.44241/5764278.95119*100)</f>
        <v>0.640677571691355</v>
      </c>
      <c r="F31" s="72">
        <f>IF(OR(4020356.96103="",21864.90511="",26490.26448=""),"-",(26490.26448-21864.90511)/4020356.96103*100)</f>
        <v>0.11504847491987384</v>
      </c>
      <c r="G31" s="72">
        <f>IF(OR(4831335.29052="",36930.44241="",26490.26448=""),"-",(36930.44241-26490.26448)/4831335.29052*100)</f>
        <v>0.21609301160458927</v>
      </c>
    </row>
    <row r="32" spans="1:7" s="10" customFormat="1" ht="25.5">
      <c r="A32" s="42" t="s">
        <v>43</v>
      </c>
      <c r="B32" s="71">
        <f>IF(990001.18343="","-",990001.18343)</f>
        <v>990001.18343</v>
      </c>
      <c r="C32" s="71">
        <f>IF(760589.65185="","-",990001.18343/760589.65185*100)</f>
        <v>130.16232616654682</v>
      </c>
      <c r="D32" s="71">
        <f>IF(760589.65185="","-",760589.65185/4831335.29052*100)</f>
        <v>15.742845530560087</v>
      </c>
      <c r="E32" s="71">
        <f>IF(990001.18343="","-",990001.18343/5764278.95119*100)</f>
        <v>17.17476187070406</v>
      </c>
      <c r="F32" s="71">
        <f>IF(4020356.96103="","-",(760589.65185-615073.31472)/4020356.96103*100)</f>
        <v>3.6194879842888197</v>
      </c>
      <c r="G32" s="71">
        <f>IF(4831335.29052="","-",(990001.18343-760589.65185)/4831335.29052*100)</f>
        <v>4.748408416823172</v>
      </c>
    </row>
    <row r="33" spans="1:7" s="10" customFormat="1" ht="15.75">
      <c r="A33" s="21" t="s">
        <v>223</v>
      </c>
      <c r="B33" s="72">
        <f>IF(18258.87467="","-",18258.87467)</f>
        <v>18258.87467</v>
      </c>
      <c r="C33" s="72">
        <f>IF(OR(24814.82926="",18258.87467=""),"-",18258.87467/24814.82926*100)</f>
        <v>73.58049688229048</v>
      </c>
      <c r="D33" s="72">
        <f>IF(24814.82926="","-",24814.82926/4831335.29052*100)</f>
        <v>0.5136225860517571</v>
      </c>
      <c r="E33" s="72">
        <f>IF(18258.87467="","-",18258.87467/5764278.95119*100)</f>
        <v>0.316759040022353</v>
      </c>
      <c r="F33" s="72">
        <f>IF(OR(4020356.96103="",9790.2002="",24814.82926=""),"-",(24814.82926-9790.2002)/4020356.96103*100)</f>
        <v>0.37371380714787944</v>
      </c>
      <c r="G33" s="72">
        <f>IF(OR(4831335.29052="",18258.87467="",24814.82926=""),"-",(18258.87467-24814.82926)/4831335.29052*100)</f>
        <v>-0.1356965351352043</v>
      </c>
    </row>
    <row r="34" spans="1:7" s="10" customFormat="1" ht="25.5">
      <c r="A34" s="21" t="s">
        <v>44</v>
      </c>
      <c r="B34" s="72">
        <f>IF(632624.53575="","-",632624.53575)</f>
        <v>632624.53575</v>
      </c>
      <c r="C34" s="72">
        <f>IF(OR(476503.0645="",632624.53575=""),"-",632624.53575/476503.0645*100)</f>
        <v>132.76400151042472</v>
      </c>
      <c r="D34" s="72">
        <f>IF(476503.0645="","-",476503.0645/4831335.29052*100)</f>
        <v>9.862761241907382</v>
      </c>
      <c r="E34" s="72">
        <f>IF(632624.53575="","-",632624.53575/5764278.95119*100)</f>
        <v>10.974911885889883</v>
      </c>
      <c r="F34" s="72">
        <f>IF(OR(4020356.96103="",375600.60473="",476503.0645=""),"-",(476503.0645-375600.60473)/4020356.96103*100)</f>
        <v>2.5097885771851747</v>
      </c>
      <c r="G34" s="72">
        <f>IF(OR(4831335.29052="",632624.53575="",476503.0645=""),"-",(632624.53575-476503.0645)/4831335.29052*100)</f>
        <v>3.231435242268118</v>
      </c>
    </row>
    <row r="35" spans="1:7" s="10" customFormat="1" ht="25.5">
      <c r="A35" s="21" t="s">
        <v>45</v>
      </c>
      <c r="B35" s="72">
        <f>IF(284029.47603="","-",284029.47603)</f>
        <v>284029.47603</v>
      </c>
      <c r="C35" s="72">
        <f>IF(OR(202292.46993="",284029.47603=""),"-",284029.47603/202292.46993*100)</f>
        <v>140.40536265550753</v>
      </c>
      <c r="D35" s="72">
        <f>IF(202292.46993="","-",202292.46993/4831335.29052*100)</f>
        <v>4.187092341260942</v>
      </c>
      <c r="E35" s="72">
        <f>IF(284029.47603="","-",284029.47603/5764278.95119*100)</f>
        <v>4.927406852358591</v>
      </c>
      <c r="F35" s="72">
        <f>IF(OR(4020356.96103="",229428.99489="",202292.46993=""),"-",(202292.46993-229428.99489)/4020356.96103*100)</f>
        <v>-0.6749779987956028</v>
      </c>
      <c r="G35" s="72">
        <f>IF(OR(4831335.29052="",284029.47603="",202292.46993=""),"-",(284029.47603-202292.46993)/4831335.29052*100)</f>
        <v>1.6918098452074644</v>
      </c>
    </row>
    <row r="36" spans="1:7" s="10" customFormat="1" ht="15.75">
      <c r="A36" s="21" t="s">
        <v>46</v>
      </c>
      <c r="B36" s="72">
        <f>IF(55088.29698="","-",55088.29698)</f>
        <v>55088.29698</v>
      </c>
      <c r="C36" s="72">
        <f>IF(OR(56979.2881599999="",55088.29698=""),"-",55088.29698/56979.2881599999*100)</f>
        <v>96.68126570010855</v>
      </c>
      <c r="D36" s="72">
        <f>IF(56979.2881599999="","-",56979.2881599999/4831335.29052*100)</f>
        <v>1.179369361340003</v>
      </c>
      <c r="E36" s="72">
        <f>IF(55088.29698="","-",55088.29698/5764278.95119*100)</f>
        <v>0.9556840924332323</v>
      </c>
      <c r="F36" s="72">
        <f>IF(OR(4020356.96103="",253.5149="",56979.2881599999=""),"-",(56979.2881599999-253.5149)/4020356.96103*100)</f>
        <v>1.410963598751365</v>
      </c>
      <c r="G36" s="72">
        <f>IF(OR(4831335.29052="",55088.29698="",56979.2881599999=""),"-",(55088.29698-56979.2881599999)/4831335.29052*100)</f>
        <v>-0.03914013551720137</v>
      </c>
    </row>
    <row r="37" spans="1:7" s="10" customFormat="1" ht="29.25" customHeight="1">
      <c r="A37" s="42" t="s">
        <v>47</v>
      </c>
      <c r="B37" s="71">
        <f>IF(11794.77687="","-",11794.77687)</f>
        <v>11794.77687</v>
      </c>
      <c r="C37" s="71">
        <f>IF(15742.55525="","-",11794.77687/15742.55525*100)</f>
        <v>74.92288693095107</v>
      </c>
      <c r="D37" s="71">
        <f>IF(15742.55525="","-",15742.55525/4831335.29052*100)</f>
        <v>0.3258427391882714</v>
      </c>
      <c r="E37" s="71">
        <f>IF(11794.77687="","-",11794.77687/5764278.95119*100)</f>
        <v>0.20461842617045867</v>
      </c>
      <c r="F37" s="71">
        <f>IF(4020356.96103="","-",(15742.55525-10126.5447)/4020356.96103*100)</f>
        <v>0.13968935108093483</v>
      </c>
      <c r="G37" s="71">
        <f>IF(4831335.29052="","-",(11794.77687-15742.55525)/4831335.29052*100)</f>
        <v>-0.08171195213352907</v>
      </c>
    </row>
    <row r="38" spans="1:7" s="10" customFormat="1" ht="15.75">
      <c r="A38" s="21" t="s">
        <v>48</v>
      </c>
      <c r="B38" s="72">
        <f>IF(1581.69683="","-",1581.69683)</f>
        <v>1581.69683</v>
      </c>
      <c r="C38" s="72">
        <f>IF(OR(1411.58629="",1581.69683=""),"-",1581.69683/1411.58629*100)</f>
        <v>112.05101956607982</v>
      </c>
      <c r="D38" s="72">
        <f>IF(1411.58629="","-",1411.58629/4831335.29052*100)</f>
        <v>0.02921731167716306</v>
      </c>
      <c r="E38" s="72">
        <f>IF(1581.69683="","-",1581.69683/5764278.95119*100)</f>
        <v>0.027439630236379665</v>
      </c>
      <c r="F38" s="72">
        <f>IF(OR(4020356.96103="",1009.5764="",1411.58629=""),"-",(1411.58629-1009.5764)/4020356.96103*100)</f>
        <v>0.009999358114136377</v>
      </c>
      <c r="G38" s="72">
        <f>IF(OR(4831335.29052="",1581.69683="",1411.58629=""),"-",(1581.69683-1411.58629)/4831335.29052*100)</f>
        <v>0.0035209839468974425</v>
      </c>
    </row>
    <row r="39" spans="1:7" s="10" customFormat="1" ht="25.5">
      <c r="A39" s="21" t="s">
        <v>49</v>
      </c>
      <c r="B39" s="72">
        <f>IF(7354.29707="","-",7354.29707)</f>
        <v>7354.29707</v>
      </c>
      <c r="C39" s="72">
        <f>IF(OR(11573.92989="",7354.29707=""),"-",7354.29707/11573.92989*100)</f>
        <v>63.54191825850087</v>
      </c>
      <c r="D39" s="72">
        <f>IF(11573.92989="","-",11573.92989/4831335.29052*100)</f>
        <v>0.2395596495385086</v>
      </c>
      <c r="E39" s="72">
        <f>IF(7354.29707="","-",7354.29707/5764278.95119*100)</f>
        <v>0.12758398981509647</v>
      </c>
      <c r="F39" s="72">
        <f>IF(OR(4020356.96103="",7196.25526="",11573.92989=""),"-",(11573.92989-7196.25526)/4020356.96103*100)</f>
        <v>0.10888771003255532</v>
      </c>
      <c r="G39" s="72">
        <f>IF(OR(4831335.29052="",7354.29707="",11573.92989=""),"-",(7354.29707-11573.92989)/4831335.29052*100)</f>
        <v>-0.0873388528483983</v>
      </c>
    </row>
    <row r="40" spans="1:7" s="10" customFormat="1" ht="65.25" customHeight="1">
      <c r="A40" s="21" t="s">
        <v>202</v>
      </c>
      <c r="B40" s="72">
        <f>IF(2858.78297="","-",2858.78297)</f>
        <v>2858.78297</v>
      </c>
      <c r="C40" s="72">
        <f>IF(OR(2757.03907="",2858.78297=""),"-",2858.78297/2757.03907*100)</f>
        <v>103.69033217944208</v>
      </c>
      <c r="D40" s="72">
        <f>IF(2757.03907="","-",2757.03907/4831335.29052*100)</f>
        <v>0.057065777972599735</v>
      </c>
      <c r="E40" s="72">
        <f>IF(2858.78297="","-",2858.78297/5764278.95119*100)</f>
        <v>0.04959480611898253</v>
      </c>
      <c r="F40" s="72">
        <f>IF(OR(4020356.96103="",1920.71304="",2757.03907=""),"-",(2757.03907-1920.71304)/4020356.96103*100)</f>
        <v>0.02080228293424314</v>
      </c>
      <c r="G40" s="72">
        <f>IF(OR(4831335.29052="",2858.78297="",2757.03907=""),"-",(2858.78297-2757.03907)/4831335.29052*100)</f>
        <v>0.002105916767971813</v>
      </c>
    </row>
    <row r="41" spans="1:7" s="10" customFormat="1" ht="25.5">
      <c r="A41" s="42" t="s">
        <v>50</v>
      </c>
      <c r="B41" s="71">
        <f>IF(814096.05654="","-",814096.05654)</f>
        <v>814096.05654</v>
      </c>
      <c r="C41" s="71">
        <f>IF(718563.13463="","-",814096.05654/718563.13463*100)</f>
        <v>113.29499348156673</v>
      </c>
      <c r="D41" s="71">
        <f>IF(718563.13463="","-",718563.13463/4831335.29052*100)</f>
        <v>14.872971785666742</v>
      </c>
      <c r="E41" s="71">
        <f>IF(814096.05654="","-",814096.05654/5764278.95119*100)</f>
        <v>14.123120401241767</v>
      </c>
      <c r="F41" s="71">
        <f>IF(4020356.96103="","-",(718563.13463-629414.91948)/4020356.96103*100)</f>
        <v>2.2174203936150114</v>
      </c>
      <c r="G41" s="71">
        <f>IF(4831335.29052="","-",(814096.05654-718563.13463)/4831335.29052*100)</f>
        <v>1.9773606294196517</v>
      </c>
    </row>
    <row r="42" spans="1:7" s="10" customFormat="1" ht="15.75">
      <c r="A42" s="21" t="s">
        <v>51</v>
      </c>
      <c r="B42" s="72">
        <f>IF(22358.4379="","-",22358.4379)</f>
        <v>22358.4379</v>
      </c>
      <c r="C42" s="72">
        <f>IF(OR(21186.84487="",22358.4379=""),"-",22358.4379/21186.84487*100)</f>
        <v>105.5298136045681</v>
      </c>
      <c r="D42" s="72">
        <f>IF(21186.84487="","-",21186.84487/4831335.29052*100)</f>
        <v>0.4385297975814807</v>
      </c>
      <c r="E42" s="72">
        <f>IF(22358.4379="","-",22358.4379/5764278.95119*100)</f>
        <v>0.3878791795005729</v>
      </c>
      <c r="F42" s="72">
        <f>IF(OR(4020356.96103="",17596.68019="",21186.84487=""),"-",(21186.84487-17596.68019)/4020356.96103*100)</f>
        <v>0.0892996496281319</v>
      </c>
      <c r="G42" s="72">
        <f>IF(OR(4831335.29052="",22358.4379="",21186.84487=""),"-",(22358.4379-21186.84487)/4831335.29052*100)</f>
        <v>0.0242498804067457</v>
      </c>
    </row>
    <row r="43" spans="1:7" s="10" customFormat="1" ht="15.75">
      <c r="A43" s="21" t="s">
        <v>52</v>
      </c>
      <c r="B43" s="72">
        <f>IF(16643.68847="","-",16643.68847)</f>
        <v>16643.68847</v>
      </c>
      <c r="C43" s="72">
        <f>IF(OR(14048.62865="",16643.68847=""),"-",16643.68847/14048.62865*100)</f>
        <v>118.47197961204563</v>
      </c>
      <c r="D43" s="72">
        <f>IF(14048.62865="","-",14048.62865/4831335.29052*100)</f>
        <v>0.2907814880405027</v>
      </c>
      <c r="E43" s="72">
        <f>IF(16643.68847="","-",16643.68847/5764278.95119*100)</f>
        <v>0.28873842870779204</v>
      </c>
      <c r="F43" s="72">
        <f>IF(OR(4020356.96103="",12924.56457="",14048.62865=""),"-",(14048.62865-12924.56457)/4020356.96103*100)</f>
        <v>0.027959310352183735</v>
      </c>
      <c r="G43" s="72">
        <f>IF(OR(4831335.29052="",16643.68847="",14048.62865=""),"-",(16643.68847-14048.62865)/4831335.29052*100)</f>
        <v>0.05371309718644454</v>
      </c>
    </row>
    <row r="44" spans="1:7" s="10" customFormat="1" ht="15.75">
      <c r="A44" s="21" t="s">
        <v>53</v>
      </c>
      <c r="B44" s="72">
        <f>IF(36895.82755="","-",36895.82755)</f>
        <v>36895.82755</v>
      </c>
      <c r="C44" s="72">
        <f>IF(OR(32917.09979="",36895.82755=""),"-",36895.82755/32917.09979*100)</f>
        <v>112.08711516319161</v>
      </c>
      <c r="D44" s="72">
        <f>IF(32917.09979="","-",32917.09979/4831335.29052*100)</f>
        <v>0.6813250956643315</v>
      </c>
      <c r="E44" s="72">
        <f>IF(36895.82755="","-",36895.82755/5764278.95119*100)</f>
        <v>0.6400770653610212</v>
      </c>
      <c r="F44" s="72">
        <f>IF(OR(4020356.96103="",29036.98256="",32917.09979=""),"-",(32917.09979-29036.98256)/4020356.96103*100)</f>
        <v>0.09651175921965717</v>
      </c>
      <c r="G44" s="72">
        <f>IF(OR(4831335.29052="",36895.82755="",32917.09979=""),"-",(36895.82755-32917.09979)/4831335.29052*100)</f>
        <v>0.08235254894867312</v>
      </c>
    </row>
    <row r="45" spans="1:7" s="10" customFormat="1" ht="15.75">
      <c r="A45" s="21" t="s">
        <v>54</v>
      </c>
      <c r="B45" s="72">
        <f>IF(239256.89892="","-",239256.89892)</f>
        <v>239256.89892</v>
      </c>
      <c r="C45" s="72">
        <f>IF(OR(219669.68077="",239256.89892=""),"-",239256.89892/219669.68077*100)</f>
        <v>108.91666891914336</v>
      </c>
      <c r="D45" s="72">
        <f>IF(219669.68077="","-",219669.68077/4831335.29052*100)</f>
        <v>4.546769527692143</v>
      </c>
      <c r="E45" s="72">
        <f>IF(239256.89892="","-",239256.89892/5764278.95119*100)</f>
        <v>4.150682174578086</v>
      </c>
      <c r="F45" s="72">
        <f>IF(OR(4020356.96103="",184964.57407="",219669.68077=""),"-",(219669.68077-184964.57407)/4020356.96103*100)</f>
        <v>0.8632344599348385</v>
      </c>
      <c r="G45" s="72">
        <f>IF(OR(4831335.29052="",239256.89892="",219669.68077=""),"-",(239256.89892-219669.68077)/4831335.29052*100)</f>
        <v>0.40542038530080604</v>
      </c>
    </row>
    <row r="46" spans="1:7" s="10" customFormat="1" ht="38.25">
      <c r="A46" s="21" t="s">
        <v>224</v>
      </c>
      <c r="B46" s="72">
        <f>IF(113508.86084="","-",113508.86084)</f>
        <v>113508.86084</v>
      </c>
      <c r="C46" s="72">
        <f>IF(OR(111320.4523="",113508.86084=""),"-",113508.86084/111320.4523*100)</f>
        <v>101.96586385950211</v>
      </c>
      <c r="D46" s="72">
        <f>IF(111320.4523="","-",111320.4523/4831335.29052*100)</f>
        <v>2.304134273570951</v>
      </c>
      <c r="E46" s="72">
        <f>IF(113508.86084="","-",113508.86084/5764278.95119*100)</f>
        <v>1.9691770957157926</v>
      </c>
      <c r="F46" s="72">
        <f>IF(OR(4020356.96103="",110811.91286="",111320.4523=""),"-",(111320.4523-110811.91286)/4020356.96103*100)</f>
        <v>0.012649111631861713</v>
      </c>
      <c r="G46" s="72">
        <f>IF(OR(4831335.29052="",113508.86084="",111320.4523=""),"-",(113508.86084-111320.4523)/4831335.29052*100)</f>
        <v>0.04529614295853288</v>
      </c>
    </row>
    <row r="47" spans="1:7" s="10" customFormat="1" ht="15.75">
      <c r="A47" s="21" t="s">
        <v>55</v>
      </c>
      <c r="B47" s="72">
        <f>IF(86125.02537="","-",86125.02537)</f>
        <v>86125.02537</v>
      </c>
      <c r="C47" s="72">
        <f>IF(OR(63500.49494="",86125.02537=""),"-",86125.02537/63500.49494*100)</f>
        <v>135.62890407606642</v>
      </c>
      <c r="D47" s="72">
        <f>IF(63500.49494="","-",63500.49494/4831335.29052*100)</f>
        <v>1.3143466789522984</v>
      </c>
      <c r="E47" s="72">
        <f>IF(86125.02537="","-",86125.02537/5764278.95119*100)</f>
        <v>1.4941161956122893</v>
      </c>
      <c r="F47" s="72">
        <f>IF(OR(4020356.96103="",51436.8692="",63500.49494=""),"-",(63500.49494-51436.8692)/4020356.96103*100)</f>
        <v>0.3000635480116507</v>
      </c>
      <c r="G47" s="72">
        <f>IF(OR(4831335.29052="",86125.02537="",63500.49494=""),"-",(86125.02537-63500.49494)/4831335.29052*100)</f>
        <v>0.468287317470879</v>
      </c>
    </row>
    <row r="48" spans="1:7" s="10" customFormat="1" ht="15.75">
      <c r="A48" s="21" t="s">
        <v>56</v>
      </c>
      <c r="B48" s="72">
        <f>IF(58948.37123="","-",58948.37123)</f>
        <v>58948.37123</v>
      </c>
      <c r="C48" s="72">
        <f>IF(OR(51454.69013="",58948.37123=""),"-",58948.37123/51454.69013*100)</f>
        <v>114.56365023492951</v>
      </c>
      <c r="D48" s="72">
        <f>IF(51454.69013="","-",51454.69013/4831335.29052*100)</f>
        <v>1.0650200624859116</v>
      </c>
      <c r="E48" s="72">
        <f>IF(58948.37123="","-",58948.37123/5764278.95119*100)</f>
        <v>1.0226495235424107</v>
      </c>
      <c r="F48" s="72">
        <f>IF(OR(4020356.96103="",45200.42954="",51454.69013=""),"-",(51454.69013-45200.42954)/4020356.96103*100)</f>
        <v>0.15556480806613968</v>
      </c>
      <c r="G48" s="72">
        <f>IF(OR(4831335.29052="",58948.37123="",51454.69013=""),"-",(58948.37123-51454.69013)/4831335.29052*100)</f>
        <v>0.15510579683227582</v>
      </c>
    </row>
    <row r="49" spans="1:7" s="10" customFormat="1" ht="15.75">
      <c r="A49" s="21" t="s">
        <v>57</v>
      </c>
      <c r="B49" s="72">
        <f>IF(112208.37339="","-",112208.37339)</f>
        <v>112208.37339</v>
      </c>
      <c r="C49" s="72">
        <f>IF(OR(98651.23191="",112208.37339=""),"-",112208.37339/98651.23191*100)</f>
        <v>113.74249587918806</v>
      </c>
      <c r="D49" s="72">
        <f>IF(98651.23191="","-",98651.23191/4831335.29052*100)</f>
        <v>2.041904069534824</v>
      </c>
      <c r="E49" s="72">
        <f>IF(112208.37339="","-",112208.37339/5764278.95119*100)</f>
        <v>1.946615948675337</v>
      </c>
      <c r="F49" s="72">
        <f>IF(OR(4020356.96103="",85571.61887="",98651.23191=""),"-",(98651.23191-85571.61887)/4020356.96103*100)</f>
        <v>0.32533461995496665</v>
      </c>
      <c r="G49" s="72">
        <f>IF(OR(4831335.29052="",112208.37339="",98651.23191=""),"-",(112208.37339-98651.23191)/4831335.29052*100)</f>
        <v>0.2806085826127962</v>
      </c>
    </row>
    <row r="50" spans="1:7" s="10" customFormat="1" ht="15.75">
      <c r="A50" s="21" t="s">
        <v>58</v>
      </c>
      <c r="B50" s="72">
        <f>IF(128150.57287="","-",128150.57287)</f>
        <v>128150.57287</v>
      </c>
      <c r="C50" s="72">
        <f>IF(OR(105814.01127="",128150.57287=""),"-",128150.57287/105814.01127*100)</f>
        <v>121.10926646850669</v>
      </c>
      <c r="D50" s="72">
        <f>IF(105814.01127="","-",105814.01127/4831335.29052*100)</f>
        <v>2.190160792144301</v>
      </c>
      <c r="E50" s="72">
        <f>IF(128150.57287="","-",128150.57287/5764278.95119*100)</f>
        <v>2.2231847895484673</v>
      </c>
      <c r="F50" s="72">
        <f>IF(OR(4020356.96103="",91871.28762="",105814.01127=""),"-",(105814.01127-91871.28762)/4020356.96103*100)</f>
        <v>0.34680312681558323</v>
      </c>
      <c r="G50" s="72">
        <f>IF(OR(4831335.29052="",128150.57287="",105814.01127=""),"-",(128150.57287-105814.01127)/4831335.29052*100)</f>
        <v>0.4623268777024975</v>
      </c>
    </row>
    <row r="51" spans="1:7" s="10" customFormat="1" ht="25.5">
      <c r="A51" s="42" t="s">
        <v>290</v>
      </c>
      <c r="B51" s="71">
        <f>IF(1142746.00269="","-",1142746.00269)</f>
        <v>1142746.00269</v>
      </c>
      <c r="C51" s="71">
        <f>IF(993557.37109="","-",1142746.00269/993557.37109*100)</f>
        <v>115.01560311875396</v>
      </c>
      <c r="D51" s="71">
        <f>IF(993557.37109="","-",993557.37109/4831335.29052*100)</f>
        <v>20.564860671946093</v>
      </c>
      <c r="E51" s="71">
        <f>IF(1142746.00269="","-",1142746.00269/5764278.95119*100)</f>
        <v>19.824613145310863</v>
      </c>
      <c r="F51" s="71">
        <f>IF(4020356.96103="","-",(993557.37109-853256.39973)/4020356.96103*100)</f>
        <v>3.4897640363768976</v>
      </c>
      <c r="G51" s="71">
        <f>IF(4831335.29052="","-",(1142746.00269-993557.37109)/4831335.29052*100)</f>
        <v>3.0879378604241454</v>
      </c>
    </row>
    <row r="52" spans="1:7" s="10" customFormat="1" ht="15.75">
      <c r="A52" s="21" t="s">
        <v>59</v>
      </c>
      <c r="B52" s="72">
        <f>IF(54749.92024="","-",54749.92024)</f>
        <v>54749.92024</v>
      </c>
      <c r="C52" s="72">
        <f>IF(OR(45495.29858="",54749.92024=""),"-",54749.92024/45495.29858*100)</f>
        <v>120.34192971330093</v>
      </c>
      <c r="D52" s="72">
        <f>IF(45495.29858="","-",45495.29858/4831335.29052*100)</f>
        <v>0.941671315366384</v>
      </c>
      <c r="E52" s="72">
        <f>IF(54749.92024="","-",54749.92024/5764278.95119*100)</f>
        <v>0.9498138570947753</v>
      </c>
      <c r="F52" s="72">
        <f>IF(OR(4020356.96103="",39373.28529="",45495.29858=""),"-",(45495.29858-39373.28529)/4020356.96103*100)</f>
        <v>0.15227536632547092</v>
      </c>
      <c r="G52" s="72">
        <f>IF(OR(4831335.29052="",54749.92024="",45495.29858=""),"-",(54749.92024-45495.29858)/4831335.29052*100)</f>
        <v>0.1915541171021462</v>
      </c>
    </row>
    <row r="53" spans="1:7" s="10" customFormat="1" ht="15.75">
      <c r="A53" s="21" t="s">
        <v>60</v>
      </c>
      <c r="B53" s="72">
        <f>IF(67975.0533="","-",67975.0533)</f>
        <v>67975.0533</v>
      </c>
      <c r="C53" s="72">
        <f>IF(OR(58872.67813="",67975.0533=""),"-",67975.0533/58872.67813*100)</f>
        <v>115.46111958742654</v>
      </c>
      <c r="D53" s="72">
        <f>IF(58872.67813="","-",58872.67813/4831335.29052*100)</f>
        <v>1.218559147520136</v>
      </c>
      <c r="E53" s="72">
        <f>IF(67975.0533="","-",67975.0533/5764278.95119*100)</f>
        <v>1.1792464222427501</v>
      </c>
      <c r="F53" s="72">
        <f>IF(OR(4020356.96103="",59546.32513="",58872.67813=""),"-",(58872.67813-59546.32513)/4020356.96103*100)</f>
        <v>-0.016755900198160797</v>
      </c>
      <c r="G53" s="72">
        <f>IF(OR(4831335.29052="",67975.0533="",58872.67813=""),"-",(67975.0533-58872.67813)/4831335.29052*100)</f>
        <v>0.18840288704161337</v>
      </c>
    </row>
    <row r="54" spans="1:7" s="10" customFormat="1" ht="15.75">
      <c r="A54" s="21" t="s">
        <v>61</v>
      </c>
      <c r="B54" s="72">
        <f>IF(87994.27073="","-",87994.27073)</f>
        <v>87994.27073</v>
      </c>
      <c r="C54" s="72">
        <f>IF(OR(72505.12054="",87994.27073=""),"-",87994.27073/72505.12054*100)</f>
        <v>121.36283627230833</v>
      </c>
      <c r="D54" s="72">
        <f>IF(72505.12054="","-",72505.12054/4831335.29052*100)</f>
        <v>1.5007263247133533</v>
      </c>
      <c r="E54" s="72">
        <f>IF(87994.27073="","-",87994.27073/5764278.95119*100)</f>
        <v>1.5265442820360753</v>
      </c>
      <c r="F54" s="72">
        <f>IF(OR(4020356.96103="",57709.19674="",72505.12054=""),"-",(72505.12054-57709.19674)/4020356.96103*100)</f>
        <v>0.3680251267093792</v>
      </c>
      <c r="G54" s="72">
        <f>IF(OR(4831335.29052="",87994.27073="",72505.12054=""),"-",(87994.27073-72505.12054)/4831335.29052*100)</f>
        <v>0.32059770764394396</v>
      </c>
    </row>
    <row r="55" spans="1:7" s="10" customFormat="1" ht="25.5">
      <c r="A55" s="21" t="s">
        <v>217</v>
      </c>
      <c r="B55" s="72">
        <f>IF(100720.51616="","-",100720.51616)</f>
        <v>100720.51616</v>
      </c>
      <c r="C55" s="72">
        <f>IF(OR(89105.40875="",100720.51616=""),"-",100720.51616/89105.40875*100)</f>
        <v>113.0352439576234</v>
      </c>
      <c r="D55" s="72">
        <f>IF(89105.40875="","-",89105.40875/4831335.29052*100)</f>
        <v>1.8443226021767063</v>
      </c>
      <c r="E55" s="72">
        <f>IF(100720.51616="","-",100720.51616/5764278.95119*100)</f>
        <v>1.7473220330394814</v>
      </c>
      <c r="F55" s="72">
        <f>IF(OR(4020356.96103="",80363.59938="",89105.40875=""),"-",(89105.40875-80363.59938)/4020356.96103*100)</f>
        <v>0.21743863678613218</v>
      </c>
      <c r="G55" s="72">
        <f>IF(OR(4831335.29052="",100720.51616="",89105.40875=""),"-",(100720.51616-89105.40875)/4831335.29052*100)</f>
        <v>0.24041195055932155</v>
      </c>
    </row>
    <row r="56" spans="1:7" s="10" customFormat="1" ht="25.5">
      <c r="A56" s="21" t="s">
        <v>218</v>
      </c>
      <c r="B56" s="72">
        <f>IF(295529.98808="","-",295529.98808)</f>
        <v>295529.98808</v>
      </c>
      <c r="C56" s="72">
        <f>IF(OR(276215.80188="",295529.98808=""),"-",295529.98808/276215.80188*100)</f>
        <v>106.99242623649421</v>
      </c>
      <c r="D56" s="72">
        <f>IF(276215.80188="","-",276215.80188/4831335.29052*100)</f>
        <v>5.717173105786882</v>
      </c>
      <c r="E56" s="72">
        <f>IF(295529.98808="","-",295529.98808/5764278.95119*100)</f>
        <v>5.1269203066411215</v>
      </c>
      <c r="F56" s="72">
        <f>IF(OR(4020356.96103="",249583.96706="",276215.80188=""),"-",(276215.80188-249583.96706)/4020356.96103*100)</f>
        <v>0.6624246323932643</v>
      </c>
      <c r="G56" s="72">
        <f>IF(OR(4831335.29052="",295529.98808="",276215.80188=""),"-",(295529.98808-276215.80188)/4831335.29052*100)</f>
        <v>0.399769112234833</v>
      </c>
    </row>
    <row r="57" spans="1:7" s="10" customFormat="1" ht="15.75">
      <c r="A57" s="21" t="s">
        <v>62</v>
      </c>
      <c r="B57" s="72">
        <f>IF(128266.01851="","-",128266.01851)</f>
        <v>128266.01851</v>
      </c>
      <c r="C57" s="72">
        <f>IF(OR(115307.92109="",128266.01851=""),"-",128266.01851/115307.92109*100)</f>
        <v>111.23782069567099</v>
      </c>
      <c r="D57" s="72">
        <f>IF(115307.92109="","-",115307.92109/4831335.29052*100)</f>
        <v>2.3866677462078876</v>
      </c>
      <c r="E57" s="72">
        <f>IF(128266.01851="","-",128266.01851/5764278.95119*100)</f>
        <v>2.225187566322068</v>
      </c>
      <c r="F57" s="72">
        <f>IF(OR(4020356.96103="",99543.18411="",115307.92109=""),"-",(115307.92109-99543.18411)/4020356.96103*100)</f>
        <v>0.3921228172724528</v>
      </c>
      <c r="G57" s="72">
        <f>IF(OR(4831335.29052="",128266.01851="",115307.92109=""),"-",(128266.01851-115307.92109)/4831335.29052*100)</f>
        <v>0.2682094419202543</v>
      </c>
    </row>
    <row r="58" spans="1:7" s="10" customFormat="1" ht="15.75">
      <c r="A58" s="21" t="s">
        <v>219</v>
      </c>
      <c r="B58" s="72">
        <f>IF(134655.66859="","-",134655.66859)</f>
        <v>134655.66859</v>
      </c>
      <c r="C58" s="72">
        <f>IF(OR(110210.18461="",134655.66859=""),"-",134655.66859/110210.18461*100)</f>
        <v>122.1807848943408</v>
      </c>
      <c r="D58" s="72">
        <f>IF(110210.18461="","-",110210.18461/4831335.29052*100)</f>
        <v>2.2811537180260157</v>
      </c>
      <c r="E58" s="72">
        <f>IF(134655.66859="","-",134655.66859/5764278.95119*100)</f>
        <v>2.3360366444826743</v>
      </c>
      <c r="F58" s="72">
        <f>IF(OR(4020356.96103="",91100.397="",110210.18461=""),"-",(110210.18461-91100.397)/4020356.96103*100)</f>
        <v>0.47532564384790715</v>
      </c>
      <c r="G58" s="72">
        <f>IF(OR(4831335.29052="",134655.66859="",110210.18461=""),"-",(134655.66859-110210.18461)/4831335.29052*100)</f>
        <v>0.5059777993046081</v>
      </c>
    </row>
    <row r="59" spans="1:7" s="10" customFormat="1" ht="15.75">
      <c r="A59" s="21" t="s">
        <v>63</v>
      </c>
      <c r="B59" s="72">
        <f>IF(106662.39878="","-",106662.39878)</f>
        <v>106662.39878</v>
      </c>
      <c r="C59" s="72">
        <f>IF(OR(85194.96149="",106662.39878=""),"-",106662.39878/85194.96149*100)</f>
        <v>125.1980127868475</v>
      </c>
      <c r="D59" s="72">
        <f>IF(85194.96149="","-",85194.96149/4831335.29052*100)</f>
        <v>1.7633833374630143</v>
      </c>
      <c r="E59" s="72">
        <f>IF(106662.39878="","-",106662.39878/5764278.95119*100)</f>
        <v>1.850403141193925</v>
      </c>
      <c r="F59" s="72">
        <f>IF(OR(4020356.96103="",53939.03176="",85194.96149=""),"-",(85194.96149-53939.03176)/4020356.96103*100)</f>
        <v>0.7774416558770532</v>
      </c>
      <c r="G59" s="72">
        <f>IF(OR(4831335.29052="",106662.39878="",85194.96149=""),"-",(106662.39878-85194.96149)/4831335.29052*100)</f>
        <v>0.4443375588550685</v>
      </c>
    </row>
    <row r="60" spans="1:7" s="10" customFormat="1" ht="15.75">
      <c r="A60" s="21" t="s">
        <v>64</v>
      </c>
      <c r="B60" s="72">
        <f>IF(166192.1683="","-",166192.1683)</f>
        <v>166192.1683</v>
      </c>
      <c r="C60" s="72">
        <f>IF(OR(140649.99602="",166192.1683=""),"-",166192.1683/140649.99602*100)</f>
        <v>118.16009456293762</v>
      </c>
      <c r="D60" s="72">
        <f>IF(140649.99602="","-",140649.99602/4831335.29052*100)</f>
        <v>2.911203374685712</v>
      </c>
      <c r="E60" s="72">
        <f>IF(166192.1683="","-",166192.1683/5764278.95119*100)</f>
        <v>2.883138892257992</v>
      </c>
      <c r="F60" s="72">
        <f>IF(OR(4020356.96103="",122097.41326="",140649.99602=""),"-",(140649.99602-122097.41326)/4020356.96103*100)</f>
        <v>0.4614660573633962</v>
      </c>
      <c r="G60" s="72">
        <f>IF(OR(4831335.29052="",166192.1683="",140649.99602=""),"-",(166192.1683-140649.99602)/4831335.29052*100)</f>
        <v>0.5286772857623565</v>
      </c>
    </row>
    <row r="61" spans="1:7" s="10" customFormat="1" ht="15.75" customHeight="1">
      <c r="A61" s="42" t="s">
        <v>65</v>
      </c>
      <c r="B61" s="71">
        <f>IF(1387984.43484="","-",1387984.43484)</f>
        <v>1387984.43484</v>
      </c>
      <c r="C61" s="71">
        <f>IF(1079739.8838="","-",1387984.43484/1079739.8838*100)</f>
        <v>128.54803788067684</v>
      </c>
      <c r="D61" s="71">
        <f>IF(1079739.8838="","-",1079739.8838/4831335.29052*100)</f>
        <v>22.34868455349508</v>
      </c>
      <c r="E61" s="71">
        <f>IF(1387984.43484="","-",1387984.43484/5764278.95119*100)</f>
        <v>24.0790642956906</v>
      </c>
      <c r="F61" s="71">
        <f>IF(4020356.96103="","-",(1079739.8838-864398.83783)/4020356.96103*100)</f>
        <v>5.356266820517113</v>
      </c>
      <c r="G61" s="71">
        <f>IF(4831335.29052="","-",(1387984.43484-1079739.8838)/4831335.29052*100)</f>
        <v>6.380110932164748</v>
      </c>
    </row>
    <row r="62" spans="1:7" s="10" customFormat="1" ht="25.5">
      <c r="A62" s="21" t="s">
        <v>66</v>
      </c>
      <c r="B62" s="72">
        <f>IF(23220.28451="","-",23220.28451)</f>
        <v>23220.28451</v>
      </c>
      <c r="C62" s="72">
        <f>IF(OR(17917.45082="",23220.28451=""),"-",23220.28451/17917.45082*100)</f>
        <v>129.59591597751628</v>
      </c>
      <c r="D62" s="72">
        <f>IF(17917.45082="","-",17917.45082/4831335.29052*100)</f>
        <v>0.37085918783483</v>
      </c>
      <c r="E62" s="72">
        <f>IF(23220.28451="","-",23220.28451/5764278.95119*100)</f>
        <v>0.4028306871791192</v>
      </c>
      <c r="F62" s="72">
        <f>IF(OR(4020356.96103="",12158.03221="",17917.45082=""),"-",(17917.45082-12158.03221)/4020356.96103*100)</f>
        <v>0.1432563990169783</v>
      </c>
      <c r="G62" s="72">
        <f>IF(OR(4831335.29052="",23220.28451="",17917.45082=""),"-",(23220.28451-17917.45082)/4831335.29052*100)</f>
        <v>0.1097591736264956</v>
      </c>
    </row>
    <row r="63" spans="1:7" s="10" customFormat="1" ht="25.5">
      <c r="A63" s="21" t="s">
        <v>67</v>
      </c>
      <c r="B63" s="72">
        <f>IF(207488.98011="","-",207488.98011)</f>
        <v>207488.98011</v>
      </c>
      <c r="C63" s="72">
        <f>IF(OR(156442.26041="",207488.98011=""),"-",207488.98011/156442.26041*100)</f>
        <v>132.62975078870508</v>
      </c>
      <c r="D63" s="72">
        <f>IF(156442.26041="","-",156442.26041/4831335.29052*100)</f>
        <v>3.2380750041705757</v>
      </c>
      <c r="E63" s="72">
        <f>IF(207488.98011="","-",207488.98011/5764278.95119*100)</f>
        <v>3.5995652165161984</v>
      </c>
      <c r="F63" s="72">
        <f>IF(OR(4020356.96103="",125196.21107="",156442.26041=""),"-",(156442.26041-125196.21107)/4020356.96103*100)</f>
        <v>0.7771958968537676</v>
      </c>
      <c r="G63" s="72">
        <f>IF(OR(4831335.29052="",207488.98011="",156442.26041=""),"-",(207488.98011-156442.26041)/4831335.29052*100)</f>
        <v>1.0565758042122102</v>
      </c>
    </row>
    <row r="64" spans="1:7" s="10" customFormat="1" ht="25.5">
      <c r="A64" s="21" t="s">
        <v>68</v>
      </c>
      <c r="B64" s="72">
        <f>IF(14351.10349="","-",14351.10349)</f>
        <v>14351.10349</v>
      </c>
      <c r="C64" s="72">
        <f>IF(OR(9977.52895="",14351.10349=""),"-",14351.10349/9977.52895*100)</f>
        <v>143.83424555235192</v>
      </c>
      <c r="D64" s="72">
        <f>IF(9977.52895="","-",9977.52895/4831335.29052*100)</f>
        <v>0.2065170051347463</v>
      </c>
      <c r="E64" s="72">
        <f>IF(14351.10349="","-",14351.10349/5764278.95119*100)</f>
        <v>0.24896615190764323</v>
      </c>
      <c r="F64" s="72">
        <f>IF(OR(4020356.96103="",6899.5461="",9977.52895=""),"-",(9977.52895-6899.5461)/4020356.96103*100)</f>
        <v>0.0765599393246771</v>
      </c>
      <c r="G64" s="72">
        <f>IF(OR(4831335.29052="",14351.10349="",9977.52895=""),"-",(14351.10349-9977.52895)/4831335.29052*100)</f>
        <v>0.09052517113812791</v>
      </c>
    </row>
    <row r="65" spans="1:7" s="10" customFormat="1" ht="38.25">
      <c r="A65" s="21" t="s">
        <v>69</v>
      </c>
      <c r="B65" s="72">
        <f>IF(174792.35331="","-",174792.35331)</f>
        <v>174792.35331</v>
      </c>
      <c r="C65" s="72">
        <f>IF(OR(146341.55738="",174792.35331=""),"-",174792.35331/146341.55738*100)</f>
        <v>119.44136473559783</v>
      </c>
      <c r="D65" s="72">
        <f>IF(146341.55738="","-",146341.55738/4831335.29052*100)</f>
        <v>3.029008515868274</v>
      </c>
      <c r="E65" s="72">
        <f>IF(174792.35331="","-",174792.35331/5764278.95119*100)</f>
        <v>3.0323368246069213</v>
      </c>
      <c r="F65" s="72">
        <f>IF(OR(4020356.96103="",117956.66697="",146341.55738=""),"-",(146341.55738-117956.66697)/4020356.96103*100)</f>
        <v>0.7060291084881156</v>
      </c>
      <c r="G65" s="72">
        <f>IF(OR(4831335.29052="",174792.35331="",146341.55738=""),"-",(174792.35331-146341.55738)/4831335.29052*100)</f>
        <v>0.58888059344227</v>
      </c>
    </row>
    <row r="66" spans="1:7" s="10" customFormat="1" ht="25.5">
      <c r="A66" s="21" t="s">
        <v>70</v>
      </c>
      <c r="B66" s="72">
        <f>IF(57483.66386="","-",57483.66386)</f>
        <v>57483.66386</v>
      </c>
      <c r="C66" s="72">
        <f>IF(OR(47546.0984="",57483.66386=""),"-",57483.66386/47546.0984*100)</f>
        <v>120.90090626658021</v>
      </c>
      <c r="D66" s="72">
        <f>IF(47546.0984="","-",47546.0984/4831335.29052*100)</f>
        <v>0.9841192039247307</v>
      </c>
      <c r="E66" s="72">
        <f>IF(57483.66386="","-",57483.66386/5764278.95119*100)</f>
        <v>0.997239452614153</v>
      </c>
      <c r="F66" s="72">
        <f>IF(OR(4020356.96103="",38009.11303="",47546.0984=""),"-",(47546.0984-38009.11303)/4020356.96103*100)</f>
        <v>0.2372173780200021</v>
      </c>
      <c r="G66" s="72">
        <f>IF(OR(4831335.29052="",57483.66386="",47546.0984=""),"-",(57483.66386-47546.0984)/4831335.29052*100)</f>
        <v>0.2056898323637234</v>
      </c>
    </row>
    <row r="67" spans="1:7" s="10" customFormat="1" ht="38.25">
      <c r="A67" s="21" t="s">
        <v>71</v>
      </c>
      <c r="B67" s="72">
        <f>IF(159403.02107="","-",159403.02107)</f>
        <v>159403.02107</v>
      </c>
      <c r="C67" s="72">
        <f>IF(OR(123519.33669="",159403.02107=""),"-",159403.02107/123519.33669*100)</f>
        <v>129.0510662877492</v>
      </c>
      <c r="D67" s="72">
        <f>IF(123519.33669="","-",123519.33669/4831335.29052*100)</f>
        <v>2.5566293635709463</v>
      </c>
      <c r="E67" s="72">
        <f>IF(159403.02107="","-",159403.02107/5764278.95119*100)</f>
        <v>2.765359248221188</v>
      </c>
      <c r="F67" s="72">
        <f>IF(OR(4020356.96103="",91080.4613="",123519.33669=""),"-",(123519.33669-91080.4613)/4020356.96103*100)</f>
        <v>0.8068655520998634</v>
      </c>
      <c r="G67" s="72">
        <f>IF(OR(4831335.29052="",159403.02107="",123519.33669=""),"-",(159403.02107-123519.33669)/4831335.29052*100)</f>
        <v>0.7427280911430555</v>
      </c>
    </row>
    <row r="68" spans="1:7" s="10" customFormat="1" ht="39" customHeight="1">
      <c r="A68" s="21" t="s">
        <v>286</v>
      </c>
      <c r="B68" s="72">
        <f>IF(436136.8047="","-",436136.8047)</f>
        <v>436136.8047</v>
      </c>
      <c r="C68" s="72">
        <f>IF(OR(322839.83074="",436136.8047=""),"-",436136.8047/322839.83074*100)</f>
        <v>135.09386487420258</v>
      </c>
      <c r="D68" s="72">
        <f>IF(322839.83074="","-",322839.83074/4831335.29052*100)</f>
        <v>6.682207119292119</v>
      </c>
      <c r="E68" s="72">
        <f>IF(436136.8047="","-",436136.8047/5764278.95119*100)</f>
        <v>7.5661987976824445</v>
      </c>
      <c r="F68" s="72">
        <f>IF(OR(4020356.96103="",268141.97104="",322839.83074=""),"-",(322839.83074-268141.97104)/4020356.96103*100)</f>
        <v>1.360522466790776</v>
      </c>
      <c r="G68" s="72">
        <f>IF(OR(4831335.29052="",436136.8047="",322839.83074=""),"-",(436136.8047-322839.83074)/4831335.29052*100)</f>
        <v>2.3450447370587217</v>
      </c>
    </row>
    <row r="69" spans="1:7" s="10" customFormat="1" ht="25.5">
      <c r="A69" s="21" t="s">
        <v>72</v>
      </c>
      <c r="B69" s="72">
        <f>IF(310132.3956="","-",310132.3956)</f>
        <v>310132.3956</v>
      </c>
      <c r="C69" s="72">
        <f>IF(OR(252766.94699="",310132.3956=""),"-",310132.3956/252766.94699*100)</f>
        <v>122.69499604007541</v>
      </c>
      <c r="D69" s="72">
        <f>IF(252766.94699="","-",252766.94699/4831335.29052*100)</f>
        <v>5.231823746242097</v>
      </c>
      <c r="E69" s="72">
        <f>IF(310132.3956="","-",310132.3956/5764278.95119*100)</f>
        <v>5.380246137046769</v>
      </c>
      <c r="F69" s="72">
        <f>IF(OR(4020356.96103="",203856.41797="",252766.94699=""),"-",(252766.94699-203856.41797)/4020356.96103*100)</f>
        <v>1.2165717993227472</v>
      </c>
      <c r="G69" s="72">
        <f>IF(OR(4831335.29052="",310132.3956="",252766.94699=""),"-",(310132.3956-252766.94699)/4831335.29052*100)</f>
        <v>1.1873621920333686</v>
      </c>
    </row>
    <row r="70" spans="1:7" s="10" customFormat="1" ht="15.75">
      <c r="A70" s="21" t="s">
        <v>73</v>
      </c>
      <c r="B70" s="72">
        <f>IF(4975.82819="","-",4975.82819)</f>
        <v>4975.82819</v>
      </c>
      <c r="C70" s="72" t="s">
        <v>243</v>
      </c>
      <c r="D70" s="72">
        <f>IF(2388.87342="","-",2388.87342/4831335.29052*100)</f>
        <v>0.04944540745676303</v>
      </c>
      <c r="E70" s="72">
        <f>IF(4975.82819="","-",4975.82819/5764278.95119*100)</f>
        <v>0.08632177991616403</v>
      </c>
      <c r="F70" s="72">
        <f>IF(OR(4020356.96103="",1100.41814="",2388.87342=""),"-",(2388.87342-1100.41814)/4020356.96103*100)</f>
        <v>0.03204828060018588</v>
      </c>
      <c r="G70" s="72">
        <f>IF(OR(4831335.29052="",4975.82819="",2388.87342=""),"-",(4975.82819-2388.87342)/4831335.29052*100)</f>
        <v>0.05354533714677386</v>
      </c>
    </row>
    <row r="71" spans="1:7" s="10" customFormat="1" ht="15.75">
      <c r="A71" s="42" t="s">
        <v>74</v>
      </c>
      <c r="B71" s="71">
        <f>IF(589339.53155="","-",589339.53155)</f>
        <v>589339.53155</v>
      </c>
      <c r="C71" s="71">
        <f>IF(517513.454="","-",589339.53155/517513.454*100)</f>
        <v>113.87907444624616</v>
      </c>
      <c r="D71" s="71">
        <f>IF(517513.454="","-",517513.454/4831335.29052*100)</f>
        <v>10.711602960271872</v>
      </c>
      <c r="E71" s="71">
        <f>IF(589339.53155="","-",589339.53155/5764278.95119*100)</f>
        <v>10.223993955537741</v>
      </c>
      <c r="F71" s="71">
        <f>IF(4020356.96103="","-",(517513.454-398266.80566)/4020356.96103*100)</f>
        <v>2.9660711597472056</v>
      </c>
      <c r="G71" s="71">
        <f>IF(4831335.29052="","-",(589339.53155-517513.454)/4831335.29052*100)</f>
        <v>1.4866713492424417</v>
      </c>
    </row>
    <row r="72" spans="1:7" s="10" customFormat="1" ht="38.25">
      <c r="A72" s="21" t="s">
        <v>203</v>
      </c>
      <c r="B72" s="72">
        <f>IF(45923.07608="","-",45923.07608)</f>
        <v>45923.07608</v>
      </c>
      <c r="C72" s="72">
        <f>IF(OR(41196.20925="",45923.07608=""),"-",45923.07608/41196.20925*100)</f>
        <v>111.47403345126953</v>
      </c>
      <c r="D72" s="72">
        <f>IF(41196.20925="","-",41196.20925/4831335.29052*100)</f>
        <v>0.8526878548635365</v>
      </c>
      <c r="E72" s="72">
        <f>IF(45923.07608="","-",45923.07608/5764278.95119*100)</f>
        <v>0.7966837911360874</v>
      </c>
      <c r="F72" s="72">
        <f>IF(OR(4020356.96103="",34118.19459="",41196.20925=""),"-",(41196.20925-34118.19459)/4020356.96103*100)</f>
        <v>0.17605438344426613</v>
      </c>
      <c r="G72" s="72">
        <f>IF(OR(4831335.29052="",45923.07608="",41196.20925=""),"-",(45923.07608-41196.20925)/4831335.29052*100)</f>
        <v>0.09783768970195489</v>
      </c>
    </row>
    <row r="73" spans="1:7" s="10" customFormat="1" ht="15.75">
      <c r="A73" s="21" t="s">
        <v>75</v>
      </c>
      <c r="B73" s="72">
        <f>IF(53798.76036="","-",53798.76036)</f>
        <v>53798.76036</v>
      </c>
      <c r="C73" s="72">
        <f>IF(OR(48145.08879="",53798.76036=""),"-",53798.76036/48145.08879*100)</f>
        <v>111.74298710852995</v>
      </c>
      <c r="D73" s="72">
        <f>IF(48145.08879="","-",48145.08879/4831335.29052*100)</f>
        <v>0.9965172337442577</v>
      </c>
      <c r="E73" s="72">
        <f>IF(53798.76036="","-",53798.76036/5764278.95119*100)</f>
        <v>0.9333129228399603</v>
      </c>
      <c r="F73" s="72">
        <f>IF(OR(4020356.96103="",42848.3926="",48145.08879=""),"-",(48145.08879-42848.3926)/4020356.96103*100)</f>
        <v>0.13174691305627273</v>
      </c>
      <c r="G73" s="72">
        <f>IF(OR(4831335.29052="",53798.76036="",48145.08879=""),"-",(53798.76036-48145.08879)/4831335.29052*100)</f>
        <v>0.11702089029286745</v>
      </c>
    </row>
    <row r="74" spans="1:7" s="10" customFormat="1" ht="15.75">
      <c r="A74" s="21" t="s">
        <v>76</v>
      </c>
      <c r="B74" s="72">
        <f>IF(8193.4783="","-",8193.4783)</f>
        <v>8193.4783</v>
      </c>
      <c r="C74" s="72">
        <f>IF(OR(13169.35926="",8193.4783=""),"-",8193.4783/13169.35926*100)</f>
        <v>62.216225848485216</v>
      </c>
      <c r="D74" s="72">
        <f>IF(13169.35926="","-",13169.35926/4831335.29052*100)</f>
        <v>0.2725821841808576</v>
      </c>
      <c r="E74" s="72">
        <f>IF(8193.4783="","-",8193.4783/5764278.95119*100)</f>
        <v>0.1421422934139665</v>
      </c>
      <c r="F74" s="72">
        <f>IF(OR(4020356.96103="",4782.64284="",13169.35926=""),"-",(13169.35926-4782.64284)/4020356.96103*100)</f>
        <v>0.208606263107825</v>
      </c>
      <c r="G74" s="72">
        <f>IF(OR(4831335.29052="",8193.4783="",13169.35926=""),"-",(8193.4783-13169.35926)/4831335.29052*100)</f>
        <v>-0.1029918368481613</v>
      </c>
    </row>
    <row r="75" spans="1:7" s="10" customFormat="1" ht="15.75">
      <c r="A75" s="21" t="s">
        <v>77</v>
      </c>
      <c r="B75" s="72">
        <f>IF(141318.49616="","-",141318.49616)</f>
        <v>141318.49616</v>
      </c>
      <c r="C75" s="72">
        <f>IF(OR(129300.43575="",141318.49616=""),"-",141318.49616/129300.43575*100)</f>
        <v>109.29467897017508</v>
      </c>
      <c r="D75" s="72">
        <f>IF(129300.43575="","-",129300.43575/4831335.29052*100)</f>
        <v>2.6762877750114358</v>
      </c>
      <c r="E75" s="72">
        <f>IF(141318.49616="","-",141318.49616/5764278.95119*100)</f>
        <v>2.4516248668157474</v>
      </c>
      <c r="F75" s="72">
        <f>IF(OR(4020356.96103="",100887.00417="",129300.43575=""),"-",(129300.43575-100887.00417)/4020356.96103*100)</f>
        <v>0.7067390248034242</v>
      </c>
      <c r="G75" s="72">
        <f>IF(OR(4831335.29052="",141318.49616="",129300.43575=""),"-",(141318.49616-129300.43575)/4831335.29052*100)</f>
        <v>0.2487523570053548</v>
      </c>
    </row>
    <row r="76" spans="1:7" s="10" customFormat="1" ht="15.75">
      <c r="A76" s="21" t="s">
        <v>78</v>
      </c>
      <c r="B76" s="72">
        <f>IF(40748.94526="","-",40748.94526)</f>
        <v>40748.94526</v>
      </c>
      <c r="C76" s="72">
        <f>IF(OR(40448.17403="",40748.94526=""),"-",40748.94526/40448.17403*100)</f>
        <v>100.74359655834382</v>
      </c>
      <c r="D76" s="72">
        <f>IF(40448.17403="","-",40448.17403/4831335.29052*100)</f>
        <v>0.8372048636195262</v>
      </c>
      <c r="E76" s="72">
        <f>IF(40748.94526="","-",40748.94526/5764278.95119*100)</f>
        <v>0.7069218128589635</v>
      </c>
      <c r="F76" s="72">
        <f>IF(OR(4020356.96103="",24991.21201="",40448.17403=""),"-",(40448.17403-24991.21201)/4020356.96103*100)</f>
        <v>0.38446740351234854</v>
      </c>
      <c r="G76" s="72">
        <f>IF(OR(4831335.29052="",40748.94526="",40448.17403=""),"-",(40748.94526-40448.17403)/4831335.29052*100)</f>
        <v>0.006225426552161861</v>
      </c>
    </row>
    <row r="77" spans="1:7" ht="25.5">
      <c r="A77" s="21" t="s">
        <v>288</v>
      </c>
      <c r="B77" s="72">
        <f>IF(62344.84539="","-",62344.84539)</f>
        <v>62344.84539</v>
      </c>
      <c r="C77" s="72">
        <f>IF(OR(51385.90378="",62344.84539=""),"-",62344.84539/51385.90378*100)</f>
        <v>121.32674683881955</v>
      </c>
      <c r="D77" s="72">
        <f>IF(51385.90378="","-",51385.90378/4831335.29052*100)</f>
        <v>1.0635963080606086</v>
      </c>
      <c r="E77" s="72">
        <f>IF(62344.84539="","-",62344.84539/5764278.95119*100)</f>
        <v>1.081572316640389</v>
      </c>
      <c r="F77" s="72">
        <f>IF(OR(4020356.96103="",38803.98702="",51385.90378=""),"-",(51385.90378-38803.98702)/4020356.96103*100)</f>
        <v>0.31295521472244003</v>
      </c>
      <c r="G77" s="72">
        <f>IF(OR(4831335.29052="",62344.84539="",51385.90378=""),"-",(62344.84539-51385.90378)/4831335.29052*100)</f>
        <v>0.22683049200711722</v>
      </c>
    </row>
    <row r="78" spans="1:10" ht="25.5">
      <c r="A78" s="21" t="s">
        <v>79</v>
      </c>
      <c r="B78" s="72">
        <f>IF(12745.10266="","-",12745.10266)</f>
        <v>12745.10266</v>
      </c>
      <c r="C78" s="72">
        <f>IF(OR(10589.65753="",12745.10266=""),"-",12745.10266/10589.65753*100)</f>
        <v>120.3542477544125</v>
      </c>
      <c r="D78" s="72">
        <f>IF(10589.65753="","-",10589.65753/4831335.29052*100)</f>
        <v>0.2191869719905163</v>
      </c>
      <c r="E78" s="72">
        <f>IF(12745.10266="","-",12745.10266/5764278.95119*100)</f>
        <v>0.2211048904454711</v>
      </c>
      <c r="F78" s="72">
        <f>IF(OR(4020356.96103="",7975.52279="",10589.65753=""),"-",(10589.65753-7975.52279)/4020356.96103*100)</f>
        <v>0.06502245361143925</v>
      </c>
      <c r="G78" s="72">
        <f>IF(OR(4831335.29052="",12745.10266="",10589.65753=""),"-",(12745.10266-10589.65753)/4831335.29052*100)</f>
        <v>0.044613859324344425</v>
      </c>
      <c r="J78" s="1"/>
    </row>
    <row r="79" spans="1:7" s="1" customFormat="1" ht="15.75">
      <c r="A79" s="21" t="s">
        <v>80</v>
      </c>
      <c r="B79" s="72">
        <f>IF(224266.82734="","-",224266.82734)</f>
        <v>224266.82734</v>
      </c>
      <c r="C79" s="72">
        <f>IF(OR(183278.62561="",224266.82734=""),"-",224266.82734/183278.62561*100)</f>
        <v>122.36387445267027</v>
      </c>
      <c r="D79" s="72">
        <f>IF(183278.62561="","-",183278.62561/4831335.29052*100)</f>
        <v>3.793539768801134</v>
      </c>
      <c r="E79" s="72">
        <f>IF(224266.82734="","-",224266.82734/5764278.95119*100)</f>
        <v>3.890631061387157</v>
      </c>
      <c r="F79" s="72">
        <f>IF(OR(4020356.96103="",143859.84964="",183278.62561=""),"-",(183278.62561-143859.84964)/4020356.96103*100)</f>
        <v>0.980479503489189</v>
      </c>
      <c r="G79" s="72">
        <f>IF(OR(4831335.29052="",224266.82734="",183278.62561=""),"-",(224266.82734-183278.62561)/4831335.29052*100)</f>
        <v>0.8483824712068039</v>
      </c>
    </row>
    <row r="80" spans="1:7" s="1" customFormat="1" ht="25.5">
      <c r="A80" s="38" t="s">
        <v>192</v>
      </c>
      <c r="B80" s="76">
        <f>IF(1161.46284="","-",1161.46284)</f>
        <v>1161.46284</v>
      </c>
      <c r="C80" s="76">
        <f>IF(1188.16463="","-",1161.46284/1188.16463*100)</f>
        <v>97.75268600614714</v>
      </c>
      <c r="D80" s="76">
        <f>IF(1188.16463="","-",1188.16463/4831335.29052*100)</f>
        <v>0.024592882889568964</v>
      </c>
      <c r="E80" s="76">
        <f>IF(1161.46284="","-",1161.46284/5764278.95119*100)</f>
        <v>0.020149317023601416</v>
      </c>
      <c r="F80" s="76">
        <f>IF(4020356.96103="","-",(1188.16463-4079.27633)/4020356.96103*100)</f>
        <v>-0.07191181599106834</v>
      </c>
      <c r="G80" s="76">
        <f>IF(4831335.29052="","-",(1161.46284-1188.16463)/4831335.29052*100)</f>
        <v>-0.0005526792986691292</v>
      </c>
    </row>
    <row r="81" spans="1:10" ht="15.75">
      <c r="A81" s="57" t="s">
        <v>19</v>
      </c>
      <c r="J81" s="1"/>
    </row>
    <row r="82" ht="15.75">
      <c r="J82" s="1"/>
    </row>
    <row r="83" ht="15.75">
      <c r="J83" s="1"/>
    </row>
    <row r="84" ht="15.75">
      <c r="J84" s="1"/>
    </row>
    <row r="85" ht="15.75">
      <c r="J85" s="1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4"/>
  <sheetViews>
    <sheetView zoomScalePageLayoutView="0" workbookViewId="0" topLeftCell="A1">
      <selection activeCell="L9" sqref="L9"/>
    </sheetView>
  </sheetViews>
  <sheetFormatPr defaultColWidth="9.00390625" defaultRowHeight="15.75"/>
  <cols>
    <col min="1" max="1" width="42.125" style="0" customWidth="1"/>
    <col min="2" max="2" width="13.875" style="0" customWidth="1"/>
    <col min="3" max="3" width="13.50390625" style="0" customWidth="1"/>
    <col min="4" max="4" width="16.125" style="0" customWidth="1"/>
    <col min="5" max="5" width="10.375" style="0" customWidth="1"/>
    <col min="6" max="6" width="12.125" style="0" bestFit="1" customWidth="1"/>
  </cols>
  <sheetData>
    <row r="1" spans="1:4" ht="15.75">
      <c r="A1" s="90" t="s">
        <v>186</v>
      </c>
      <c r="B1" s="90"/>
      <c r="C1" s="90"/>
      <c r="D1" s="90"/>
    </row>
    <row r="2" spans="1:4" ht="15.75">
      <c r="A2" s="90" t="s">
        <v>22</v>
      </c>
      <c r="B2" s="90"/>
      <c r="C2" s="90"/>
      <c r="D2" s="90"/>
    </row>
    <row r="3" ht="15.75">
      <c r="A3" s="5"/>
    </row>
    <row r="4" spans="1:7" ht="40.5" customHeight="1">
      <c r="A4" s="69"/>
      <c r="B4" s="69">
        <v>2017</v>
      </c>
      <c r="C4" s="70">
        <v>2018</v>
      </c>
      <c r="D4" s="70" t="s">
        <v>296</v>
      </c>
      <c r="E4" s="1"/>
      <c r="F4" s="1"/>
      <c r="G4" s="1"/>
    </row>
    <row r="5" spans="1:7" ht="16.5" customHeight="1">
      <c r="A5" s="51" t="s">
        <v>204</v>
      </c>
      <c r="B5" s="74">
        <f>IF(-2406363.26353="","-",-2406363.26353)</f>
        <v>-2406363.26353</v>
      </c>
      <c r="C5" s="74">
        <f>IF(-3057377.14157="","-",-3057377.14157)</f>
        <v>-3057377.14157</v>
      </c>
      <c r="D5" s="74">
        <f>IF(-2406363.26353="","-",-3057377.14157/-2406363.26353*100)</f>
        <v>127.05384876450445</v>
      </c>
      <c r="E5" s="33"/>
      <c r="F5" s="33"/>
      <c r="G5" s="33"/>
    </row>
    <row r="6" spans="1:4" ht="15.75">
      <c r="A6" s="49" t="s">
        <v>191</v>
      </c>
      <c r="B6" s="54"/>
      <c r="C6" s="54"/>
      <c r="D6" s="54"/>
    </row>
    <row r="7" spans="1:4" ht="15.75">
      <c r="A7" s="42" t="s">
        <v>23</v>
      </c>
      <c r="B7" s="71">
        <f>IF(99651.40461="","-",99651.40461)</f>
        <v>99651.40461</v>
      </c>
      <c r="C7" s="71">
        <f>IF(51670.6624="","-",51670.6624)</f>
        <v>51670.6624</v>
      </c>
      <c r="D7" s="71">
        <f>IF(99651.40461="","-",51670.6624/99651.40461*100)</f>
        <v>51.85141403898973</v>
      </c>
    </row>
    <row r="8" spans="1:4" ht="15.75">
      <c r="A8" s="21" t="s">
        <v>24</v>
      </c>
      <c r="B8" s="72">
        <f>IF(OR(1477.64556="",1477.64556=0),"-",1477.64556)</f>
        <v>1477.64556</v>
      </c>
      <c r="C8" s="72">
        <f>IF(OR(6820.67881="",6820.67881=0),"-",6820.67881)</f>
        <v>6820.67881</v>
      </c>
      <c r="D8" s="72" t="s">
        <v>293</v>
      </c>
    </row>
    <row r="9" spans="1:4" ht="15.75">
      <c r="A9" s="21" t="s">
        <v>25</v>
      </c>
      <c r="B9" s="72">
        <f>IF(OR(-26092.52775="",-26092.52775=0),"-",-26092.52775)</f>
        <v>-26092.52775</v>
      </c>
      <c r="C9" s="72">
        <f>IF(OR(-30252.01734="",-30252.01734=0),"-",-30252.01734)</f>
        <v>-30252.01734</v>
      </c>
      <c r="D9" s="72">
        <f>IF(OR(-26092.52775="",-30252.01734="",-26092.52775=0,-30252.01734=0),"-",-30252.01734/-26092.52775*100)</f>
        <v>115.94130560999403</v>
      </c>
    </row>
    <row r="10" spans="1:4" ht="15.75">
      <c r="A10" s="21" t="s">
        <v>26</v>
      </c>
      <c r="B10" s="72">
        <f>IF(OR(-30389.44463="",-30389.44463=0),"-",-30389.44463)</f>
        <v>-30389.44463</v>
      </c>
      <c r="C10" s="72">
        <f>IF(OR(-37957.96165="",-37957.96165=0),"-",-37957.96165)</f>
        <v>-37957.96165</v>
      </c>
      <c r="D10" s="72">
        <f>IF(OR(-30389.44463="",-37957.96165="",-30389.44463=0,-37957.96165=0),"-",-37957.96165/-30389.44463*100)</f>
        <v>124.90508501273652</v>
      </c>
    </row>
    <row r="11" spans="1:4" ht="15.75">
      <c r="A11" s="21" t="s">
        <v>27</v>
      </c>
      <c r="B11" s="72">
        <f>IF(OR(-47162.76433="",-47162.76433=0),"-",-47162.76433)</f>
        <v>-47162.76433</v>
      </c>
      <c r="C11" s="72">
        <f>IF(OR(-52288.85854="",-52288.85854=0),"-",-52288.85854)</f>
        <v>-52288.85854</v>
      </c>
      <c r="D11" s="72">
        <f>IF(OR(-47162.76433="",-52288.85854="",-47162.76433=0,-52288.85854=0),"-",-52288.85854/-47162.76433*100)</f>
        <v>110.86894350410101</v>
      </c>
    </row>
    <row r="12" spans="1:4" ht="15.75">
      <c r="A12" s="21" t="s">
        <v>28</v>
      </c>
      <c r="B12" s="72">
        <f>IF(OR(133990.30043="",133990.30043=0),"-",133990.30043)</f>
        <v>133990.30043</v>
      </c>
      <c r="C12" s="72">
        <f>IF(OR(166307.61052="",166307.61052=0),"-",166307.61052)</f>
        <v>166307.61052</v>
      </c>
      <c r="D12" s="72">
        <f>IF(OR(133990.30043="",166307.61052="",133990.30043=0,166307.61052=0),"-",166307.61052/133990.30043*100)</f>
        <v>124.11914145000623</v>
      </c>
    </row>
    <row r="13" spans="1:4" ht="15.75">
      <c r="A13" s="21" t="s">
        <v>29</v>
      </c>
      <c r="B13" s="72">
        <f>IF(OR(191088.35252="",191088.35252=0),"-",191088.35252)</f>
        <v>191088.35252</v>
      </c>
      <c r="C13" s="72">
        <f>IF(OR(114652.29869="",114652.29869=0),"-",114652.29869)</f>
        <v>114652.29869</v>
      </c>
      <c r="D13" s="72">
        <f>IF(OR(191088.35252="",114652.29869="",191088.35252=0,114652.29869=0),"-",114652.29869/191088.35252*100)</f>
        <v>59.99962696732135</v>
      </c>
    </row>
    <row r="14" spans="1:4" ht="15.75">
      <c r="A14" s="21" t="s">
        <v>30</v>
      </c>
      <c r="B14" s="72">
        <f>IF(OR(5000.30118="",5000.30118=0),"-",5000.30118)</f>
        <v>5000.30118</v>
      </c>
      <c r="C14" s="72">
        <f>IF(OR(12544.03512="",12544.03512=0),"-",12544.03512)</f>
        <v>12544.03512</v>
      </c>
      <c r="D14" s="72" t="s">
        <v>239</v>
      </c>
    </row>
    <row r="15" spans="1:4" ht="15.75">
      <c r="A15" s="21" t="s">
        <v>31</v>
      </c>
      <c r="B15" s="72">
        <f>IF(OR(-43387.49266="",-43387.49266=0),"-",-43387.49266)</f>
        <v>-43387.49266</v>
      </c>
      <c r="C15" s="72">
        <f>IF(OR(-45033.50345="",-45033.50345=0),"-",-45033.50345)</f>
        <v>-45033.50345</v>
      </c>
      <c r="D15" s="72">
        <f>IF(OR(-43387.49266="",-45033.50345="",-43387.49266=0,-45033.50345=0),"-",-45033.50345/-43387.49266*100)</f>
        <v>103.79374489993862</v>
      </c>
    </row>
    <row r="16" spans="1:4" ht="15.75">
      <c r="A16" s="21" t="s">
        <v>32</v>
      </c>
      <c r="B16" s="72">
        <f>IF(OR(-15688.40977="",-15688.40977=0),"-",-15688.40977)</f>
        <v>-15688.40977</v>
      </c>
      <c r="C16" s="72">
        <f>IF(OR(-12887.3695="",-12887.3695=0),"-",-12887.3695)</f>
        <v>-12887.3695</v>
      </c>
      <c r="D16" s="72">
        <f>IF(OR(-15688.40977="",-12887.3695="",-15688.40977=0,-12887.3695=0),"-",-12887.3695/-15688.40977*100)</f>
        <v>82.14579864329997</v>
      </c>
    </row>
    <row r="17" spans="1:4" ht="15.75">
      <c r="A17" s="21" t="s">
        <v>33</v>
      </c>
      <c r="B17" s="72">
        <f>IF(OR(-69184.55594="",-69184.55594=0),"-",-69184.55594)</f>
        <v>-69184.55594</v>
      </c>
      <c r="C17" s="72">
        <f>IF(OR(-70234.25026="",-70234.25026=0),"-",-70234.25026)</f>
        <v>-70234.25026</v>
      </c>
      <c r="D17" s="72">
        <f>IF(OR(-69184.55594="",-70234.25026="",-69184.55594=0,-70234.25026=0),"-",-70234.25026/-69184.55594*100)</f>
        <v>101.51723792360588</v>
      </c>
    </row>
    <row r="18" spans="1:4" ht="15.75">
      <c r="A18" s="42" t="s">
        <v>34</v>
      </c>
      <c r="B18" s="71">
        <f>IF(77772.61391="","-",77772.61391)</f>
        <v>77772.61391</v>
      </c>
      <c r="C18" s="71">
        <f>IF(93686.92905="","-",93686.92905)</f>
        <v>93686.92905</v>
      </c>
      <c r="D18" s="71">
        <f>IF(77772.61391="","-",93686.92905/77772.61391*100)</f>
        <v>120.46262088916848</v>
      </c>
    </row>
    <row r="19" spans="1:4" ht="15.75">
      <c r="A19" s="21" t="s">
        <v>231</v>
      </c>
      <c r="B19" s="72">
        <f>IF(OR(127022.69661="",127022.69661=0),"-",127022.69661)</f>
        <v>127022.69661</v>
      </c>
      <c r="C19" s="72">
        <f>IF(OR(134383.96256="",134383.96256=0),"-",134383.96256)</f>
        <v>134383.96256</v>
      </c>
      <c r="D19" s="72">
        <f>IF(OR(127022.69661="",134383.96256="",127022.69661=0,134383.96256=0),"-",134383.96256/127022.69661*100)</f>
        <v>105.79523671474354</v>
      </c>
    </row>
    <row r="20" spans="1:4" ht="15.75">
      <c r="A20" s="21" t="s">
        <v>35</v>
      </c>
      <c r="B20" s="72">
        <f>IF(OR(-49250.0827="",-49250.0827=0),"-",-49250.0827)</f>
        <v>-49250.0827</v>
      </c>
      <c r="C20" s="72">
        <f>IF(OR(-40697.03351="",-40697.03351=0),"-",-40697.03351)</f>
        <v>-40697.03351</v>
      </c>
      <c r="D20" s="72">
        <f>IF(OR(-49250.0827="",-40697.03351="",-49250.0827=0,-40697.03351=0),"-",-40697.03351/-49250.0827*100)</f>
        <v>82.63343182162819</v>
      </c>
    </row>
    <row r="21" spans="1:4" ht="15.75">
      <c r="A21" s="42" t="s">
        <v>36</v>
      </c>
      <c r="B21" s="71">
        <f>IF(165744.8708="","-",165744.8708)</f>
        <v>165744.8708</v>
      </c>
      <c r="C21" s="71">
        <f>IF(139454.03726="","-",139454.03726)</f>
        <v>139454.03726</v>
      </c>
      <c r="D21" s="71">
        <f>IF(165744.8708="","-",139454.03726/165744.8708*100)</f>
        <v>84.13776944462768</v>
      </c>
    </row>
    <row r="22" spans="1:4" ht="15.75">
      <c r="A22" s="21" t="s">
        <v>37</v>
      </c>
      <c r="B22" s="72">
        <f>IF(OR(3593.04244="",3593.04244=0),"-",3593.04244)</f>
        <v>3593.04244</v>
      </c>
      <c r="C22" s="72">
        <f>IF(OR(2878.33023="",2878.33023=0),"-",2878.33023)</f>
        <v>2878.33023</v>
      </c>
      <c r="D22" s="72">
        <f>IF(OR(3593.04244="",2878.33023="",3593.04244=0,2878.33023=0),"-",2878.33023/3593.04244*100)</f>
        <v>80.10843952068653</v>
      </c>
    </row>
    <row r="23" spans="1:4" ht="15.75">
      <c r="A23" s="21" t="s">
        <v>38</v>
      </c>
      <c r="B23" s="72">
        <f>IF(OR(212419.15154="",212419.15154=0),"-",212419.15154)</f>
        <v>212419.15154</v>
      </c>
      <c r="C23" s="72">
        <f>IF(OR(202112.94667="",202112.94667=0),"-",202112.94667)</f>
        <v>202112.94667</v>
      </c>
      <c r="D23" s="72">
        <f>IF(OR(212419.15154="",202112.94667="",212419.15154=0,202112.94667=0),"-",202112.94667/212419.15154*100)</f>
        <v>95.14817529620946</v>
      </c>
    </row>
    <row r="24" spans="1:4" ht="15.75">
      <c r="A24" s="21" t="s">
        <v>39</v>
      </c>
      <c r="B24" s="72">
        <f>IF(OR(-745.53281="",-745.53281=0),"-",-745.53281)</f>
        <v>-745.53281</v>
      </c>
      <c r="C24" s="72">
        <f>IF(OR(-943.106="",-943.106=0),"-",-943.106)</f>
        <v>-943.106</v>
      </c>
      <c r="D24" s="72">
        <f>IF(OR(-745.53281="",-943.106="",-745.53281=0,-943.106=0),"-",-943.106/-745.53281*100)</f>
        <v>126.50093830209832</v>
      </c>
    </row>
    <row r="25" spans="1:4" ht="15.75">
      <c r="A25" s="21" t="s">
        <v>40</v>
      </c>
      <c r="B25" s="72">
        <f>IF(OR(-32591.23693="",-32591.23693=0),"-",-32591.23693)</f>
        <v>-32591.23693</v>
      </c>
      <c r="C25" s="72">
        <f>IF(OR(-34597.722="",-34597.722=0),"-",-34597.722)</f>
        <v>-34597.722</v>
      </c>
      <c r="D25" s="72">
        <f>IF(OR(-32591.23693="",-34597.722="",-32591.23693=0,-34597.722=0),"-",-34597.722/-32591.23693*100)</f>
        <v>106.15651708558826</v>
      </c>
    </row>
    <row r="26" spans="1:4" ht="15.75">
      <c r="A26" s="21" t="s">
        <v>201</v>
      </c>
      <c r="B26" s="72">
        <f>IF(OR(2463.79351="",2463.79351=0),"-",2463.79351)</f>
        <v>2463.79351</v>
      </c>
      <c r="C26" s="72">
        <f>IF(OR(2759.33413="",2759.33413=0),"-",2759.33413)</f>
        <v>2759.33413</v>
      </c>
      <c r="D26" s="72">
        <f>IF(OR(2463.79351="",2759.33413="",2463.79351=0,2759.33413=0),"-",2759.33413/2463.79351*100)</f>
        <v>111.99534858747154</v>
      </c>
    </row>
    <row r="27" spans="1:4" ht="25.5">
      <c r="A27" s="21" t="s">
        <v>215</v>
      </c>
      <c r="B27" s="72">
        <f>IF(OR(-8753.58104="",-8753.58104=0),"-",-8753.58104)</f>
        <v>-8753.58104</v>
      </c>
      <c r="C27" s="72">
        <f>IF(OR(-8097.57213="",-8097.57213=0),"-",-8097.57213)</f>
        <v>-8097.57213</v>
      </c>
      <c r="D27" s="72">
        <f>IF(OR(-8753.58104="",-8097.57213="",-8753.58104=0,-8097.57213=0),"-",-8097.57213/-8753.58104*100)</f>
        <v>92.50582239425981</v>
      </c>
    </row>
    <row r="28" spans="1:4" ht="25.5">
      <c r="A28" s="21" t="s">
        <v>41</v>
      </c>
      <c r="B28" s="72">
        <f>IF(OR(-1308.00923="",-1308.00923=0),"-",-1308.00923)</f>
        <v>-1308.00923</v>
      </c>
      <c r="C28" s="72">
        <f>IF(OR(-5612.9281="",-5612.9281=0),"-",-5612.9281)</f>
        <v>-5612.9281</v>
      </c>
      <c r="D28" s="72" t="s">
        <v>294</v>
      </c>
    </row>
    <row r="29" spans="1:4" ht="15.75">
      <c r="A29" s="21" t="s">
        <v>216</v>
      </c>
      <c r="B29" s="72">
        <f>IF(OR(13812.71077="",13812.71077=0),"-",13812.71077)</f>
        <v>13812.71077</v>
      </c>
      <c r="C29" s="72">
        <f>IF(OR(13137.36835="",13137.36835=0),"-",13137.36835)</f>
        <v>13137.36835</v>
      </c>
      <c r="D29" s="72">
        <f>IF(OR(13812.71077="",13137.36835="",13812.71077=0,13137.36835=0),"-",13137.36835/13812.71077*100)</f>
        <v>95.11071772047248</v>
      </c>
    </row>
    <row r="30" spans="1:4" ht="15.75">
      <c r="A30" s="21" t="s">
        <v>42</v>
      </c>
      <c r="B30" s="72">
        <f>IF(OR(-23145.46745="",-23145.46745=0),"-",-23145.46745)</f>
        <v>-23145.46745</v>
      </c>
      <c r="C30" s="72">
        <f>IF(OR(-32182.61389="",-32182.61389=0),"-",-32182.61389)</f>
        <v>-32182.61389</v>
      </c>
      <c r="D30" s="72">
        <f>IF(OR(-23145.46745="",-32182.61389="",-23145.46745=0,-32182.61389=0),"-",-32182.61389/-23145.46745*100)</f>
        <v>139.04499427165382</v>
      </c>
    </row>
    <row r="31" spans="1:4" ht="15.75">
      <c r="A31" s="42" t="s">
        <v>43</v>
      </c>
      <c r="B31" s="71">
        <f>IF(-742344.47037="","-",-742344.47037)</f>
        <v>-742344.47037</v>
      </c>
      <c r="C31" s="71">
        <f>IF(-971530.23357="","-",-971530.23357)</f>
        <v>-971530.23357</v>
      </c>
      <c r="D31" s="71">
        <f>IF(-742344.47037="","-",-971530.23357/-742344.47037*100)</f>
        <v>130.87323639465774</v>
      </c>
    </row>
    <row r="32" spans="1:4" ht="15.75">
      <c r="A32" s="21" t="s">
        <v>223</v>
      </c>
      <c r="B32" s="72">
        <f>IF(OR(-24799.40482="",-24799.40482=0),"-",-24799.40482)</f>
        <v>-24799.40482</v>
      </c>
      <c r="C32" s="72">
        <f>IF(OR(-18240.61741="",-18240.61741=0),"-",-18240.61741)</f>
        <v>-18240.61741</v>
      </c>
      <c r="D32" s="72">
        <f>IF(OR(-24799.40482="",-18240.61741="",-24799.40482=0,-18240.61741=0),"-",-18240.61741/-24799.40482*100)</f>
        <v>73.55264185731373</v>
      </c>
    </row>
    <row r="33" spans="1:4" ht="15.75">
      <c r="A33" s="21" t="s">
        <v>44</v>
      </c>
      <c r="B33" s="72">
        <f>IF(OR(-458280.54064="",-458280.54064=0),"-",-458280.54064)</f>
        <v>-458280.54064</v>
      </c>
      <c r="C33" s="72">
        <f>IF(OR(-614189.36619="",-614189.36619=0),"-",-614189.36619)</f>
        <v>-614189.36619</v>
      </c>
      <c r="D33" s="72">
        <f>IF(OR(-458280.54064="",-614189.36619="",-458280.54064=0,-614189.36619=0),"-",-614189.36619/-458280.54064*100)</f>
        <v>134.02038963563007</v>
      </c>
    </row>
    <row r="34" spans="1:4" ht="15.75">
      <c r="A34" s="21" t="s">
        <v>45</v>
      </c>
      <c r="B34" s="72">
        <f>IF(OR(-202292.46993="",-202292.46993=0),"-",-202292.46993)</f>
        <v>-202292.46993</v>
      </c>
      <c r="C34" s="72">
        <f>IF(OR(-284020.09466="",-284020.09466=0),"-",-284020.09466)</f>
        <v>-284020.09466</v>
      </c>
      <c r="D34" s="72">
        <f>IF(OR(-202292.46993="",-284020.09466="",-202292.46993=0,-284020.09466=0),"-",-284020.09466/-202292.46993*100)</f>
        <v>140.40072512747534</v>
      </c>
    </row>
    <row r="35" spans="1:4" ht="15.75">
      <c r="A35" s="21" t="s">
        <v>46</v>
      </c>
      <c r="B35" s="72">
        <f>IF(OR(-56972.05498="",-56972.05498=0),"-",-56972.05498)</f>
        <v>-56972.05498</v>
      </c>
      <c r="C35" s="72">
        <f>IF(OR(-55080.15531="",-55080.15531=0),"-",-55080.15531)</f>
        <v>-55080.15531</v>
      </c>
      <c r="D35" s="72">
        <f>IF(OR(-56972.05498="",-55080.15531="",-56972.05498=0,-55080.15531=0),"-",-55080.15531/-56972.05498*100)</f>
        <v>96.67924972925034</v>
      </c>
    </row>
    <row r="36" spans="1:4" ht="15.75">
      <c r="A36" s="42" t="s">
        <v>47</v>
      </c>
      <c r="B36" s="71">
        <f>IF(37946.62538="","-",37946.62538)</f>
        <v>37946.62538</v>
      </c>
      <c r="C36" s="71">
        <f>IF(55046.54208="","-",55046.54208)</f>
        <v>55046.54208</v>
      </c>
      <c r="D36" s="71">
        <f>IF(37946.62538="","-",55046.54208/37946.62538*100)</f>
        <v>145.06307617280933</v>
      </c>
    </row>
    <row r="37" spans="1:4" ht="15.75">
      <c r="A37" s="21" t="s">
        <v>48</v>
      </c>
      <c r="B37" s="72">
        <f>IF(OR(-1411.58629="",-1411.58629=0),"-",-1411.58629)</f>
        <v>-1411.58629</v>
      </c>
      <c r="C37" s="72">
        <f>IF(OR(-1581.67928="",-1581.67928=0),"-",-1581.67928)</f>
        <v>-1581.67928</v>
      </c>
      <c r="D37" s="72">
        <f>IF(OR(-1411.58629="",-1581.67928="",-1411.58629=0,-1581.67928=0),"-",-1581.67928/-1411.58629*100)</f>
        <v>112.0497762839564</v>
      </c>
    </row>
    <row r="38" spans="1:4" ht="15" customHeight="1">
      <c r="A38" s="21" t="s">
        <v>49</v>
      </c>
      <c r="B38" s="72">
        <f>IF(OR(41988.92524="",41988.92524=0),"-",41988.92524)</f>
        <v>41988.92524</v>
      </c>
      <c r="C38" s="72">
        <f>IF(OR(59313.09553="",59313.09553=0),"-",59313.09553)</f>
        <v>59313.09553</v>
      </c>
      <c r="D38" s="72">
        <f>IF(OR(41988.92524="",59313.09553="",41988.92524=0,59313.09553=0),"-",59313.09553/41988.92524*100)</f>
        <v>141.2589038442366</v>
      </c>
    </row>
    <row r="39" spans="1:4" ht="38.25">
      <c r="A39" s="21" t="s">
        <v>202</v>
      </c>
      <c r="B39" s="72">
        <f>IF(OR(-2630.71357="",-2630.71357=0),"-",-2630.71357)</f>
        <v>-2630.71357</v>
      </c>
      <c r="C39" s="72">
        <f>IF(OR(-2684.87417="",-2684.87417=0),"-",-2684.87417)</f>
        <v>-2684.87417</v>
      </c>
      <c r="D39" s="72">
        <f>IF(OR(-2630.71357="",-2684.87417="",-2630.71357=0,-2684.87417=0),"-",-2684.87417/-2630.71357*100)</f>
        <v>102.05877981615461</v>
      </c>
    </row>
    <row r="40" spans="1:4" ht="25.5">
      <c r="A40" s="42" t="s">
        <v>50</v>
      </c>
      <c r="B40" s="71">
        <f>IF(-590822.11898="","-",-590822.11898)</f>
        <v>-590822.11898</v>
      </c>
      <c r="C40" s="71">
        <f>IF(-684271.61291="","-",-684271.61291)</f>
        <v>-684271.61291</v>
      </c>
      <c r="D40" s="71">
        <f>IF(-590822.11898="","-",-684271.61291/-590822.11898*100)</f>
        <v>115.816857718755</v>
      </c>
    </row>
    <row r="41" spans="1:4" ht="15.75">
      <c r="A41" s="21" t="s">
        <v>51</v>
      </c>
      <c r="B41" s="72">
        <f>IF(OR(2053.33894="",2053.33894=0),"-",2053.33894)</f>
        <v>2053.33894</v>
      </c>
      <c r="C41" s="72">
        <f>IF(OR(3942.33228="",3942.33228=0),"-",3942.33228)</f>
        <v>3942.33228</v>
      </c>
      <c r="D41" s="72" t="s">
        <v>245</v>
      </c>
    </row>
    <row r="42" spans="1:4" ht="15.75">
      <c r="A42" s="21" t="s">
        <v>52</v>
      </c>
      <c r="B42" s="72">
        <f>IF(OR(-12915.89865="",-12915.89865=0),"-",-12915.89865)</f>
        <v>-12915.89865</v>
      </c>
      <c r="C42" s="72">
        <f>IF(OR(-15561.72693="",-15561.72693=0),"-",-15561.72693)</f>
        <v>-15561.72693</v>
      </c>
      <c r="D42" s="72">
        <f>IF(OR(-12915.89865="",-15561.72693="",-12915.89865=0,-15561.72693=0),"-",-15561.72693/-12915.89865*100)</f>
        <v>120.48504987301058</v>
      </c>
    </row>
    <row r="43" spans="1:4" ht="15.75">
      <c r="A43" s="21" t="s">
        <v>53</v>
      </c>
      <c r="B43" s="72">
        <f>IF(OR(-31819.07766="",-31819.07766=0),"-",-31819.07766)</f>
        <v>-31819.07766</v>
      </c>
      <c r="C43" s="72">
        <f>IF(OR(-34150.20197="",-34150.20197=0),"-",-34150.20197)</f>
        <v>-34150.20197</v>
      </c>
      <c r="D43" s="72">
        <f>IF(OR(-31819.07766="",-34150.20197="",-31819.07766=0,-34150.20197=0),"-",-34150.20197/-31819.07766*100)</f>
        <v>107.32618441963979</v>
      </c>
    </row>
    <row r="44" spans="1:4" ht="15.75">
      <c r="A44" s="21" t="s">
        <v>54</v>
      </c>
      <c r="B44" s="72">
        <f>IF(OR(-157088.44384="",-157088.44384=0),"-",-157088.44384)</f>
        <v>-157088.44384</v>
      </c>
      <c r="C44" s="72">
        <f>IF(OR(-167447.717="",-167447.717=0),"-",-167447.717)</f>
        <v>-167447.717</v>
      </c>
      <c r="D44" s="72">
        <f>IF(OR(-157088.44384="",-167447.717="",-157088.44384=0,-167447.717=0),"-",-167447.717/-157088.44384*100)</f>
        <v>106.59454820912944</v>
      </c>
    </row>
    <row r="45" spans="1:4" ht="25.5">
      <c r="A45" s="21" t="s">
        <v>224</v>
      </c>
      <c r="B45" s="72">
        <f>IF(OR(-83347.36179="",-83347.36179=0),"-",-83347.36179)</f>
        <v>-83347.36179</v>
      </c>
      <c r="C45" s="72">
        <f>IF(OR(-92509.56528="",-92509.56528=0),"-",-92509.56528)</f>
        <v>-92509.56528</v>
      </c>
      <c r="D45" s="72">
        <f>IF(OR(-83347.36179="",-92509.56528="",-83347.36179=0,-92509.56528=0),"-",-92509.56528/-83347.36179*100)</f>
        <v>110.99279364484849</v>
      </c>
    </row>
    <row r="46" spans="1:4" ht="15.75">
      <c r="A46" s="21" t="s">
        <v>55</v>
      </c>
      <c r="B46" s="72">
        <f>IF(OR(-63445.98491="",-63445.98491=0),"-",-63445.98491)</f>
        <v>-63445.98491</v>
      </c>
      <c r="C46" s="72">
        <f>IF(OR(-86088.49876="",-86088.49876=0),"-",-86088.49876)</f>
        <v>-86088.49876</v>
      </c>
      <c r="D46" s="72">
        <f>IF(OR(-63445.98491="",-86088.49876="",-63445.98491=0,-86088.49876=0),"-",-86088.49876/-63445.98491*100)</f>
        <v>135.6878593375437</v>
      </c>
    </row>
    <row r="47" spans="1:4" ht="15.75">
      <c r="A47" s="21" t="s">
        <v>56</v>
      </c>
      <c r="B47" s="72">
        <f>IF(OR(-47978.90352="",-47978.90352=0),"-",-47978.90352)</f>
        <v>-47978.90352</v>
      </c>
      <c r="C47" s="72">
        <f>IF(OR(-56733.82783="",-56733.82783=0),"-",-56733.82783)</f>
        <v>-56733.82783</v>
      </c>
      <c r="D47" s="72">
        <f>IF(OR(-47978.90352="",-56733.82783="",-47978.90352=0,-56733.82783=0),"-",-56733.82783/-47978.90352*100)</f>
        <v>118.24744558064049</v>
      </c>
    </row>
    <row r="48" spans="1:4" ht="15.75">
      <c r="A48" s="21" t="s">
        <v>57</v>
      </c>
      <c r="B48" s="72">
        <f>IF(OR(-95389.83118="",-95389.83118=0),"-",-95389.83118)</f>
        <v>-95389.83118</v>
      </c>
      <c r="C48" s="72">
        <f>IF(OR(-110261.65449="",-110261.65449=0),"-",-110261.65449)</f>
        <v>-110261.65449</v>
      </c>
      <c r="D48" s="72">
        <f>IF(OR(-95389.83118="",-110261.65449="",-95389.83118=0,-110261.65449=0),"-",-110261.65449/-95389.83118*100)</f>
        <v>115.5905751441545</v>
      </c>
    </row>
    <row r="49" spans="1:4" ht="15.75">
      <c r="A49" s="21" t="s">
        <v>58</v>
      </c>
      <c r="B49" s="72">
        <f>IF(OR(-100889.95637="",-100889.95637=0),"-",-100889.95637)</f>
        <v>-100889.95637</v>
      </c>
      <c r="C49" s="72">
        <f>IF(OR(-125460.75293="",-125460.75293=0),"-",-125460.75293)</f>
        <v>-125460.75293</v>
      </c>
      <c r="D49" s="72">
        <f>IF(OR(-100889.95637="",-125460.75293="",-100889.95637=0,-125460.75293=0),"-",-125460.75293/-100889.95637*100)</f>
        <v>124.35405608650478</v>
      </c>
    </row>
    <row r="50" spans="1:4" ht="27.75" customHeight="1">
      <c r="A50" s="42" t="s">
        <v>232</v>
      </c>
      <c r="B50" s="71">
        <f>IF(-825055.15761="","-",-825055.15761)</f>
        <v>-825055.15761</v>
      </c>
      <c r="C50" s="71">
        <f>IF(-962903.21732="","-",-962903.21732)</f>
        <v>-962903.21732</v>
      </c>
      <c r="D50" s="71">
        <f>IF(-825055.15761="","-",-962903.21732/-825055.15761*100)</f>
        <v>116.70773868129194</v>
      </c>
    </row>
    <row r="51" spans="1:4" ht="15.75">
      <c r="A51" s="21" t="s">
        <v>59</v>
      </c>
      <c r="B51" s="72">
        <f>IF(OR(-43216.86307="",-43216.86307=0),"-",-43216.86307)</f>
        <v>-43216.86307</v>
      </c>
      <c r="C51" s="72">
        <f>IF(OR(-53366.94521="",-53366.94521=0),"-",-53366.94521)</f>
        <v>-53366.94521</v>
      </c>
      <c r="D51" s="72">
        <f>IF(OR(-43216.86307="",-53366.94521="",-43216.86307=0,-53366.94521=0),"-",-53366.94521/-43216.86307*100)</f>
        <v>123.48639262308217</v>
      </c>
    </row>
    <row r="52" spans="1:4" ht="15.75">
      <c r="A52" s="21" t="s">
        <v>60</v>
      </c>
      <c r="B52" s="72">
        <f>IF(OR(-56696.18168="",-56696.18168=0),"-",-56696.18168)</f>
        <v>-56696.18168</v>
      </c>
      <c r="C52" s="72">
        <f>IF(OR(-66675.67877="",-66675.67877=0),"-",-66675.67877)</f>
        <v>-66675.67877</v>
      </c>
      <c r="D52" s="72">
        <f>IF(OR(-56696.18168="",-66675.67877="",-56696.18168=0,-66675.67877=0),"-",-66675.67877/-56696.18168*100)</f>
        <v>117.60170931144087</v>
      </c>
    </row>
    <row r="53" spans="1:4" ht="15.75">
      <c r="A53" s="21" t="s">
        <v>61</v>
      </c>
      <c r="B53" s="72">
        <f>IF(OR(-62538.67906="",-62538.67906=0),"-",-62538.67906)</f>
        <v>-62538.67906</v>
      </c>
      <c r="C53" s="72">
        <f>IF(OR(-70863.61538="",-70863.61538=0),"-",-70863.61538)</f>
        <v>-70863.61538</v>
      </c>
      <c r="D53" s="72">
        <f>IF(OR(-62538.67906="",-70863.61538="",-62538.67906=0,-70863.61538=0),"-",-70863.61538/-62538.67906*100)</f>
        <v>113.31165999207147</v>
      </c>
    </row>
    <row r="54" spans="1:4" ht="25.5">
      <c r="A54" s="21" t="s">
        <v>217</v>
      </c>
      <c r="B54" s="72">
        <f>IF(OR(-81668.20946="",-81668.20946=0),"-",-81668.20946)</f>
        <v>-81668.20946</v>
      </c>
      <c r="C54" s="72">
        <f>IF(OR(-91282.40857="",-91282.40857=0),"-",-91282.40857)</f>
        <v>-91282.40857</v>
      </c>
      <c r="D54" s="72">
        <f>IF(OR(-81668.20946="",-91282.40857="",-81668.20946=0,-91282.40857=0),"-",-91282.40857/-81668.20946*100)</f>
        <v>111.7722663121553</v>
      </c>
    </row>
    <row r="55" spans="1:4" ht="25.5">
      <c r="A55" s="21" t="s">
        <v>218</v>
      </c>
      <c r="B55" s="72">
        <f>IF(OR(-195803.66461="",-195803.66461=0),"-",-195803.66461)</f>
        <v>-195803.66461</v>
      </c>
      <c r="C55" s="72">
        <f>IF(OR(-224466.34747="",-224466.34747=0),"-",-224466.34747)</f>
        <v>-224466.34747</v>
      </c>
      <c r="D55" s="72">
        <f>IF(OR(-195803.66461="",-224466.34747="",-195803.66461=0,-224466.34747=0),"-",-224466.34747/-195803.66461*100)</f>
        <v>114.63848131601115</v>
      </c>
    </row>
    <row r="56" spans="1:4" ht="15.75">
      <c r="A56" s="21" t="s">
        <v>62</v>
      </c>
      <c r="B56" s="72">
        <f>IF(OR(-82189.68839="",-82189.68839=0),"-",-82189.68839)</f>
        <v>-82189.68839</v>
      </c>
      <c r="C56" s="72">
        <f>IF(OR(-78622.38943="",-78622.38943=0),"-",-78622.38943)</f>
        <v>-78622.38943</v>
      </c>
      <c r="D56" s="72">
        <f>IF(OR(-82189.68839="",-78622.38943="",-82189.68839=0,-78622.38943=0),"-",-78622.38943/-82189.68839*100)</f>
        <v>95.65967576969908</v>
      </c>
    </row>
    <row r="57" spans="1:4" ht="15.75">
      <c r="A57" s="21" t="s">
        <v>219</v>
      </c>
      <c r="B57" s="72">
        <f>IF(OR(-107194.75203="",-107194.75203=0),"-",-107194.75203)</f>
        <v>-107194.75203</v>
      </c>
      <c r="C57" s="72">
        <f>IF(OR(-130503.03037="",-130503.03037=0),"-",-130503.03037)</f>
        <v>-130503.03037</v>
      </c>
      <c r="D57" s="72">
        <f>IF(OR(-107194.75203="",-130503.03037="",-107194.75203=0,-130503.03037=0),"-",-130503.03037/-107194.75203*100)</f>
        <v>121.74386142847445</v>
      </c>
    </row>
    <row r="58" spans="1:4" ht="15.75">
      <c r="A58" s="21" t="s">
        <v>63</v>
      </c>
      <c r="B58" s="72">
        <f>IF(OR(-81752.73965="",-81752.73965=0),"-",-81752.73965)</f>
        <v>-81752.73965</v>
      </c>
      <c r="C58" s="72">
        <f>IF(OR(-104512.99895="",-104512.99895=0),"-",-104512.99895)</f>
        <v>-104512.99895</v>
      </c>
      <c r="D58" s="72">
        <f>IF(OR(-81752.73965="",-104512.99895="",-81752.73965=0,-104512.99895=0),"-",-104512.99895/-81752.73965*100)</f>
        <v>127.84036277859465</v>
      </c>
    </row>
    <row r="59" spans="1:4" ht="15.75">
      <c r="A59" s="21" t="s">
        <v>64</v>
      </c>
      <c r="B59" s="72">
        <f>IF(OR(-113994.37966="",-113994.37966=0),"-",-113994.37966)</f>
        <v>-113994.37966</v>
      </c>
      <c r="C59" s="72">
        <f>IF(OR(-142609.80317="",-142609.80317=0),"-",-142609.80317)</f>
        <v>-142609.80317</v>
      </c>
      <c r="D59" s="72">
        <f>IF(OR(-113994.37966="",-142609.80317="",-113994.37966=0,-142609.80317=0),"-",-142609.80317/-113994.37966*100)</f>
        <v>125.1024862763835</v>
      </c>
    </row>
    <row r="60" spans="1:4" ht="15.75">
      <c r="A60" s="42" t="s">
        <v>291</v>
      </c>
      <c r="B60" s="71">
        <f>IF(-648345.2666="","-",-648345.2666)</f>
        <v>-648345.2666</v>
      </c>
      <c r="C60" s="71">
        <f>IF(-801550.3339="","-",-801550.3339)</f>
        <v>-801550.3339</v>
      </c>
      <c r="D60" s="71">
        <f>IF(-648345.2666="","-",-801550.3339/-648345.2666*100)</f>
        <v>123.63016670167512</v>
      </c>
    </row>
    <row r="61" spans="1:4" ht="15.75">
      <c r="A61" s="21" t="s">
        <v>66</v>
      </c>
      <c r="B61" s="72">
        <f>IF(OR(-14711.07665="",-14711.07665=0),"-",-14711.07665)</f>
        <v>-14711.07665</v>
      </c>
      <c r="C61" s="72">
        <f>IF(OR(-20212.8202="",-20212.8202=0),"-",-20212.8202)</f>
        <v>-20212.8202</v>
      </c>
      <c r="D61" s="72">
        <f>IF(OR(-14711.07665="",-20212.8202="",-14711.07665=0,-20212.8202=0),"-",-20212.8202/-14711.07665*100)</f>
        <v>137.39864648179912</v>
      </c>
    </row>
    <row r="62" spans="1:4" ht="15.75">
      <c r="A62" s="21" t="s">
        <v>292</v>
      </c>
      <c r="B62" s="72">
        <f>IF(OR(-146361.00953="",-146361.00953=0),"-",-146361.00953)</f>
        <v>-146361.00953</v>
      </c>
      <c r="C62" s="72">
        <f>IF(OR(-194108.45478="",-194108.45478=0),"-",-194108.45478)</f>
        <v>-194108.45478</v>
      </c>
      <c r="D62" s="72">
        <f>IF(OR(-146361.00953="",-194108.45478="",-146361.00953=0,-194108.45478=0),"-",-194108.45478/-146361.00953*100)</f>
        <v>132.62306361737214</v>
      </c>
    </row>
    <row r="63" spans="1:4" ht="15.75">
      <c r="A63" s="21" t="s">
        <v>68</v>
      </c>
      <c r="B63" s="72">
        <f>IF(OR(-8451.06219="",-8451.06219=0),"-",-8451.06219)</f>
        <v>-8451.06219</v>
      </c>
      <c r="C63" s="72">
        <f>IF(OR(-12083.08077="",-12083.08077=0),"-",-12083.08077)</f>
        <v>-12083.08077</v>
      </c>
      <c r="D63" s="72">
        <f>IF(OR(-8451.06219="",-12083.08077="",-8451.06219=0,-12083.08077=0),"-",-12083.08077/-8451.06219*100)</f>
        <v>142.97706605801227</v>
      </c>
    </row>
    <row r="64" spans="1:4" ht="25.5">
      <c r="A64" s="21" t="s">
        <v>69</v>
      </c>
      <c r="B64" s="72">
        <f>IF(OR(-116722.41912="",-116722.41912=0),"-",-116722.41912)</f>
        <v>-116722.41912</v>
      </c>
      <c r="C64" s="72">
        <f>IF(OR(-154571.8696="",-154571.8696=0),"-",-154571.8696)</f>
        <v>-154571.8696</v>
      </c>
      <c r="D64" s="72">
        <f>IF(OR(-116722.41912="",-154571.8696="",-116722.41912=0,-154571.8696=0),"-",-154571.8696/-116722.41912*100)</f>
        <v>132.42689002280508</v>
      </c>
    </row>
    <row r="65" spans="1:4" ht="25.5">
      <c r="A65" s="21" t="s">
        <v>70</v>
      </c>
      <c r="B65" s="72">
        <f>IF(OR(-46537.96467="",-46537.96467=0),"-",-46537.96467)</f>
        <v>-46537.96467</v>
      </c>
      <c r="C65" s="72">
        <f>IF(OR(-56325.39022="",-56325.39022=0),"-",-56325.39022)</f>
        <v>-56325.39022</v>
      </c>
      <c r="D65" s="72">
        <f>IF(OR(-46537.96467="",-56325.39022="",-46537.96467=0,-56325.39022=0),"-",-56325.39022/-46537.96467*100)</f>
        <v>121.03105629866387</v>
      </c>
    </row>
    <row r="66" spans="1:4" ht="25.5">
      <c r="A66" s="21" t="s">
        <v>71</v>
      </c>
      <c r="B66" s="72">
        <f>IF(OR(-119698.43266="",-119698.43266=0),"-",-119698.43266)</f>
        <v>-119698.43266</v>
      </c>
      <c r="C66" s="72">
        <f>IF(OR(-155662.59705="",-155662.59705=0),"-",-155662.59705)</f>
        <v>-155662.59705</v>
      </c>
      <c r="D66" s="72">
        <f>IF(OR(-119698.43266="",-155662.59705="",-119698.43266=0,-155662.59705=0),"-",-155662.59705/-119698.43266*100)</f>
        <v>130.04564353165358</v>
      </c>
    </row>
    <row r="67" spans="1:4" ht="27.75" customHeight="1">
      <c r="A67" s="21" t="s">
        <v>233</v>
      </c>
      <c r="B67" s="72">
        <f>IF(OR(18659.43249="",18659.43249=0),"-",18659.43249)</f>
        <v>18659.43249</v>
      </c>
      <c r="C67" s="72">
        <f>IF(OR(85211.57125="",85211.57125=0),"-",85211.57125)</f>
        <v>85211.57125</v>
      </c>
      <c r="D67" s="72" t="s">
        <v>293</v>
      </c>
    </row>
    <row r="68" spans="1:4" ht="15.75">
      <c r="A68" s="21" t="s">
        <v>72</v>
      </c>
      <c r="B68" s="72">
        <f>IF(OR(-227706.76412="",-227706.76412=0),"-",-227706.76412)</f>
        <v>-227706.76412</v>
      </c>
      <c r="C68" s="72">
        <f>IF(OR(-289901.55142="",-289901.55142=0),"-",-289901.55142)</f>
        <v>-289901.55142</v>
      </c>
      <c r="D68" s="72">
        <f>IF(OR(-227706.76412="",-289901.55142="",-227706.76412=0,-289901.55142=0),"-",-289901.55142/-227706.76412*100)</f>
        <v>127.31354404001092</v>
      </c>
    </row>
    <row r="69" spans="1:4" ht="15.75">
      <c r="A69" s="21" t="s">
        <v>73</v>
      </c>
      <c r="B69" s="72">
        <f>IF(OR(13184.02985="",13184.02985=0),"-",13184.02985)</f>
        <v>13184.02985</v>
      </c>
      <c r="C69" s="72">
        <f>IF(OR(-3896.14111="",-3896.14111=0),"-",-3896.14111)</f>
        <v>-3896.14111</v>
      </c>
      <c r="D69" s="72" t="s">
        <v>21</v>
      </c>
    </row>
    <row r="70" spans="1:4" ht="15.75">
      <c r="A70" s="42" t="s">
        <v>74</v>
      </c>
      <c r="B70" s="71">
        <f>IF(19633.24416="","-",19633.24416)</f>
        <v>19633.24416</v>
      </c>
      <c r="C70" s="71">
        <f>IF(23110.20163="","-",23110.20163)</f>
        <v>23110.20163</v>
      </c>
      <c r="D70" s="71">
        <f>IF(19633.24416="","-",23110.20163/19633.24416*100)</f>
        <v>117.7095412335564</v>
      </c>
    </row>
    <row r="71" spans="1:4" ht="25.5">
      <c r="A71" s="21" t="s">
        <v>203</v>
      </c>
      <c r="B71" s="72">
        <f>IF(OR(-32095.65241="",-32095.65241=0),"-",-32095.65241)</f>
        <v>-32095.65241</v>
      </c>
      <c r="C71" s="72">
        <f>IF(OR(-37465.80858="",-37465.80858=0),"-",-37465.80858)</f>
        <v>-37465.80858</v>
      </c>
      <c r="D71" s="72">
        <f>IF(OR(-32095.65241="",-37465.80858="",-32095.65241=0,-37465.80858=0),"-",-37465.80858/-32095.65241*100)</f>
        <v>116.73172460057808</v>
      </c>
    </row>
    <row r="72" spans="1:4" ht="15.75">
      <c r="A72" s="21" t="s">
        <v>75</v>
      </c>
      <c r="B72" s="72">
        <f>IF(OR(86868.16223="",86868.16223=0),"-",86868.16223)</f>
        <v>86868.16223</v>
      </c>
      <c r="C72" s="72">
        <f>IF(OR(104021.7662="",104021.7662=0),"-",104021.7662)</f>
        <v>104021.7662</v>
      </c>
      <c r="D72" s="72">
        <f>IF(OR(86868.16223="",104021.7662="",86868.16223=0,104021.7662=0),"-",104021.7662/86868.16223*100)</f>
        <v>119.74670987580302</v>
      </c>
    </row>
    <row r="73" spans="1:4" ht="15.75">
      <c r="A73" s="21" t="s">
        <v>76</v>
      </c>
      <c r="B73" s="72">
        <f>IF(OR(-714.46891="",-714.46891=0),"-",-714.46891)</f>
        <v>-714.46891</v>
      </c>
      <c r="C73" s="72">
        <f>IF(OR(8206.14408="",8206.14408=0),"-",8206.14408)</f>
        <v>8206.14408</v>
      </c>
      <c r="D73" s="72" t="s">
        <v>21</v>
      </c>
    </row>
    <row r="74" spans="1:4" ht="15.75">
      <c r="A74" s="21" t="s">
        <v>77</v>
      </c>
      <c r="B74" s="72">
        <f>IF(OR(148768.95938="",148768.95938=0),"-",148768.95938)</f>
        <v>148768.95938</v>
      </c>
      <c r="C74" s="72">
        <f>IF(OR(167888.01601="",167888.01601=0),"-",167888.01601)</f>
        <v>167888.01601</v>
      </c>
      <c r="D74" s="72">
        <f>IF(OR(148768.95938="",167888.01601="",148768.95938=0,167888.01601=0),"-",167888.01601/148768.95938*100)</f>
        <v>112.85150928639911</v>
      </c>
    </row>
    <row r="75" spans="1:4" ht="15.75">
      <c r="A75" s="21" t="s">
        <v>78</v>
      </c>
      <c r="B75" s="72">
        <f>IF(OR(-7155.55905="",-7155.55905=0),"-",-7155.55905)</f>
        <v>-7155.55905</v>
      </c>
      <c r="C75" s="72">
        <f>IF(OR(-4729.23093="",-4729.23093=0),"-",-4729.23093)</f>
        <v>-4729.23093</v>
      </c>
      <c r="D75" s="72">
        <f>IF(OR(-7155.55905="",-4729.23093="",-7155.55905=0,-4729.23093=0),"-",-4729.23093/-7155.55905*100)</f>
        <v>66.09170432322824</v>
      </c>
    </row>
    <row r="76" spans="1:4" ht="15.75">
      <c r="A76" s="21" t="s">
        <v>234</v>
      </c>
      <c r="B76" s="72">
        <f>IF(OR(-27673.86259="",-27673.86259=0),"-",-27673.86259)</f>
        <v>-27673.86259</v>
      </c>
      <c r="C76" s="72">
        <f>IF(OR(-39062.86288="",-39062.86288=0),"-",-39062.86288)</f>
        <v>-39062.86288</v>
      </c>
      <c r="D76" s="72">
        <f>IF(OR(-27673.86259="",-39062.86288="",-27673.86259=0,-39062.86288=0),"-",-39062.86288/-27673.86259*100)</f>
        <v>141.15435730361483</v>
      </c>
    </row>
    <row r="77" spans="1:4" ht="25.5">
      <c r="A77" s="21" t="s">
        <v>79</v>
      </c>
      <c r="B77" s="72">
        <f>IF(OR(-7461.33902="",-7461.33902=0),"-",-7461.33902)</f>
        <v>-7461.33902</v>
      </c>
      <c r="C77" s="72">
        <f>IF(OR(-8945.35869="",-8945.35869=0),"-",-8945.35869)</f>
        <v>-8945.35869</v>
      </c>
      <c r="D77" s="72">
        <f>IF(OR(-7461.33902="",-8945.35869="",-7461.33902=0,-8945.35869=0),"-",-8945.35869/-7461.33902*100)</f>
        <v>119.8894550431512</v>
      </c>
    </row>
    <row r="78" spans="1:4" s="1" customFormat="1" ht="15.75">
      <c r="A78" s="21" t="s">
        <v>80</v>
      </c>
      <c r="B78" s="72">
        <f>IF(OR(-140902.99547="",-140902.99547=0),"-",-140902.99547)</f>
        <v>-140902.99547</v>
      </c>
      <c r="C78" s="72">
        <f>IF(OR(-166802.46358="",-166802.46358=0),"-",-166802.46358)</f>
        <v>-166802.46358</v>
      </c>
      <c r="D78" s="72">
        <f>IF(OR(-140902.99547="",-166802.46358="",-140902.99547=0,-166802.46358=0),"-",-166802.46358/-140902.99547*100)</f>
        <v>118.38106281815304</v>
      </c>
    </row>
    <row r="79" spans="1:4" s="1" customFormat="1" ht="15.75">
      <c r="A79" s="38" t="s">
        <v>192</v>
      </c>
      <c r="B79" s="76">
        <f>IF(-545.00883="","-",-545.00883)</f>
        <v>-545.00883</v>
      </c>
      <c r="C79" s="76">
        <f>IF(-90.11629="","-",-90.11629)</f>
        <v>-90.11629</v>
      </c>
      <c r="D79" s="76">
        <f>IF(-545.00883="","-",-90.11629/-545.00883*100)</f>
        <v>16.534831187964425</v>
      </c>
    </row>
    <row r="80" spans="1:4" s="1" customFormat="1" ht="15.75">
      <c r="A80" s="58" t="s">
        <v>19</v>
      </c>
      <c r="B80" s="36"/>
      <c r="C80" s="36"/>
      <c r="D80" s="36"/>
    </row>
    <row r="81" spans="2:4" ht="15.75">
      <c r="B81" s="12"/>
      <c r="C81" s="22"/>
      <c r="D81" s="13"/>
    </row>
    <row r="82" spans="2:4" ht="15.75">
      <c r="B82" s="12"/>
      <c r="C82" s="12"/>
      <c r="D82" s="13"/>
    </row>
    <row r="83" spans="2:4" ht="15.75">
      <c r="B83" s="12"/>
      <c r="C83" s="12"/>
      <c r="D83" s="13"/>
    </row>
    <row r="84" ht="15.75">
      <c r="C84" s="12"/>
    </row>
  </sheetData>
  <sheetProtection/>
  <mergeCells count="2">
    <mergeCell ref="A1:D1"/>
    <mergeCell ref="A2:D2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 Vudvud</dc:creator>
  <cp:keywords/>
  <dc:description/>
  <cp:lastModifiedBy>Doina Vudvud</cp:lastModifiedBy>
  <cp:lastPrinted>2019-02-13T18:15:47Z</cp:lastPrinted>
  <dcterms:created xsi:type="dcterms:W3CDTF">2016-09-01T07:59:47Z</dcterms:created>
  <dcterms:modified xsi:type="dcterms:W3CDTF">2019-02-14T14:35:15Z</dcterms:modified>
  <cp:category/>
  <cp:version/>
  <cp:contentType/>
  <cp:contentStatus/>
</cp:coreProperties>
</file>