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<sst xmlns="http://schemas.openxmlformats.org/spreadsheetml/2006/main" count="806" uniqueCount="303">
  <si>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</si>
  <si>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</si>
  <si>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</si>
  <si>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</si>
  <si>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</si>
  <si>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</si>
  <si>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</si>
  <si>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</si>
  <si>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</si>
  <si>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</si>
  <si>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</si>
  <si>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</si>
  <si>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</si>
  <si>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</si>
  <si>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</si>
  <si>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</si>
  <si>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</si>
  <si>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</si>
  <si>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</si>
  <si>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</si>
  <si>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</si>
  <si>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</si>
  <si>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</si>
  <si>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</si>
  <si>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</si>
  <si>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</si>
  <si>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</si>
  <si>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</si>
  <si>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</si>
  <si>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</si>
  <si>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</si>
  <si>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</si>
  <si>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</si>
  <si>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</si>
  <si>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</si>
  <si>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</si>
  <si>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</si>
  <si>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</si>
  <si>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</si>
  <si>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</si>
  <si>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</si>
  <si>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</si>
  <si>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</si>
  <si>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</si>
  <si>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</si>
  <si>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</si>
  <si>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</si>
  <si>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</si>
  <si>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</si>
  <si>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</si>
  <si>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</si>
  <si>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</si>
  <si>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</si>
  <si>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</si>
  <si>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</si>
  <si>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</si>
  <si>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</si>
  <si>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</si>
  <si>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</si>
  <si>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</si>
  <si>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</si>
  <si>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</si>
  <si>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</si>
  <si>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</si>
  <si>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</si>
  <si>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</si>
  <si>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</si>
  <si>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</si>
  <si>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</si>
  <si>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</si>
  <si>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</si>
  <si>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</si>
  <si>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</si>
  <si>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</si>
  <si>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</si>
  <si>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</si>
  <si>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</si>
  <si>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</si>
  <si>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</si>
  <si>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</si>
  <si>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</si>
  <si>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</si>
  <si>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</si>
  <si>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</si>
  <si>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</si>
  <si>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</si>
  <si>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</si>
  <si>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</si>
  <si>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</si>
  <si>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</si>
  <si>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</si>
  <si>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</si>
  <si>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</si>
  <si>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</si>
  <si>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</si>
  <si>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</si>
  <si>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</si>
  <si>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</si>
  <si>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</si>
  <si>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</si>
  <si>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</si>
  <si>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</si>
  <si>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</si>
  <si>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</si>
  <si>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</si>
  <si>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</si>
  <si>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</si>
  <si>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</si>
  <si>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</si>
  <si>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</si>
  <si>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>Ponderea, %</t>
  </si>
  <si>
    <t>Swaziland</t>
  </si>
  <si>
    <t>2018¹</t>
  </si>
  <si>
    <t>mii dolari         SUA</t>
  </si>
  <si>
    <t>Belize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</si>
  <si>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</si>
  <si>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</si>
  <si>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</si>
  <si>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</si>
  <si>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</si>
  <si>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</si>
  <si>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</si>
  <si>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</si>
  <si>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</si>
  <si>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</si>
  <si>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</si>
  <si>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</si>
  <si>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</si>
  <si>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</si>
  <si>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</si>
  <si>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</si>
  <si>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</si>
  <si>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</si>
  <si>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</si>
  <si>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</si>
  <si>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</si>
  <si>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</si>
  <si>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</si>
  <si>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</si>
  <si>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</si>
  <si>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</si>
  <si>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</si>
  <si>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</si>
  <si>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</si>
  <si>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</si>
  <si>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</si>
  <si>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</si>
  <si>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</si>
  <si>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</si>
  <si>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</si>
  <si>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</si>
  <si>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</si>
  <si>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</si>
  <si>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</si>
  <si>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</si>
  <si>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</si>
  <si>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</si>
  <si>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</si>
  <si>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</si>
  <si>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</si>
  <si>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</si>
  <si>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</si>
  <si>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</si>
  <si>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Bosnia şi Herţegovina</t>
  </si>
  <si>
    <t>Mali</t>
  </si>
  <si>
    <t>Somalia</t>
  </si>
  <si>
    <t>Macedonia de Nord</t>
  </si>
  <si>
    <t>de 2,3 ori</t>
  </si>
  <si>
    <t>de 4,5 ori</t>
  </si>
  <si>
    <t>Niger</t>
  </si>
  <si>
    <t>de 2,2 ori</t>
  </si>
  <si>
    <t>de 2,4 ori</t>
  </si>
  <si>
    <t>Celelalte ţări ale lumii - total</t>
  </si>
  <si>
    <t>Insulele Folkland</t>
  </si>
  <si>
    <t>de 14,4 ori</t>
  </si>
  <si>
    <t>de 6,1 ori</t>
  </si>
  <si>
    <t>Liberia</t>
  </si>
  <si>
    <t>Ţările CSI - total</t>
  </si>
  <si>
    <t>de 1,9 ori</t>
  </si>
  <si>
    <t>de 14,3 ori</t>
  </si>
  <si>
    <t>de 4,1 ori</t>
  </si>
  <si>
    <t>de 3,5 ori</t>
  </si>
  <si>
    <t>de 9,7 ori</t>
  </si>
  <si>
    <t>de 3,9 ori</t>
  </si>
  <si>
    <t>Guinea</t>
  </si>
  <si>
    <t>Burkina Faso</t>
  </si>
  <si>
    <t>de 2,6 ori</t>
  </si>
  <si>
    <t>Zimbabwe</t>
  </si>
  <si>
    <t>Guatemala</t>
  </si>
  <si>
    <t>Mauritius</t>
  </si>
  <si>
    <t>Liechtenştein</t>
  </si>
  <si>
    <t>Jamaica</t>
  </si>
  <si>
    <t>Cuba</t>
  </si>
  <si>
    <t>de 8,2 ori</t>
  </si>
  <si>
    <t>Alte materiale si produse chimice</t>
  </si>
  <si>
    <t>de 2,1 ori</t>
  </si>
  <si>
    <t>Andorra</t>
  </si>
  <si>
    <t>Ianuarie - septembrie 2019</t>
  </si>
  <si>
    <t>în % faţă de ianuarie - septembrie 2018¹</t>
  </si>
  <si>
    <t>ianuarie - septembrie</t>
  </si>
  <si>
    <t>Ianuarie - septembrie</t>
  </si>
  <si>
    <t>Ianuarie - septembrie 2019  în % faţă de                          ianuarie - septembrie 2018¹</t>
  </si>
  <si>
    <t>Ianuarie - septembrie 2019 în % faţă de ianuarie - septembrie 2018¹</t>
  </si>
  <si>
    <t>Ţările Uniunii Europene - total</t>
  </si>
  <si>
    <t>Laos</t>
  </si>
  <si>
    <t>Kosovo</t>
  </si>
  <si>
    <t>de 8,6 ori</t>
  </si>
  <si>
    <t>de 2,5 ori</t>
  </si>
  <si>
    <t>de 2,9 ori</t>
  </si>
  <si>
    <t>de 58,7 ori</t>
  </si>
  <si>
    <t>de 3446,5 ori</t>
  </si>
  <si>
    <t>de 8,5 ori</t>
  </si>
  <si>
    <t>de 52,9 ori</t>
  </si>
  <si>
    <t>de 2358,0 ori</t>
  </si>
  <si>
    <t>de 2,7 ori</t>
  </si>
  <si>
    <t>de 4,2 ori</t>
  </si>
  <si>
    <t>de 5,9 ori</t>
  </si>
  <si>
    <t>Panama</t>
  </si>
  <si>
    <t>Bosnia şi Hertegovina</t>
  </si>
  <si>
    <t>de 4,3 ori</t>
  </si>
  <si>
    <t>de 7,0 ori</t>
  </si>
  <si>
    <t>de 3,2 ori</t>
  </si>
  <si>
    <t>de 3,4 ori</t>
  </si>
  <si>
    <t>de 51,8 ori</t>
  </si>
  <si>
    <t>de 10,9 ori</t>
  </si>
  <si>
    <t>de 6,9 ori</t>
  </si>
  <si>
    <t>de 2,8 ori</t>
  </si>
  <si>
    <t>de 5,8 ori</t>
  </si>
  <si>
    <t>de 3,0 ori</t>
  </si>
  <si>
    <t xml:space="preserve">EXPORT- total      </t>
  </si>
  <si>
    <t>de 6,2 ori</t>
  </si>
  <si>
    <t>Țările Uniunii Europene (UE-28)</t>
  </si>
  <si>
    <t>de 4,7 ori</t>
  </si>
  <si>
    <t xml:space="preserve">Țările CSI </t>
  </si>
  <si>
    <t>de 14,8 ori</t>
  </si>
  <si>
    <t>Celelalte țări ale lumii</t>
  </si>
  <si>
    <t xml:space="preserve">Celelalte țări ale lumii 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</si>
  <si>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</si>
  <si>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</si>
  <si>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</si>
  <si>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</si>
  <si>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</si>
  <si>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</si>
  <si>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</si>
  <si>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</si>
  <si>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</si>
  <si>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</si>
  <si>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</si>
  <si>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</si>
  <si>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</si>
  <si>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Piei crude, piei tăbăcite şi blănuri brute</t>
  </si>
  <si>
    <t>Seminţe şi fructe oleaginoase</t>
  </si>
  <si>
    <t>Lemn şi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</si>
  <si>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</si>
  <si>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</si>
  <si>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</si>
  <si>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</si>
  <si>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</si>
  <si>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</si>
  <si>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</si>
  <si>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</si>
  <si>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Carbune, cocs şi brichete</t>
  </si>
  <si>
    <t>Uleiuri, grăsimi şi ceruri de origine animală sau vegetală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</si>
  <si>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</si>
  <si>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</si>
  <si>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</si>
  <si>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</si>
  <si>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</si>
  <si>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</si>
  <si>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Alte materiale şi produse chimice</t>
  </si>
  <si>
    <t>Îngrăşăminte minerale sau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</si>
  <si>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</si>
  <si>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</si>
  <si>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</si>
  <si>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</si>
  <si>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</si>
  <si>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</si>
  <si>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</si>
  <si>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</si>
  <si>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</si>
  <si>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</si>
  <si>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</si>
  <si>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</si>
  <si>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</si>
  <si>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</si>
  <si>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</si>
  <si>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</si>
  <si>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</si>
  <si>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</si>
  <si>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</si>
  <si>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</si>
  <si>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</si>
  <si>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</si>
  <si>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</si>
  <si>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Cauciuc brut (inclusiv cauciuc sintetic şi regenerat)</t>
  </si>
  <si>
    <t>Lemn si plută</t>
  </si>
  <si>
    <t>Cărbune, cocs şi brichete</t>
  </si>
  <si>
    <t>Gaz şi produse industriale obţinute din gaz</t>
  </si>
  <si>
    <t>Uleiuri şi grăsimi de origine animală</t>
  </si>
  <si>
    <t>Masini şi aparate specializate pentru industriile specifice</t>
  </si>
  <si>
    <t>Mobilă si părţile ei</t>
  </si>
  <si>
    <t>Încălţăminte</t>
  </si>
  <si>
    <t>Maţini şi echipamente pentru transport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</si>
</sst>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5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58" fillId="0" borderId="0" xfId="0" applyNumberFormat="1" applyFont="1" applyAlignment="1">
      <alignment horizontal="right" vertical="top" wrapText="1"/>
    </xf>
    <xf numFmtId="4" fontId="62" fillId="0" borderId="0" xfId="0" applyNumberFormat="1" applyFont="1" applyFill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 vertical="top"/>
    </xf>
    <xf numFmtId="4" fontId="63" fillId="0" borderId="0" xfId="0" applyNumberFormat="1" applyFont="1" applyFill="1" applyBorder="1" applyAlignment="1" applyProtection="1">
      <alignment horizontal="right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 wrapText="1" indent="1"/>
      <protection/>
    </xf>
    <xf numFmtId="4" fontId="64" fillId="0" borderId="0" xfId="0" applyNumberFormat="1" applyFont="1" applyAlignment="1">
      <alignment horizontal="right" vertical="top" wrapText="1"/>
    </xf>
    <xf numFmtId="0" fontId="25" fillId="0" borderId="13" xfId="0" applyNumberFormat="1" applyFont="1" applyFill="1" applyBorder="1" applyAlignment="1" applyProtection="1">
      <alignment horizontal="left" vertical="top" wrapText="1"/>
      <protection/>
    </xf>
    <xf numFmtId="4" fontId="25" fillId="0" borderId="13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38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4" fontId="12" fillId="0" borderId="0" xfId="0" applyNumberFormat="1" applyFont="1" applyFill="1" applyBorder="1" applyAlignment="1" applyProtection="1">
      <alignment horizontal="righ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38" fontId="12" fillId="0" borderId="14" xfId="0" applyNumberFormat="1" applyFont="1" applyFill="1" applyBorder="1" applyAlignment="1" applyProtection="1">
      <alignment horizontal="left" vertical="top" wrapText="1"/>
      <protection/>
    </xf>
    <xf numFmtId="4" fontId="12" fillId="0" borderId="14" xfId="0" applyNumberFormat="1" applyFont="1" applyFill="1" applyBorder="1" applyAlignment="1" applyProtection="1">
      <alignment horizontal="right" vertical="top" wrapText="1"/>
      <protection/>
    </xf>
    <xf numFmtId="4" fontId="25" fillId="0" borderId="13" xfId="0" applyNumberFormat="1" applyFont="1" applyFill="1" applyBorder="1" applyAlignment="1" applyProtection="1">
      <alignment horizontal="right" vertical="top" wrapText="1" indent="1"/>
      <protection/>
    </xf>
    <xf numFmtId="4" fontId="12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0" xfId="0" applyNumberFormat="1" applyFont="1" applyFill="1" applyAlignment="1" applyProtection="1">
      <alignment horizontal="right" vertical="top" wrapText="1" indent="1"/>
      <protection/>
    </xf>
    <xf numFmtId="4" fontId="12" fillId="0" borderId="14" xfId="0" applyNumberFormat="1" applyFont="1" applyFill="1" applyBorder="1" applyAlignment="1" applyProtection="1">
      <alignment horizontal="right" vertical="top" wrapText="1" indent="1"/>
      <protection/>
    </xf>
    <xf numFmtId="4" fontId="10" fillId="0" borderId="14" xfId="0" applyNumberFormat="1" applyFont="1" applyFill="1" applyBorder="1" applyAlignment="1" applyProtection="1">
      <alignment horizontal="right" vertical="top" wrapText="1" indent="1"/>
      <protection/>
    </xf>
    <xf numFmtId="4" fontId="58" fillId="0" borderId="0" xfId="0" applyNumberFormat="1" applyFont="1" applyAlignment="1">
      <alignment horizontal="right" vertical="top" wrapText="1" indent="1"/>
    </xf>
    <xf numFmtId="4" fontId="12" fillId="0" borderId="0" xfId="0" applyNumberFormat="1" applyFont="1" applyFill="1" applyBorder="1" applyAlignment="1" applyProtection="1">
      <alignment horizontal="right" vertical="top" wrapText="1" indent="1"/>
      <protection/>
    </xf>
    <xf numFmtId="4" fontId="25" fillId="0" borderId="0" xfId="0" applyNumberFormat="1" applyFont="1" applyFill="1" applyAlignment="1" applyProtection="1">
      <alignment horizontal="right"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2"/>
  <sheetViews>
    <sheetView tabSelected="1" zoomScalePageLayoutView="0" workbookViewId="0" topLeftCell="A1">
      <selection activeCell="I14" sqref="I14"/>
    </sheetView>
  </sheetViews>
  <sheetFormatPr defaultColWidth="9.00390625" defaultRowHeight="15.75"/>
  <cols>
    <col min="1" max="1" width="32.50390625" style="9" customWidth="1"/>
    <col min="2" max="2" width="11.125" style="9" customWidth="1"/>
    <col min="3" max="3" width="10.00390625" style="9" customWidth="1"/>
    <col min="4" max="4" width="8.625" style="9" customWidth="1"/>
    <col min="5" max="5" width="8.25390625" style="9" customWidth="1"/>
    <col min="6" max="7" width="9.75390625" style="9" customWidth="1"/>
  </cols>
  <sheetData>
    <row r="1" spans="1:7" ht="15.75">
      <c r="A1" s="64" t="s">
        <v>123</v>
      </c>
      <c r="B1" s="64"/>
      <c r="C1" s="64"/>
      <c r="D1" s="64"/>
      <c r="E1" s="64"/>
      <c r="F1" s="64"/>
      <c r="G1" s="64"/>
    </row>
    <row r="2" ht="9" customHeight="1"/>
    <row r="3" spans="1:7" ht="54" customHeight="1">
      <c r="A3" s="65"/>
      <c r="B3" s="68" t="s">
        <v>197</v>
      </c>
      <c r="C3" s="69"/>
      <c r="D3" s="68" t="s">
        <v>110</v>
      </c>
      <c r="E3" s="69"/>
      <c r="F3" s="70" t="s">
        <v>1</v>
      </c>
      <c r="G3" s="71"/>
    </row>
    <row r="4" spans="1:7" ht="24" customHeight="1">
      <c r="A4" s="66"/>
      <c r="B4" s="72" t="s">
        <v>100</v>
      </c>
      <c r="C4" s="74" t="s">
        <v>198</v>
      </c>
      <c r="D4" s="76" t="s">
        <v>199</v>
      </c>
      <c r="E4" s="76"/>
      <c r="F4" s="76" t="s">
        <v>199</v>
      </c>
      <c r="G4" s="68"/>
    </row>
    <row r="5" spans="1:7" ht="30" customHeight="1">
      <c r="A5" s="67"/>
      <c r="B5" s="73"/>
      <c r="C5" s="75"/>
      <c r="D5" s="21">
        <v>2018</v>
      </c>
      <c r="E5" s="21">
        <v>2019</v>
      </c>
      <c r="F5" s="21" t="s">
        <v>112</v>
      </c>
      <c r="G5" s="17" t="s">
        <v>133</v>
      </c>
    </row>
    <row r="6" spans="1:7" ht="15.75" customHeight="1">
      <c r="A6" s="30" t="s">
        <v>101</v>
      </c>
      <c r="B6" s="31">
        <f>IF(2026247.72249="","-",2026247.72249)</f>
        <v>2026247.72249</v>
      </c>
      <c r="C6" s="31">
        <f>IF(1959536.20883="","-",2026247.72249/1959536.20883*100)</f>
        <v>103.40445424582545</v>
      </c>
      <c r="D6" s="31">
        <v>100</v>
      </c>
      <c r="E6" s="31">
        <v>100</v>
      </c>
      <c r="F6" s="48">
        <f>IF(1651540.84429="","-",(1959536.20883-1651540.84429)/1651540.84429*100)</f>
        <v>18.648970481405666</v>
      </c>
      <c r="G6" s="48">
        <f>IF(1959536.20883="","-",(2026247.72249-1959536.20883)/1959536.20883*100)</f>
        <v>3.404454245825459</v>
      </c>
    </row>
    <row r="7" spans="1:7" ht="15.75" customHeight="1">
      <c r="A7" s="32" t="s">
        <v>203</v>
      </c>
      <c r="B7" s="33">
        <f>IF(1328658.43952="","-",1328658.43952)</f>
        <v>1328658.43952</v>
      </c>
      <c r="C7" s="33">
        <f>IF(1363619.21582="","-",1328658.43952/1363619.21582*100)</f>
        <v>97.43617749776453</v>
      </c>
      <c r="D7" s="33">
        <f>IF(1363619.21582="","-",1363619.21582/1959536.20883*100)</f>
        <v>69.58887565717349</v>
      </c>
      <c r="E7" s="33">
        <f>IF(1328658.43952="","-",1328658.43952/2026247.72249*100)</f>
        <v>65.57235942934204</v>
      </c>
      <c r="F7" s="49">
        <f>IF(1651540.84429="","-",(1363619.21582-1066393.06249)/1651540.84429*100)</f>
        <v>17.996899946956997</v>
      </c>
      <c r="G7" s="49">
        <f>IF(1959536.20883="","-",(1328658.43952-1363619.21582)/1959536.20883*100)</f>
        <v>-1.7841352531512755</v>
      </c>
    </row>
    <row r="8" spans="1:7" ht="15.75" customHeight="1">
      <c r="A8" s="34" t="s">
        <v>2</v>
      </c>
      <c r="B8" s="35">
        <f>IF(572013.27742="","-",572013.27742)</f>
        <v>572013.27742</v>
      </c>
      <c r="C8" s="35">
        <f>IF(OR(561862.01598="",572013.27742=""),"-",572013.27742/561862.01598*100)</f>
        <v>101.80671786867354</v>
      </c>
      <c r="D8" s="35">
        <f>IF(561862.01598="","-",561862.01598/1959536.20883*100)</f>
        <v>28.673214276324938</v>
      </c>
      <c r="E8" s="35">
        <f>IF(572013.27742="","-",572013.27742/2026247.72249*100)</f>
        <v>28.2301749717487</v>
      </c>
      <c r="F8" s="50">
        <f>IF(OR(1651540.84429="",410939.98143="",561862.01598=""),"-",(561862.01598-410939.98143)/1651540.84429*100)</f>
        <v>9.138256257590873</v>
      </c>
      <c r="G8" s="50">
        <f>IF(OR(1959536.20883="",572013.27742="",561862.01598=""),"-",(572013.27742-561862.01598)/1959536.20883*100)</f>
        <v>0.5180440858534147</v>
      </c>
    </row>
    <row r="9" spans="1:7" ht="15.75" customHeight="1">
      <c r="A9" s="34" t="s">
        <v>3</v>
      </c>
      <c r="B9" s="35">
        <f>IF(206961.55901="","-",206961.55901)</f>
        <v>206961.55901</v>
      </c>
      <c r="C9" s="35">
        <f>IF(OR(229710.15129="",206961.55901=""),"-",206961.55901/229710.15129*100)</f>
        <v>90.09682760981651</v>
      </c>
      <c r="D9" s="35">
        <f>IF(229710.15129="","-",229710.15129/1959536.20883*100)</f>
        <v>11.722679594022678</v>
      </c>
      <c r="E9" s="35">
        <f>IF(206961.55901="","-",206961.55901/2026247.72249*100)</f>
        <v>10.214030432353583</v>
      </c>
      <c r="F9" s="50">
        <f>IF(OR(1651540.84429="",159200.13525="",229710.15129=""),"-",(229710.15129-159200.13525)/1651540.84429*100)</f>
        <v>4.26934739663144</v>
      </c>
      <c r="G9" s="50">
        <f>IF(OR(1959536.20883="",206961.55901="",229710.15129=""),"-",(206961.55901-229710.15129)/1959536.20883*100)</f>
        <v>-1.1609171689449282</v>
      </c>
    </row>
    <row r="10" spans="1:7" ht="15.75" customHeight="1">
      <c r="A10" s="34" t="s">
        <v>4</v>
      </c>
      <c r="B10" s="35">
        <f>IF(182047.74668="","-",182047.74668)</f>
        <v>182047.74668</v>
      </c>
      <c r="C10" s="35">
        <f>IF(OR(163831.29019="",182047.74668=""),"-",182047.74668/163831.29019*100)</f>
        <v>111.11903377485086</v>
      </c>
      <c r="D10" s="35">
        <f>IF(163831.29019="","-",163831.29019/1959536.20883*100)</f>
        <v>8.360717676547575</v>
      </c>
      <c r="E10" s="35">
        <f>IF(182047.74668="","-",182047.74668/2026247.72249*100)</f>
        <v>8.984476313502602</v>
      </c>
      <c r="F10" s="50">
        <f>IF(OR(1651540.84429="",109737.74077="",163831.29019=""),"-",(163831.29019-109737.74077)/1651540.84429*100)</f>
        <v>3.2753382761935206</v>
      </c>
      <c r="G10" s="50">
        <f>IF(OR(1959536.20883="",182047.74668="",163831.29019=""),"-",(182047.74668-163831.29019)/1959536.20883*100)</f>
        <v>0.9296310222752503</v>
      </c>
    </row>
    <row r="11" spans="1:7" ht="15.75" customHeight="1">
      <c r="A11" s="34" t="s">
        <v>5</v>
      </c>
      <c r="B11" s="35">
        <f>IF(80290.36654="","-",80290.36654)</f>
        <v>80290.36654</v>
      </c>
      <c r="C11" s="35">
        <f>IF(OR(69463.99575="",80290.36654=""),"-",80290.36654/69463.99575*100)</f>
        <v>115.58558599042297</v>
      </c>
      <c r="D11" s="35">
        <f>IF(69463.99575="","-",69463.99575/1959536.20883*100)</f>
        <v>3.544920243728263</v>
      </c>
      <c r="E11" s="35">
        <f>IF(80290.36654="","-",80290.36654/2026247.72249*100)</f>
        <v>3.962514832161459</v>
      </c>
      <c r="F11" s="50">
        <f>IF(OR(1651540.84429="",58848.94627="",69463.99575=""),"-",(69463.99575-58848.94627)/1651540.84429*100)</f>
        <v>0.6427361161972006</v>
      </c>
      <c r="G11" s="50">
        <f>IF(OR(1959536.20883="",80290.36654="",69463.99575=""),"-",(80290.36654-69463.99575)/1959536.20883*100)</f>
        <v>0.5524965928781796</v>
      </c>
    </row>
    <row r="12" spans="1:7" ht="13.5" customHeight="1">
      <c r="A12" s="34" t="s">
        <v>7</v>
      </c>
      <c r="B12" s="35">
        <f>IF(41936.67614="","-",41936.67614)</f>
        <v>41936.67614</v>
      </c>
      <c r="C12" s="35">
        <f>IF(OR(30441.1731="",41936.67614=""),"-",41936.67614/30441.1731*100)</f>
        <v>137.76300933685107</v>
      </c>
      <c r="D12" s="35">
        <f>IF(30441.1731="","-",30441.1731/1959536.20883*100)</f>
        <v>1.5534886756788138</v>
      </c>
      <c r="E12" s="35">
        <f>IF(41936.67614="","-",41936.67614/2026247.72249*100)</f>
        <v>2.0696717224913237</v>
      </c>
      <c r="F12" s="50">
        <f>IF(OR(1651540.84429="",21629.9586="",30441.1731=""),"-",(30441.1731-21629.9586)/1651540.84429*100)</f>
        <v>0.5335147798774516</v>
      </c>
      <c r="G12" s="50">
        <f>IF(OR(1959536.20883="",41936.67614="",30441.1731=""),"-",(41936.67614-30441.1731)/1959536.20883*100)</f>
        <v>0.5866440736435149</v>
      </c>
    </row>
    <row r="13" spans="1:7" ht="15.75" customHeight="1">
      <c r="A13" s="34" t="s">
        <v>157</v>
      </c>
      <c r="B13" s="35">
        <f>IF(38961.05259="","-",38961.05259)</f>
        <v>38961.05259</v>
      </c>
      <c r="C13" s="35">
        <f>IF(OR(63041.94988="",38961.05259=""),"-",38961.05259/63041.94988*100)</f>
        <v>61.80178859340827</v>
      </c>
      <c r="D13" s="35">
        <f>IF(63041.94988="","-",63041.94988/1959536.20883*100)</f>
        <v>3.217187291356106</v>
      </c>
      <c r="E13" s="35">
        <f>IF(38961.05259="","-",38961.05259/2026247.72249*100)</f>
        <v>1.9228178350336074</v>
      </c>
      <c r="F13" s="50">
        <f>IF(OR(1651540.84429="",95335.69919="",63041.94988=""),"-",(63041.94988-95335.69919)/1651540.84429*100)</f>
        <v>-1.9553709144797526</v>
      </c>
      <c r="G13" s="50">
        <f>IF(OR(1959536.20883="",38961.05259="",63041.94988=""),"-",(38961.05259-63041.94988)/1959536.20883*100)</f>
        <v>-1.2289080028982076</v>
      </c>
    </row>
    <row r="14" spans="1:7" s="12" customFormat="1" ht="15.75">
      <c r="A14" s="34" t="s">
        <v>6</v>
      </c>
      <c r="B14" s="35">
        <f>IF(35518.75181="","-",35518.75181)</f>
        <v>35518.75181</v>
      </c>
      <c r="C14" s="35">
        <f>IF(OR(37705.90926="",35518.75181=""),"-",35518.75181/37705.90926*100)</f>
        <v>94.19943055896486</v>
      </c>
      <c r="D14" s="35">
        <f>IF(37705.90926="","-",37705.90926/1959536.20883*100)</f>
        <v>1.92422620669579</v>
      </c>
      <c r="E14" s="35">
        <f>IF(35518.75181="","-",35518.75181/2026247.72249*100)</f>
        <v>1.7529323495723406</v>
      </c>
      <c r="F14" s="50">
        <f>IF(OR(1651540.84429="",58336.51363="",37705.90926=""),"-",(37705.90926-58336.51363)/1651540.84429*100)</f>
        <v>-1.249173124680978</v>
      </c>
      <c r="G14" s="50">
        <f>IF(OR(1959536.20883="",35518.75181="",37705.90926=""),"-",(35518.75181-37705.90926)/1959536.20883*100)</f>
        <v>-0.11161607732198564</v>
      </c>
    </row>
    <row r="15" spans="1:7" s="12" customFormat="1" ht="15.75">
      <c r="A15" s="34" t="s">
        <v>10</v>
      </c>
      <c r="B15" s="35">
        <f>IF(25412.43392="","-",25412.43392)</f>
        <v>25412.43392</v>
      </c>
      <c r="C15" s="35">
        <f>IF(OR(26982.89999="",25412.43392=""),"-",25412.43392/26982.89999*100)</f>
        <v>94.17977285398521</v>
      </c>
      <c r="D15" s="35">
        <f>IF(26982.89999="","-",26982.89999/1959536.20883*100)</f>
        <v>1.3770044089213822</v>
      </c>
      <c r="E15" s="35">
        <f>IF(25412.43392="","-",25412.43392/2026247.72249*100)</f>
        <v>1.2541622447215566</v>
      </c>
      <c r="F15" s="50">
        <f>IF(OR(1651540.84429="",16257.96244="",26982.89999=""),"-",(26982.89999-16257.96244)/1651540.84429*100)</f>
        <v>0.6493897857313162</v>
      </c>
      <c r="G15" s="50">
        <f>IF(OR(1959536.20883="",25412.43392="",26982.89999=""),"-",(25412.43392-26982.89999)/1959536.20883*100)</f>
        <v>-0.0801447844098628</v>
      </c>
    </row>
    <row r="16" spans="1:7" s="12" customFormat="1" ht="15.75">
      <c r="A16" s="34" t="s">
        <v>156</v>
      </c>
      <c r="B16" s="35">
        <f>IF(24901.85569="","-",24901.85569)</f>
        <v>24901.85569</v>
      </c>
      <c r="C16" s="35">
        <f>IF(OR(38251.61592="",24901.85569=""),"-",24901.85569/38251.61592*100)</f>
        <v>65.1001404544062</v>
      </c>
      <c r="D16" s="35">
        <f>IF(38251.61592="","-",38251.61592/1959536.20883*100)</f>
        <v>1.9520749730284022</v>
      </c>
      <c r="E16" s="35">
        <f>IF(24901.85569="","-",24901.85569/2026247.72249*100)</f>
        <v>1.228964031080997</v>
      </c>
      <c r="F16" s="50">
        <f>IF(OR(1651540.84429="",28356.46788="",38251.61592=""),"-",(38251.61592-28356.46788)/1651540.84429*100)</f>
        <v>0.5991464319039556</v>
      </c>
      <c r="G16" s="50">
        <f>IF(OR(1959536.20883="",24901.85569="",38251.61592=""),"-",(24901.85569-38251.61592)/1959536.20883*100)</f>
        <v>-0.6812714238116004</v>
      </c>
    </row>
    <row r="17" spans="1:7" s="12" customFormat="1" ht="15.75">
      <c r="A17" s="34" t="s">
        <v>41</v>
      </c>
      <c r="B17" s="35">
        <f>IF(23567.17997="","-",23567.17997)</f>
        <v>23567.17997</v>
      </c>
      <c r="C17" s="35">
        <f>IF(OR(19890.72996="",23567.17997=""),"-",23567.17997/19890.72996*100)</f>
        <v>118.48323323172802</v>
      </c>
      <c r="D17" s="35">
        <f>IF(19890.72996="","-",19890.72996/1959536.20883*100)</f>
        <v>1.0150733561527991</v>
      </c>
      <c r="E17" s="35">
        <f>IF(23567.17997="","-",23567.17997/2026247.72249*100)</f>
        <v>1.1630947049770866</v>
      </c>
      <c r="F17" s="50">
        <f>IF(OR(1651540.84429="",15945.00279="",19890.72996=""),"-",(19890.72996-15945.00279)/1651540.84429*100)</f>
        <v>0.23891187333585287</v>
      </c>
      <c r="G17" s="50">
        <f>IF(OR(1959536.20883="",23567.17997="",19890.72996=""),"-",(23567.17997-19890.72996)/1959536.20883*100)</f>
        <v>0.187618375890851</v>
      </c>
    </row>
    <row r="18" spans="1:7" s="12" customFormat="1" ht="15.75">
      <c r="A18" s="34" t="s">
        <v>9</v>
      </c>
      <c r="B18" s="35">
        <f>IF(22860.25702="","-",22860.25702)</f>
        <v>22860.25702</v>
      </c>
      <c r="C18" s="35">
        <f>IF(OR(26566.96519="",22860.25702=""),"-",22860.25702/26566.96519*100)</f>
        <v>86.04767935106405</v>
      </c>
      <c r="D18" s="35">
        <f>IF(26566.96519="","-",26566.96519/1959536.20883*100)</f>
        <v>1.3557782229429998</v>
      </c>
      <c r="E18" s="35">
        <f>IF(22860.25702="","-",22860.25702/2026247.72249*100)</f>
        <v>1.1282064264041545</v>
      </c>
      <c r="F18" s="50">
        <f>IF(OR(1651540.84429="",21488.27766="",26566.96519=""),"-",(26566.96519-21488.27766)/1651540.84429*100)</f>
        <v>0.30751207562071137</v>
      </c>
      <c r="G18" s="50">
        <f>IF(OR(1959536.20883="",22860.25702="",26566.96519=""),"-",(22860.25702-26566.96519)/1959536.20883*100)</f>
        <v>-0.18916252495345315</v>
      </c>
    </row>
    <row r="19" spans="1:7" s="12" customFormat="1" ht="15.75">
      <c r="A19" s="34" t="s">
        <v>8</v>
      </c>
      <c r="B19" s="35">
        <f>IF(20755.66342="","-",20755.66342)</f>
        <v>20755.66342</v>
      </c>
      <c r="C19" s="35">
        <f>IF(OR(31049.24716="",20755.66342=""),"-",20755.66342/31049.24716*100)</f>
        <v>66.84755772996334</v>
      </c>
      <c r="D19" s="35">
        <f>IF(31049.24716="","-",31049.24716/1959536.20883*100)</f>
        <v>1.5845202053469014</v>
      </c>
      <c r="E19" s="35">
        <f>IF(20755.66342="","-",20755.66342/2026247.72249*100)</f>
        <v>1.0243398765918876</v>
      </c>
      <c r="F19" s="50">
        <f>IF(OR(1651540.84429="",24114.95424="",31049.24716=""),"-",(31049.24716-24114.95424)/1651540.84429*100)</f>
        <v>0.4198680852474505</v>
      </c>
      <c r="G19" s="50">
        <f>IF(OR(1959536.20883="",20755.66342="",31049.24716=""),"-",(20755.66342-31049.24716)/1959536.20883*100)</f>
        <v>-0.5253071463346979</v>
      </c>
    </row>
    <row r="20" spans="1:7" s="14" customFormat="1" ht="15.75">
      <c r="A20" s="34" t="s">
        <v>42</v>
      </c>
      <c r="B20" s="35">
        <f>IF(10504.59952="","-",10504.59952)</f>
        <v>10504.59952</v>
      </c>
      <c r="C20" s="35">
        <f>IF(OR(11146.18975="",10504.59952=""),"-",10504.59952/11146.18975*100)</f>
        <v>94.24386050847555</v>
      </c>
      <c r="D20" s="35">
        <f>IF(11146.18975="","-",11146.18975/1959536.20883*100)</f>
        <v>0.5688177488006291</v>
      </c>
      <c r="E20" s="35">
        <f>IF(10504.59952="","-",10504.59952/2026247.72249*100)</f>
        <v>0.5184262221941544</v>
      </c>
      <c r="F20" s="50">
        <f>IF(OR(1651540.84429="",9250.25021="",11146.18975=""),"-",(11146.18975-9250.25021)/1651540.84429*100)</f>
        <v>0.11479822291740335</v>
      </c>
      <c r="G20" s="50">
        <f>IF(OR(1959536.20883="",10504.59952="",11146.18975=""),"-",(10504.59952-11146.18975)/1959536.20883*100)</f>
        <v>-0.03274194307351333</v>
      </c>
    </row>
    <row r="21" spans="1:7" s="12" customFormat="1" ht="15.75">
      <c r="A21" s="34" t="s">
        <v>45</v>
      </c>
      <c r="B21" s="35">
        <f>IF(9799.82699="","-",9799.82699)</f>
        <v>9799.82699</v>
      </c>
      <c r="C21" s="35">
        <f>IF(OR(14801.88773="",9799.82699=""),"-",9799.82699/14801.88773*100)</f>
        <v>66.20660262229944</v>
      </c>
      <c r="D21" s="35">
        <f>IF(14801.88773="","-",14801.88773/1959536.20883*100)</f>
        <v>0.7553770970549155</v>
      </c>
      <c r="E21" s="35">
        <f>IF(9799.82699="","-",9799.82699/2026247.72249*100)</f>
        <v>0.48364407180960395</v>
      </c>
      <c r="F21" s="50">
        <f>IF(OR(1651540.84429="",7359.06623="",14801.88773=""),"-",(14801.88773-7359.06623)/1651540.84429*100)</f>
        <v>0.45065924501550436</v>
      </c>
      <c r="G21" s="50">
        <f>IF(OR(1959536.20883="",9799.82699="",14801.88773=""),"-",(9799.82699-14801.88773)/1959536.20883*100)</f>
        <v>-0.25526758410790645</v>
      </c>
    </row>
    <row r="22" spans="1:7" s="12" customFormat="1" ht="15.75">
      <c r="A22" s="34" t="s">
        <v>48</v>
      </c>
      <c r="B22" s="35">
        <f>IF(8294.22635="","-",8294.22635)</f>
        <v>8294.22635</v>
      </c>
      <c r="C22" s="35">
        <f>IF(OR(6058.84707="",8294.22635=""),"-",8294.22635/6058.84707*100)</f>
        <v>136.89446612819032</v>
      </c>
      <c r="D22" s="35">
        <f>IF(6058.84707="","-",6058.84707/1959536.20883*100)</f>
        <v>0.309198015463956</v>
      </c>
      <c r="E22" s="35">
        <f>IF(8294.22635="","-",8294.22635/2026247.72249*100)</f>
        <v>0.40933920655108513</v>
      </c>
      <c r="F22" s="50">
        <f>IF(OR(1651540.84429="",6286.38473="",6058.84707=""),"-",(6058.84707-6286.38473)/1651540.84429*100)</f>
        <v>-0.013777295353407912</v>
      </c>
      <c r="G22" s="50">
        <f>IF(OR(1959536.20883="",8294.22635="",6058.84707=""),"-",(8294.22635-6058.84707)/1959536.20883*100)</f>
        <v>0.11407695708438588</v>
      </c>
    </row>
    <row r="23" spans="1:7" s="12" customFormat="1" ht="15.75">
      <c r="A23" s="34" t="s">
        <v>43</v>
      </c>
      <c r="B23" s="35">
        <f>IF(6804.82704="","-",6804.82704)</f>
        <v>6804.82704</v>
      </c>
      <c r="C23" s="35">
        <f>IF(OR(5911.65416="",6804.82704=""),"-",6804.82704/5911.65416*100)</f>
        <v>115.10867949690751</v>
      </c>
      <c r="D23" s="35">
        <f>IF(5911.65416="","-",5911.65416/1959536.20883*100)</f>
        <v>0.301686395656334</v>
      </c>
      <c r="E23" s="35">
        <f>IF(6804.82704="","-",6804.82704/2026247.72249*100)</f>
        <v>0.33583391430726617</v>
      </c>
      <c r="F23" s="50">
        <f>IF(OR(1651540.84429="",7663.52449="",5911.65416=""),"-",(5911.65416-7663.52449)/1651540.84429*100)</f>
        <v>-0.10607490187462675</v>
      </c>
      <c r="G23" s="50">
        <f>IF(OR(1959536.20883="",6804.82704="",5911.65416=""),"-",(6804.82704-5911.65416)/1959536.20883*100)</f>
        <v>0.04558083060548781</v>
      </c>
    </row>
    <row r="24" spans="1:7" s="12" customFormat="1" ht="15.75">
      <c r="A24" s="34" t="s">
        <v>44</v>
      </c>
      <c r="B24" s="35">
        <f>IF(6366.4125="","-",6366.4125)</f>
        <v>6366.4125</v>
      </c>
      <c r="C24" s="35">
        <f>IF(OR(6938.11955="",6366.4125=""),"-",6366.4125/6938.11955*100)</f>
        <v>91.75991353449653</v>
      </c>
      <c r="D24" s="35">
        <f>IF(6938.11955="","-",6938.11955/1959536.20883*100)</f>
        <v>0.35406947413044304</v>
      </c>
      <c r="E24" s="35">
        <f>IF(6366.4125="","-",6366.4125/2026247.72249*100)</f>
        <v>0.3141971452620063</v>
      </c>
      <c r="F24" s="50">
        <f>IF(OR(1651540.84429="",5715.85027="",6938.11955=""),"-",(6938.11955-5715.85027)/1651540.84429*100)</f>
        <v>0.07400781423153092</v>
      </c>
      <c r="G24" s="50">
        <f>IF(OR(1959536.20883="",6366.4125="",6938.11955=""),"-",(6366.4125-6938.11955)/1959536.20883*100)</f>
        <v>-0.02917563081630193</v>
      </c>
    </row>
    <row r="25" spans="1:7" s="12" customFormat="1" ht="15.75">
      <c r="A25" s="34" t="s">
        <v>46</v>
      </c>
      <c r="B25" s="35">
        <f>IF(5687.62943="","-",5687.62943)</f>
        <v>5687.62943</v>
      </c>
      <c r="C25" s="35">
        <f>IF(OR(4372.4829="",5687.62943=""),"-",5687.62943/4372.4829*100)</f>
        <v>130.0777969880683</v>
      </c>
      <c r="D25" s="35">
        <f>IF(4372.4829="","-",4372.4829/1959536.20883*100)</f>
        <v>0.22313866313349331</v>
      </c>
      <c r="E25" s="35">
        <f>IF(5687.62943="","-",5687.62943/2026247.72249*100)</f>
        <v>0.28069763469052184</v>
      </c>
      <c r="F25" s="50">
        <f>IF(OR(1651540.84429="",3910.7244="",4372.4829=""),"-",(4372.4829-3910.7244)/1651540.84429*100)</f>
        <v>0.02795925402610982</v>
      </c>
      <c r="G25" s="50">
        <f>IF(OR(1959536.20883="",5687.62943="",4372.4829=""),"-",(5687.62943-4372.4829)/1959536.20883*100)</f>
        <v>0.06711519409918165</v>
      </c>
    </row>
    <row r="26" spans="1:7" s="12" customFormat="1" ht="15.75">
      <c r="A26" s="34" t="s">
        <v>47</v>
      </c>
      <c r="B26" s="35">
        <f>IF(2618.69697="","-",2618.69697)</f>
        <v>2618.69697</v>
      </c>
      <c r="C26" s="35">
        <f>IF(OR(2463.25534="",2618.69697=""),"-",2618.69697/2463.25534*100)</f>
        <v>106.31041481879015</v>
      </c>
      <c r="D26" s="35">
        <f>IF(2463.25534="","-",2463.25534/1959536.20883*100)</f>
        <v>0.12570603844420722</v>
      </c>
      <c r="E26" s="35">
        <f>IF(2618.69697="","-",2618.69697/2026247.72249*100)</f>
        <v>0.12923873724491866</v>
      </c>
      <c r="F26" s="50">
        <f>IF(OR(1651540.84429="",2420.21537="",2463.25534=""),"-",(2463.25534-2420.21537)/1651540.84429*100)</f>
        <v>0.0026060493840528187</v>
      </c>
      <c r="G26" s="50">
        <f>IF(OR(1959536.20883="",2618.69697="",2463.25534=""),"-",(2618.69697-2463.25534)/1959536.20883*100)</f>
        <v>0.0079325724780973</v>
      </c>
    </row>
    <row r="27" spans="1:7" s="9" customFormat="1" ht="15.75">
      <c r="A27" s="34" t="s">
        <v>50</v>
      </c>
      <c r="B27" s="35">
        <f>IF(790.49321="","-",790.49321)</f>
        <v>790.49321</v>
      </c>
      <c r="C27" s="35" t="s">
        <v>181</v>
      </c>
      <c r="D27" s="35">
        <f>IF(226.19615="","-",226.19615/1959536.20883*100)</f>
        <v>0.011543351379817433</v>
      </c>
      <c r="E27" s="35">
        <f>IF(790.49321="","-",790.49321/2026247.72249*100)</f>
        <v>0.03901266371461159</v>
      </c>
      <c r="F27" s="50">
        <f>IF(OR(1651540.84429="",86.62022="",226.19615=""),"-",(226.19615-86.62022)/1651540.84429*100)</f>
        <v>0.008451255110194013</v>
      </c>
      <c r="G27" s="50">
        <f>IF(OR(1959536.20883="",790.49321="",226.19615=""),"-",(790.49321-226.19615)/1959536.20883*100)</f>
        <v>0.02879748062103586</v>
      </c>
    </row>
    <row r="28" spans="1:7" s="9" customFormat="1" ht="15.75">
      <c r="A28" s="34" t="s">
        <v>158</v>
      </c>
      <c r="B28" s="35">
        <f>IF(644.75473="","-",644.75473)</f>
        <v>644.75473</v>
      </c>
      <c r="C28" s="35">
        <f>IF(OR(710.68941="",644.75473=""),"-",644.75473/710.68941*100)</f>
        <v>90.72243386882604</v>
      </c>
      <c r="D28" s="35">
        <f>IF(710.68941="","-",710.68941/1959536.20883*100)</f>
        <v>0.03626824586335858</v>
      </c>
      <c r="E28" s="35">
        <f>IF(644.75473="","-",644.75473/2026247.72249*100)</f>
        <v>0.031820133483366916</v>
      </c>
      <c r="F28" s="50">
        <f>IF(OR(1651540.84429="",457.62775="",710.68941=""),"-",(710.68941-457.62775)/1651540.84429*100)</f>
        <v>0.015322761218708555</v>
      </c>
      <c r="G28" s="50">
        <f>IF(OR(1959536.20883="",644.75473="",710.68941=""),"-",(644.75473-710.68941)/1959536.20883*100)</f>
        <v>-0.0033648104945898523</v>
      </c>
    </row>
    <row r="29" spans="1:7" s="12" customFormat="1" ht="15.75">
      <c r="A29" s="34" t="s">
        <v>49</v>
      </c>
      <c r="B29" s="35">
        <f>IF(592.71755="","-",592.71755)</f>
        <v>592.71755</v>
      </c>
      <c r="C29" s="35">
        <f>IF(OR(1261.19792="",592.71755=""),"-",592.71755/1261.19792*100)</f>
        <v>46.9963945072158</v>
      </c>
      <c r="D29" s="35">
        <f>IF(1261.19792="","-",1261.19792/1959536.20883*100)</f>
        <v>0.06436206252871624</v>
      </c>
      <c r="E29" s="35">
        <f>IF(592.71755="","-",592.71755/2026247.72249*100)</f>
        <v>0.029251978591819248</v>
      </c>
      <c r="F29" s="50">
        <f>IF(OR(1651540.84429="",1116.43687="",1261.19792=""),"-",(1261.19792-1116.43687)/1651540.84429*100)</f>
        <v>0.008765211620438796</v>
      </c>
      <c r="G29" s="50">
        <f>IF(OR(1959536.20883="",592.71755="",1261.19792=""),"-",(592.71755-1261.19792)/1959536.20883*100)</f>
        <v>-0.03411421370973984</v>
      </c>
    </row>
    <row r="30" spans="1:7" s="12" customFormat="1" ht="15.75">
      <c r="A30" s="34" t="s">
        <v>51</v>
      </c>
      <c r="B30" s="35">
        <f>IF(529.755="","-",529.755)</f>
        <v>529.755</v>
      </c>
      <c r="C30" s="35">
        <f>IF(OR(649.8024="",529.755=""),"-",529.755/649.8024*100)</f>
        <v>81.5255529988809</v>
      </c>
      <c r="D30" s="35">
        <f>IF(649.8024="","-",649.8024/1959536.20883*100)</f>
        <v>0.03316103050670261</v>
      </c>
      <c r="E30" s="35">
        <f>IF(529.755="","-",529.755/2026247.72249*100)</f>
        <v>0.026144631484101</v>
      </c>
      <c r="F30" s="50">
        <f>IF(OR(1651540.84429="",912.13157="",649.8024=""),"-",(649.8024-912.13157)/1651540.84429*100)</f>
        <v>-0.01588390447060216</v>
      </c>
      <c r="G30" s="50">
        <f>IF(OR(1959536.20883="",529.755="",649.8024=""),"-",(529.755-649.8024)/1959536.20883*100)</f>
        <v>-0.006126317005985715</v>
      </c>
    </row>
    <row r="31" spans="1:7" s="9" customFormat="1" ht="15.75">
      <c r="A31" s="34" t="s">
        <v>56</v>
      </c>
      <c r="B31" s="35">
        <f>IF(461.08919="","-",461.08919)</f>
        <v>461.08919</v>
      </c>
      <c r="C31" s="35">
        <f>IF(OR(573.68424="",461.08919=""),"-",461.08919/573.68424*100)</f>
        <v>80.37334091659899</v>
      </c>
      <c r="D31" s="35">
        <f>IF(573.68424="","-",573.68424/1959536.20883*100)</f>
        <v>0.029276531733115334</v>
      </c>
      <c r="E31" s="35">
        <f>IF(461.08919="","-",461.08919/2026247.72249*100)</f>
        <v>0.02275581533700036</v>
      </c>
      <c r="F31" s="50">
        <f>IF(OR(1651540.84429="",16.26047="",573.68424=""),"-",(573.68424-16.26047)/1651540.84429*100)</f>
        <v>0.0337517398935197</v>
      </c>
      <c r="G31" s="50">
        <f>IF(OR(1959536.20883="",461.08919="",573.68424=""),"-",(461.08919-573.68424)/1959536.20883*100)</f>
        <v>-0.00574600507470226</v>
      </c>
    </row>
    <row r="32" spans="1:7" s="9" customFormat="1" ht="15.75">
      <c r="A32" s="34" t="s">
        <v>52</v>
      </c>
      <c r="B32" s="35">
        <f>IF(146.4413="","-",146.4413)</f>
        <v>146.4413</v>
      </c>
      <c r="C32" s="35">
        <f>IF(OR(9350.49588="",146.4413=""),"-",146.4413/9350.49588*100)</f>
        <v>1.566134051919394</v>
      </c>
      <c r="D32" s="35">
        <f>IF(9350.49588="","-",9350.49588/1959536.20883*100)</f>
        <v>0.47717903031671943</v>
      </c>
      <c r="E32" s="35">
        <f>IF(146.4413="","-",146.4413/2026247.72249*100)</f>
        <v>0.007227216019768911</v>
      </c>
      <c r="F32" s="50">
        <f>IF(OR(1651540.84429="",115.49706="",9350.49588=""),"-",(9350.49588-115.49706)/1651540.84429*100)</f>
        <v>0.5591747156559208</v>
      </c>
      <c r="G32" s="50">
        <f>IF(OR(1959536.20883="",146.4413="",9350.49588=""),"-",(146.4413-9350.49588)/1959536.20883*100)</f>
        <v>-0.4697057670343105</v>
      </c>
    </row>
    <row r="33" spans="1:7" s="9" customFormat="1" ht="15.75">
      <c r="A33" s="34" t="s">
        <v>54</v>
      </c>
      <c r="B33" s="35">
        <f>IF(64.64568="","-",64.64568)</f>
        <v>64.64568</v>
      </c>
      <c r="C33" s="35">
        <f>IF(OR(321.58579="",64.64568=""),"-",64.64568/321.58579*100)</f>
        <v>20.10215687701873</v>
      </c>
      <c r="D33" s="35">
        <f>IF(321.58579="","-",321.58579/1959536.20883*100)</f>
        <v>0.016411321645952767</v>
      </c>
      <c r="E33" s="35">
        <f>IF(64.64568="","-",64.64568/2026247.72249*100)</f>
        <v>0.003190413456482937</v>
      </c>
      <c r="F33" s="50">
        <f>IF(OR(1651540.84429="",613.91178="",321.58579=""),"-",(321.58579-613.91178)/1651540.84429*100)</f>
        <v>-0.017700197425372877</v>
      </c>
      <c r="G33" s="50">
        <f>IF(OR(1959536.20883="",64.64568="",321.58579=""),"-",(64.64568-321.58579)/1959536.20883*100)</f>
        <v>-0.01311229202309121</v>
      </c>
    </row>
    <row r="34" spans="1:7" s="9" customFormat="1" ht="15.75">
      <c r="A34" s="34" t="s">
        <v>53</v>
      </c>
      <c r="B34" s="35">
        <f>IF(63.81918="","-",63.81918)</f>
        <v>63.81918</v>
      </c>
      <c r="C34" s="35" t="s">
        <v>206</v>
      </c>
      <c r="D34" s="35">
        <f>IF(7.42765="","-",7.42765/1959536.20883*100)</f>
        <v>0.0003790514289314869</v>
      </c>
      <c r="E34" s="35">
        <f>IF(63.81918="","-",63.81918/2026247.72249*100)</f>
        <v>0.00314962377460809</v>
      </c>
      <c r="F34" s="50">
        <f>IF(OR(1651540.84429="",247.44813="",7.42765=""),"-",(7.42765-247.44813)/1651540.84429*100)</f>
        <v>-0.014533124071974447</v>
      </c>
      <c r="G34" s="50">
        <f>IF(OR(1959536.20883="",63.81918="",7.42765=""),"-",(63.81918-7.42765)/1959536.20883*100)</f>
        <v>0.0028777998459987766</v>
      </c>
    </row>
    <row r="35" spans="1:7" s="9" customFormat="1" ht="15.75">
      <c r="A35" s="34" t="s">
        <v>55</v>
      </c>
      <c r="B35" s="35">
        <f>IF(61.68467="","-",61.68467)</f>
        <v>61.68467</v>
      </c>
      <c r="C35" s="35" t="s">
        <v>170</v>
      </c>
      <c r="D35" s="35">
        <f>IF(27.75621="","-",27.75621/1959536.20883*100)</f>
        <v>0.0014164683395451354</v>
      </c>
      <c r="E35" s="35">
        <f>IF(61.68467="","-",61.68467/2026247.72249*100)</f>
        <v>0.0030442807814336443</v>
      </c>
      <c r="F35" s="50">
        <f>IF(OR(1651540.84429="",29.47279="",27.75621=""),"-",(27.75621-29.47279)/1651540.84429*100)</f>
        <v>-0.00010393808944749175</v>
      </c>
      <c r="G35" s="50">
        <f>IF(OR(1959536.20883="",61.68467="",27.75621=""),"-",(61.68467-27.75621)/1959536.20883*100)</f>
        <v>0.0017314535882068751</v>
      </c>
    </row>
    <row r="36" spans="1:7" s="9" customFormat="1" ht="15.75">
      <c r="A36" s="32" t="s">
        <v>177</v>
      </c>
      <c r="B36" s="33">
        <f>IF(301843.36822="","-",301843.36822)</f>
        <v>301843.36822</v>
      </c>
      <c r="C36" s="33">
        <f>IF(306845.04735="","-",301843.36822/306845.04735*100)</f>
        <v>98.36996582698795</v>
      </c>
      <c r="D36" s="33">
        <f>IF(306845.04735="","-",306845.04735/1959536.20883*100)</f>
        <v>15.659064934207626</v>
      </c>
      <c r="E36" s="33">
        <f>IF(301843.36822="","-",301843.36822/2026247.72249*100)</f>
        <v>14.896666625197879</v>
      </c>
      <c r="F36" s="49">
        <f>IF(1651540.84429="","-",(306845.04735-336393.37993)/1651540.84429*100)</f>
        <v>-1.7891372582252343</v>
      </c>
      <c r="G36" s="49">
        <f>IF(1959536.20883="","-",(301843.36822-306845.04735)/1959536.20883*100)</f>
        <v>-0.2552481096017311</v>
      </c>
    </row>
    <row r="37" spans="1:7" s="9" customFormat="1" ht="15.75">
      <c r="A37" s="34" t="s">
        <v>159</v>
      </c>
      <c r="B37" s="35">
        <f>IF(171734.15828="","-",171734.15828)</f>
        <v>171734.15828</v>
      </c>
      <c r="C37" s="35">
        <f>IF(OR(159507.50052="",171734.15828=""),"-",171734.15828/159507.50052*100)</f>
        <v>107.66525569025951</v>
      </c>
      <c r="D37" s="35">
        <f>IF(159507.50052="","-",159507.50052/1959536.20883*100)</f>
        <v>8.140063949889385</v>
      </c>
      <c r="E37" s="35">
        <f>IF(171734.15828="","-",171734.15828/2026247.72249*100)</f>
        <v>8.475476930775306</v>
      </c>
      <c r="F37" s="50">
        <f>IF(OR(1651540.84429="",183026.49335="",159507.50052=""),"-",(159507.50052-183026.49335)/1651540.84429*100)</f>
        <v>-1.4240636500946398</v>
      </c>
      <c r="G37" s="50">
        <f>IF(OR(1959536.20883="",171734.15828="",159507.50052=""),"-",(171734.15828-159507.50052)/1959536.20883*100)</f>
        <v>0.6239567151096583</v>
      </c>
    </row>
    <row r="38" spans="1:7" s="9" customFormat="1" ht="15.75">
      <c r="A38" s="34" t="s">
        <v>11</v>
      </c>
      <c r="B38" s="35">
        <f>IF(60024.33629="","-",60024.33629)</f>
        <v>60024.33629</v>
      </c>
      <c r="C38" s="35">
        <f>IF(OR(68156.47113="",60024.33629=""),"-",60024.33629/68156.47113*100)</f>
        <v>88.06843326074062</v>
      </c>
      <c r="D38" s="35">
        <f>IF(68156.47113="","-",68156.47113/1959536.20883*100)</f>
        <v>3.478194014628333</v>
      </c>
      <c r="E38" s="35">
        <f>IF(60024.33629="","-",60024.33629/2026247.72249*100)</f>
        <v>2.9623394821753455</v>
      </c>
      <c r="F38" s="50">
        <f>IF(OR(1651540.84429="",82247.33197="",68156.47113=""),"-",(68156.47113-82247.33197)/1651540.84429*100)</f>
        <v>-0.8531948143285355</v>
      </c>
      <c r="G38" s="50">
        <f>IF(OR(1959536.20883="",60024.33629="",68156.47113=""),"-",(60024.33629-68156.47113)/1959536.20883*100)</f>
        <v>-0.4150030401763049</v>
      </c>
    </row>
    <row r="39" spans="1:7" s="9" customFormat="1" ht="14.25" customHeight="1">
      <c r="A39" s="34" t="s">
        <v>12</v>
      </c>
      <c r="B39" s="35">
        <f>IF(53790.43153="","-",53790.43153)</f>
        <v>53790.43153</v>
      </c>
      <c r="C39" s="35">
        <f>IF(OR(58527.38177="",53790.43153=""),"-",53790.43153/58527.38177*100)</f>
        <v>91.90643747124176</v>
      </c>
      <c r="D39" s="35">
        <f>IF(58527.38177="","-",58527.38177/1959536.20883*100)</f>
        <v>2.986797667032932</v>
      </c>
      <c r="E39" s="35">
        <f>IF(53790.43153="","-",53790.43153/2026247.72249*100)</f>
        <v>2.6546818996000363</v>
      </c>
      <c r="F39" s="50">
        <f>IF(OR(1651540.84429="",48825.3064="",58527.38177=""),"-",(58527.38177-48825.3064)/1651540.84429*100)</f>
        <v>0.5874559750395356</v>
      </c>
      <c r="G39" s="50">
        <f>IF(OR(1959536.20883="",53790.43153="",58527.38177=""),"-",(53790.43153-58527.38177)/1959536.20883*100)</f>
        <v>-0.24173833678880255</v>
      </c>
    </row>
    <row r="40" spans="1:7" s="13" customFormat="1" ht="14.25" customHeight="1">
      <c r="A40" s="34" t="s">
        <v>13</v>
      </c>
      <c r="B40" s="35">
        <f>IF(6658.87125="","-",6658.87125)</f>
        <v>6658.87125</v>
      </c>
      <c r="C40" s="35">
        <f>IF(OR(12511.87248="",6658.87125=""),"-",6658.87125/12511.87248*100)</f>
        <v>53.22042132897441</v>
      </c>
      <c r="D40" s="35">
        <f>IF(12511.87248="","-",12511.87248/1959536.20883*100)</f>
        <v>0.6385119307119408</v>
      </c>
      <c r="E40" s="35">
        <f>IF(6658.87125="","-",6658.87125/2026247.72249*100)</f>
        <v>0.3286306593261507</v>
      </c>
      <c r="F40" s="50">
        <f>IF(OR(1651540.84429="",12199.69708="",12511.87248=""),"-",(12511.87248-12199.69708)/1651540.84429*100)</f>
        <v>0.018902069608469463</v>
      </c>
      <c r="G40" s="50">
        <f>IF(OR(1959536.20883="",6658.87125="",12511.87248=""),"-",(6658.87125-12511.87248)/1959536.20883*100)</f>
        <v>-0.2986931909512767</v>
      </c>
    </row>
    <row r="41" spans="1:7" s="13" customFormat="1" ht="14.25" customHeight="1">
      <c r="A41" s="34" t="s">
        <v>14</v>
      </c>
      <c r="B41" s="35">
        <f>IF(3475.47705="","-",3475.47705)</f>
        <v>3475.47705</v>
      </c>
      <c r="C41" s="35">
        <f>IF(OR(3136.51985="",3475.47705=""),"-",3475.47705/3136.51985*100)</f>
        <v>110.80679275790331</v>
      </c>
      <c r="D41" s="35">
        <f>IF(3136.51985="","-",3136.51985/1959536.20883*100)</f>
        <v>0.1600643987014026</v>
      </c>
      <c r="E41" s="35">
        <f>IF(3475.47705="","-",3475.47705/2026247.72249*100)</f>
        <v>0.17152281092901522</v>
      </c>
      <c r="F41" s="50">
        <f>IF(OR(1651540.84429="",3513.80939="",3136.51985=""),"-",(3136.51985-3513.80939)/1651540.84429*100)</f>
        <v>-0.022844699318483833</v>
      </c>
      <c r="G41" s="50">
        <f>IF(OR(1959536.20883="",3475.47705="",3136.51985=""),"-",(3475.47705-3136.51985)/1959536.20883*100)</f>
        <v>0.01729782784684466</v>
      </c>
    </row>
    <row r="42" spans="1:7" s="13" customFormat="1" ht="14.25" customHeight="1">
      <c r="A42" s="34" t="s">
        <v>17</v>
      </c>
      <c r="B42" s="35">
        <f>IF(2785.45748="","-",2785.45748)</f>
        <v>2785.45748</v>
      </c>
      <c r="C42" s="35" t="s">
        <v>20</v>
      </c>
      <c r="D42" s="35">
        <f>IF(1389.79675="","-",1389.79675/1959536.20883*100)</f>
        <v>0.07092478024837418</v>
      </c>
      <c r="E42" s="35">
        <f>IF(2785.45748="","-",2785.45748/2026247.72249*100)</f>
        <v>0.13746875315803084</v>
      </c>
      <c r="F42" s="50">
        <f>IF(OR(1651540.84429="",773.31378="",1389.79675=""),"-",(1389.79675-773.31378)/1651540.84429*100)</f>
        <v>0.037327745912637544</v>
      </c>
      <c r="G42" s="50">
        <f>IF(OR(1959536.20883="",2785.45748="",1389.79675=""),"-",(2785.45748-1389.79675)/1959536.20883*100)</f>
        <v>0.07122403371322857</v>
      </c>
    </row>
    <row r="43" spans="1:7" s="13" customFormat="1" ht="14.25" customHeight="1">
      <c r="A43" s="34" t="s">
        <v>15</v>
      </c>
      <c r="B43" s="35">
        <f>IF(2077.1917="","-",2077.1917)</f>
        <v>2077.1917</v>
      </c>
      <c r="C43" s="35">
        <f>IF(OR(2331.39687="",2077.1917=""),"-",2077.1917/2331.39687*100)</f>
        <v>89.09644371273431</v>
      </c>
      <c r="D43" s="35">
        <f>IF(2331.39687="","-",2331.39687/1959536.20883*100)</f>
        <v>0.11897697319877701</v>
      </c>
      <c r="E43" s="35">
        <f>IF(2077.1917="","-",2077.1917/2026247.72249*100)</f>
        <v>0.10251420282646369</v>
      </c>
      <c r="F43" s="50">
        <f>IF(OR(1651540.84429="",4309.7475="",2331.39687=""),"-",(2331.39687-4309.7475)/1651540.84429*100)</f>
        <v>-0.11978817459101332</v>
      </c>
      <c r="G43" s="50">
        <f>IF(OR(1959536.20883="",2077.1917="",2331.39687=""),"-",(2077.1917-2331.39687)/1959536.20883*100)</f>
        <v>-0.012972721241613649</v>
      </c>
    </row>
    <row r="44" spans="1:7" s="11" customFormat="1" ht="14.25" customHeight="1">
      <c r="A44" s="34" t="s">
        <v>136</v>
      </c>
      <c r="B44" s="35">
        <f>IF(669.8355="","-",669.8355)</f>
        <v>669.8355</v>
      </c>
      <c r="C44" s="35">
        <f>IF(OR(775.70618="",669.8355=""),"-",669.8355/775.70618*100)</f>
        <v>86.35170342461369</v>
      </c>
      <c r="D44" s="35">
        <f>IF(775.70618="","-",775.70618/1959536.20883*100)</f>
        <v>0.039586213130665175</v>
      </c>
      <c r="E44" s="35">
        <f>IF(669.8355="","-",669.8355/2026247.72249*100)</f>
        <v>0.03305792734843189</v>
      </c>
      <c r="F44" s="50">
        <f>IF(OR(1651540.84429="",661.25925="",775.70618=""),"-",(775.70618-661.25925)/1651540.84429*100)</f>
        <v>0.006929706304006123</v>
      </c>
      <c r="G44" s="50">
        <f>IF(OR(1959536.20883="",669.8355="",775.70618=""),"-",(669.8355-775.70618)/1959536.20883*100)</f>
        <v>-0.0054028437710377025</v>
      </c>
    </row>
    <row r="45" spans="1:7" s="13" customFormat="1" ht="14.25" customHeight="1">
      <c r="A45" s="34" t="s">
        <v>16</v>
      </c>
      <c r="B45" s="35">
        <f>IF(486.57003="","-",486.57003)</f>
        <v>486.57003</v>
      </c>
      <c r="C45" s="35" t="s">
        <v>167</v>
      </c>
      <c r="D45" s="35">
        <f>IF(213.28975="","-",213.28975/1959536.20883*100)</f>
        <v>0.01088470572979874</v>
      </c>
      <c r="E45" s="35">
        <f>IF(486.57003="","-",486.57003/2026247.72249*100)</f>
        <v>0.024013353579594277</v>
      </c>
      <c r="F45" s="50">
        <f>IF(OR(1651540.84429="",507.9163="",213.28975=""),"-",(213.28975-507.9163)/1651540.84429*100)</f>
        <v>-0.017839495221606848</v>
      </c>
      <c r="G45" s="50">
        <f>IF(OR(1959536.20883="",486.57003="",213.28975=""),"-",(486.57003-213.28975)/1959536.20883*100)</f>
        <v>0.013946171485301114</v>
      </c>
    </row>
    <row r="46" spans="1:7" s="11" customFormat="1" ht="14.25" customHeight="1">
      <c r="A46" s="34" t="s">
        <v>18</v>
      </c>
      <c r="B46" s="35">
        <f>IF(141.03911="","-",141.03911)</f>
        <v>141.03911</v>
      </c>
      <c r="C46" s="35">
        <f>IF(OR(295.11205="",141.03911=""),"-",141.03911/295.11205*100)</f>
        <v>47.79171504518368</v>
      </c>
      <c r="D46" s="35">
        <f>IF(295.11205="","-",295.11205/1959536.20883*100)</f>
        <v>0.015060300936016157</v>
      </c>
      <c r="E46" s="35">
        <f>IF(141.03911="","-",141.03911/2026247.72249*100)</f>
        <v>0.006960605479505779</v>
      </c>
      <c r="F46" s="50">
        <f>IF(OR(1651540.84429="",328.50491="",295.11205=""),"-",(295.11205-328.50491)/1651540.84429*100)</f>
        <v>-0.0020219215356042635</v>
      </c>
      <c r="G46" s="50">
        <f>IF(OR(1959536.20883="",141.03911="",295.11205=""),"-",(141.03911-295.11205)/1959536.20883*100)</f>
        <v>-0.007862724827728184</v>
      </c>
    </row>
    <row r="47" spans="1:7" s="11" customFormat="1" ht="14.25" customHeight="1">
      <c r="A47" s="32" t="s">
        <v>172</v>
      </c>
      <c r="B47" s="33">
        <f>IF(395745.91475="","-",395745.91475)</f>
        <v>395745.91475</v>
      </c>
      <c r="C47" s="33">
        <f>IF(289071.94566="","-",395745.91475/289071.94566*100)</f>
        <v>136.90222129527143</v>
      </c>
      <c r="D47" s="33">
        <f>IF(289071.94566="","-",289071.94566/1959536.20883*100)</f>
        <v>14.752059408618898</v>
      </c>
      <c r="E47" s="33">
        <f>IF(395745.91475="","-",395745.91475/2026247.72249*100)</f>
        <v>19.53097394546007</v>
      </c>
      <c r="F47" s="49">
        <f>IF(1651540.84429="","-",(289071.94566-248754.40187)/1651540.84429*100)</f>
        <v>2.441207792673914</v>
      </c>
      <c r="G47" s="49">
        <f>IF(1959536.20883="","-",(395745.91475-289071.94566)/1959536.20883*100)</f>
        <v>5.443837608578455</v>
      </c>
    </row>
    <row r="48" spans="1:7" s="11" customFormat="1" ht="14.25" customHeight="1">
      <c r="A48" s="34" t="s">
        <v>57</v>
      </c>
      <c r="B48" s="35">
        <f>IF(149842.38951="","-",149842.38951)</f>
        <v>149842.38951</v>
      </c>
      <c r="C48" s="35" t="s">
        <v>207</v>
      </c>
      <c r="D48" s="35">
        <f>IF(60517.39957="","-",60517.39957/1959536.20883*100)</f>
        <v>3.0883532183431166</v>
      </c>
      <c r="E48" s="35">
        <f>IF(149842.38951="","-",149842.38951/2026247.72249*100)</f>
        <v>7.395067633974331</v>
      </c>
      <c r="F48" s="50">
        <f>IF(OR(1651540.84429="",65062.6123099999="",60517.39957=""),"-",(60517.39957-65062.6123099999)/1651540.84429*100)</f>
        <v>-0.2752104348926287</v>
      </c>
      <c r="G48" s="50">
        <f>IF(OR(1959536.20883="",149842.38951="",60517.39957=""),"-",(149842.38951-60517.39957)/1959536.20883*100)</f>
        <v>4.558476109677717</v>
      </c>
    </row>
    <row r="49" spans="1:7" s="11" customFormat="1" ht="14.25" customHeight="1">
      <c r="A49" s="34" t="s">
        <v>161</v>
      </c>
      <c r="B49" s="35">
        <f>IF(60030.22153="","-",60030.22153)</f>
        <v>60030.22153</v>
      </c>
      <c r="C49" s="35" t="s">
        <v>135</v>
      </c>
      <c r="D49" s="35">
        <f>IF(38920.40556="","-",38920.40556/1959536.20883*100)</f>
        <v>1.9862049695544333</v>
      </c>
      <c r="E49" s="35">
        <f>IF(60030.22153="","-",60030.22153/2026247.72249*100)</f>
        <v>2.9626299323475864</v>
      </c>
      <c r="F49" s="50">
        <f>IF(OR(1651540.84429="",23363.61564="",38920.40556=""),"-",(38920.40556-23363.61564)/1651540.84429*100)</f>
        <v>0.9419561116993077</v>
      </c>
      <c r="G49" s="50">
        <f>IF(OR(1959536.20883="",60030.22153="",38920.40556=""),"-",(60030.22153-38920.40556)/1959536.20883*100)</f>
        <v>1.0772863433130564</v>
      </c>
    </row>
    <row r="50" spans="1:7" s="11" customFormat="1" ht="14.25" customHeight="1">
      <c r="A50" s="34" t="s">
        <v>19</v>
      </c>
      <c r="B50" s="35">
        <f>IF(16327.32733="","-",16327.32733)</f>
        <v>16327.32733</v>
      </c>
      <c r="C50" s="35">
        <f>IF(OR(16237.41663="",16327.32733=""),"-",16327.32733/16237.41663*100)</f>
        <v>100.553725398866</v>
      </c>
      <c r="D50" s="35">
        <f>IF(16237.41663="","-",16237.41663/1959536.20883*100)</f>
        <v>0.8286357025112099</v>
      </c>
      <c r="E50" s="35">
        <f>IF(16327.32733="","-",16327.32733/2026247.72249*100)</f>
        <v>0.8057912736324163</v>
      </c>
      <c r="F50" s="50">
        <f>IF(OR(1651540.84429="",13400.88028="",16237.41663=""),"-",(16237.41663-13400.88028)/1651540.84429*100)</f>
        <v>0.17175090521115338</v>
      </c>
      <c r="G50" s="50">
        <f>IF(OR(1959536.20883="",16327.32733="",16237.41663=""),"-",(16327.32733-16237.41663)/1959536.20883*100)</f>
        <v>0.004588366348876209</v>
      </c>
    </row>
    <row r="51" spans="1:7" s="9" customFormat="1" ht="15.75">
      <c r="A51" s="34" t="s">
        <v>59</v>
      </c>
      <c r="B51" s="35">
        <f>IF(15050.84506="","-",15050.84506)</f>
        <v>15050.84506</v>
      </c>
      <c r="C51" s="35">
        <f>IF(OR(16402.30435="",15050.84506=""),"-",15050.84506/16402.30435*100)</f>
        <v>91.76055229093465</v>
      </c>
      <c r="D51" s="35">
        <f>IF(16402.30435="","-",16402.30435/1959536.20883*100)</f>
        <v>0.8370503324250123</v>
      </c>
      <c r="E51" s="35">
        <f>IF(15050.84506="","-",15050.84506/2026247.72249*100)</f>
        <v>0.7427939285481061</v>
      </c>
      <c r="F51" s="50">
        <f>IF(OR(1651540.84429="",13440.54051="",16402.30435=""),"-",(16402.30435-13440.54051)/1651540.84429*100)</f>
        <v>0.17933336921335813</v>
      </c>
      <c r="G51" s="50">
        <f>IF(OR(1959536.20883="",15050.84506="",16402.30435=""),"-",(15050.84506-16402.30435)/1959536.20883*100)</f>
        <v>-0.06896832443871646</v>
      </c>
    </row>
    <row r="52" spans="1:7" s="9" customFormat="1" ht="15.75">
      <c r="A52" s="34" t="s">
        <v>60</v>
      </c>
      <c r="B52" s="35">
        <f>IF(13020.92407="","-",13020.92407)</f>
        <v>13020.92407</v>
      </c>
      <c r="C52" s="35">
        <f>IF(OR(13164.97104="",13020.92407=""),"-",13020.92407/13164.97104*100)</f>
        <v>98.9058314707846</v>
      </c>
      <c r="D52" s="35">
        <f>IF(13164.97104="","-",13164.97104/1959536.20883*100)</f>
        <v>0.6718411724507272</v>
      </c>
      <c r="E52" s="35">
        <f>IF(13020.92407="","-",13020.92407/2026247.72249*100)</f>
        <v>0.6426126443216402</v>
      </c>
      <c r="F52" s="50">
        <f>IF(OR(1651540.84429="",11605.43013="",13164.97104=""),"-",(13164.97104-11605.43013)/1651540.84429*100)</f>
        <v>0.09442944843852462</v>
      </c>
      <c r="G52" s="50">
        <f>IF(OR(1959536.20883="",13020.92407="",13164.97104=""),"-",(13020.92407-13164.97104)/1959536.20883*100)</f>
        <v>-0.007351074675267614</v>
      </c>
    </row>
    <row r="53" spans="1:7" s="9" customFormat="1" ht="15.75">
      <c r="A53" s="34" t="s">
        <v>66</v>
      </c>
      <c r="B53" s="35">
        <f>IF(10099.78861="","-",10099.78861)</f>
        <v>10099.78861</v>
      </c>
      <c r="C53" s="35" t="s">
        <v>208</v>
      </c>
      <c r="D53" s="35">
        <f>IF(3515.34277="","-",3515.34277/1959536.20883*100)</f>
        <v>0.17939667326172765</v>
      </c>
      <c r="E53" s="35">
        <f>IF(10099.78861="","-",10099.78861/2026247.72249*100)</f>
        <v>0.49844786981863437</v>
      </c>
      <c r="F53" s="50">
        <f>IF(OR(1651540.84429="",4009.60434="",3515.34277=""),"-",(3515.34277-4009.60434)/1651540.84429*100)</f>
        <v>-0.02992729920721298</v>
      </c>
      <c r="G53" s="50">
        <f>IF(OR(1959536.20883="",10099.78861="",3515.34277=""),"-",(10099.78861-3515.34277)/1959536.20883*100)</f>
        <v>0.3360206262241738</v>
      </c>
    </row>
    <row r="54" spans="1:7" s="12" customFormat="1" ht="15.75">
      <c r="A54" s="34" t="s">
        <v>137</v>
      </c>
      <c r="B54" s="35">
        <f>IF(9539.48348="","-",9539.48348)</f>
        <v>9539.48348</v>
      </c>
      <c r="C54" s="35" t="s">
        <v>180</v>
      </c>
      <c r="D54" s="35">
        <f>IF(2310.30496="","-",2310.30496/1959536.20883*100)</f>
        <v>0.11790060064158943</v>
      </c>
      <c r="E54" s="35">
        <f>IF(9539.48348="","-",9539.48348/2026247.72249*100)</f>
        <v>0.4707955189347328</v>
      </c>
      <c r="F54" s="50">
        <f>IF(OR(1651540.84429="",4377.58049="",2310.30496=""),"-",(2310.30496-4377.58049)/1651540.84429*100)</f>
        <v>-0.12517253431226677</v>
      </c>
      <c r="G54" s="50">
        <f>IF(OR(1959536.20883="",9539.48348="",2310.30496=""),"-",(9539.48348-2310.30496)/1959536.20883*100)</f>
        <v>0.36892293632667295</v>
      </c>
    </row>
    <row r="55" spans="1:7" s="14" customFormat="1" ht="15.75">
      <c r="A55" s="34" t="s">
        <v>61</v>
      </c>
      <c r="B55" s="35">
        <f>IF(9537.19106="","-",9537.19106)</f>
        <v>9537.19106</v>
      </c>
      <c r="C55" s="35">
        <f>IF(OR(11641.77307="",9537.19106=""),"-",9537.19106/11641.77307*100)</f>
        <v>81.92215225854767</v>
      </c>
      <c r="D55" s="35">
        <f>IF(11641.77307="","-",11641.77307/1959536.20883*100)</f>
        <v>0.5941085965924086</v>
      </c>
      <c r="E55" s="35">
        <f>IF(9537.19106="","-",9537.19106/2026247.72249*100)</f>
        <v>0.4706823827187333</v>
      </c>
      <c r="F55" s="50">
        <f>IF(OR(1651540.84429="",6596.28058="",11641.77307=""),"-",(11641.77307-6596.28058)/1651540.84429*100)</f>
        <v>0.30550213199050885</v>
      </c>
      <c r="G55" s="50">
        <f>IF(OR(1959536.20883="",9537.19106="",11641.77307=""),"-",(9537.19106-11641.77307)/1959536.20883*100)</f>
        <v>-0.10740204751085485</v>
      </c>
    </row>
    <row r="56" spans="1:7" s="9" customFormat="1" ht="15.75">
      <c r="A56" s="34" t="s">
        <v>58</v>
      </c>
      <c r="B56" s="35">
        <f>IF(7608.46309="","-",7608.46309)</f>
        <v>7608.46309</v>
      </c>
      <c r="C56" s="35">
        <f>IF(OR(9705.5751="",7608.46309=""),"-",7608.46309/9705.5751*100)</f>
        <v>78.3927074038096</v>
      </c>
      <c r="D56" s="35">
        <f>IF(9705.5751="","-",9705.5751/1959536.20883*100)</f>
        <v>0.49529960488941444</v>
      </c>
      <c r="E56" s="35">
        <f>IF(7608.46309="","-",7608.46309/2026247.72249*100)</f>
        <v>0.3754952074986256</v>
      </c>
      <c r="F56" s="50">
        <f>IF(OR(1651540.84429="",11695.96959="",9705.5751=""),"-",(9705.5751-11695.96959)/1651540.84429*100)</f>
        <v>-0.12051742449371117</v>
      </c>
      <c r="G56" s="50">
        <f>IF(OR(1959536.20883="",7608.46309="",9705.5751=""),"-",(7608.46309-9705.5751)/1959536.20883*100)</f>
        <v>-0.10702083485623079</v>
      </c>
    </row>
    <row r="57" spans="1:7" s="14" customFormat="1" ht="15.75">
      <c r="A57" s="34" t="s">
        <v>62</v>
      </c>
      <c r="B57" s="35">
        <f>IF(6804.86328="","-",6804.86328)</f>
        <v>6804.86328</v>
      </c>
      <c r="C57" s="35">
        <f>IF(OR(5633.56544="",6804.86328=""),"-",6804.86328/5633.56544*100)</f>
        <v>120.791412693699</v>
      </c>
      <c r="D57" s="35">
        <f>IF(5633.56544="","-",5633.56544/1959536.20883*100)</f>
        <v>0.2874948375342189</v>
      </c>
      <c r="E57" s="35">
        <f>IF(6804.86328="","-",6804.86328/2026247.72249*100)</f>
        <v>0.33583570283487796</v>
      </c>
      <c r="F57" s="50">
        <f>IF(OR(1651540.84429="",5779.61834="",5633.56544=""),"-",(5633.56544-5779.61834)/1651540.84429*100)</f>
        <v>-0.008843432513640804</v>
      </c>
      <c r="G57" s="50">
        <f>IF(OR(1959536.20883="",6804.86328="",5633.56544=""),"-",(6804.86328-5633.56544)/1959536.20883*100)</f>
        <v>0.059774238144818866</v>
      </c>
    </row>
    <row r="58" spans="1:7" s="12" customFormat="1" ht="15.75">
      <c r="A58" s="34" t="s">
        <v>67</v>
      </c>
      <c r="B58" s="35">
        <f>IF(6625.69294="","-",6625.69294)</f>
        <v>6625.69294</v>
      </c>
      <c r="C58" s="35">
        <f>IF(OR(16632.17726="",6625.69294=""),"-",6625.69294/16632.17726*100)</f>
        <v>39.83659406958485</v>
      </c>
      <c r="D58" s="35">
        <f>IF(16632.17726="","-",16632.17726/1959536.20883*100)</f>
        <v>0.8487813180002804</v>
      </c>
      <c r="E58" s="35">
        <f>IF(6625.69294="","-",6625.69294/2026247.72249*100)</f>
        <v>0.3269932331796957</v>
      </c>
      <c r="F58" s="50">
        <f>IF(OR(1651540.84429="",6343.01989="",16632.17726=""),"-",(16632.17726-6343.01989)/1651540.84429*100)</f>
        <v>0.6230035064269528</v>
      </c>
      <c r="G58" s="50">
        <f>IF(OR(1959536.20883="",6625.69294="",16632.17726=""),"-",(6625.69294-16632.17726)/1959536.20883*100)</f>
        <v>-0.5106557498100365</v>
      </c>
    </row>
    <row r="59" spans="1:7" s="9" customFormat="1" ht="15.75">
      <c r="A59" s="34" t="s">
        <v>69</v>
      </c>
      <c r="B59" s="35">
        <f>IF(5862.79928="","-",5862.79928)</f>
        <v>5862.79928</v>
      </c>
      <c r="C59" s="35" t="s">
        <v>105</v>
      </c>
      <c r="D59" s="35">
        <f>IF(3298.21328="","-",3298.21328/1959536.20883*100)</f>
        <v>0.16831601606225474</v>
      </c>
      <c r="E59" s="35">
        <f>IF(5862.79928="","-",5862.79928/2026247.72249*100)</f>
        <v>0.28934267093439925</v>
      </c>
      <c r="F59" s="50">
        <f>IF(OR(1651540.84429="",3513.71001="",3298.21328=""),"-",(3298.21328-3513.71001)/1651540.84429*100)</f>
        <v>-0.013048222860794111</v>
      </c>
      <c r="G59" s="50">
        <f>IF(OR(1959536.20883="",5862.79928="",3298.21328=""),"-",(5862.79928-3298.21328)/1959536.20883*100)</f>
        <v>0.13087719371775547</v>
      </c>
    </row>
    <row r="60" spans="1:7" s="9" customFormat="1" ht="15.75">
      <c r="A60" s="34" t="s">
        <v>63</v>
      </c>
      <c r="B60" s="35">
        <f>IF(5239.02706="","-",5239.02706)</f>
        <v>5239.02706</v>
      </c>
      <c r="C60" s="35">
        <f>IF(OR(3667.95816="",5239.02706=""),"-",5239.02706/3667.95816*100)</f>
        <v>142.83224702868475</v>
      </c>
      <c r="D60" s="35">
        <f>IF(3667.95816="","-",3667.95816/1959536.20883*100)</f>
        <v>0.18718501569256865</v>
      </c>
      <c r="E60" s="35">
        <f>IF(5239.02706="","-",5239.02706/2026247.72249*100)</f>
        <v>0.25855807272972053</v>
      </c>
      <c r="F60" s="50">
        <f>IF(OR(1651540.84429="",2595.92418="",3667.95816=""),"-",(3667.95816-2595.92418)/1651540.84429*100)</f>
        <v>0.06491113941907198</v>
      </c>
      <c r="G60" s="50">
        <f>IF(OR(1959536.20883="",5239.02706="",3667.95816=""),"-",(5239.02706-3667.95816)/1959536.20883*100)</f>
        <v>0.08017554832212334</v>
      </c>
    </row>
    <row r="61" spans="1:7" s="14" customFormat="1" ht="15.75">
      <c r="A61" s="34" t="s">
        <v>138</v>
      </c>
      <c r="B61" s="35">
        <f>IF(3021.10454="","-",3021.10454)</f>
        <v>3021.10454</v>
      </c>
      <c r="C61" s="35" t="s">
        <v>209</v>
      </c>
      <c r="D61" s="35">
        <f>IF(51.49657="","-",51.49657/1959536.20883*100)</f>
        <v>0.0026279978786790358</v>
      </c>
      <c r="E61" s="35">
        <f>IF(3021.10454="","-",3021.10454/2026247.72249*100)</f>
        <v>0.14909847924652803</v>
      </c>
      <c r="F61" s="50">
        <f>IF(OR(1651540.84429="",1251.1606="",51.49657=""),"-",(51.49657-1251.1606)/1651540.84429*100)</f>
        <v>-0.07263907726821842</v>
      </c>
      <c r="G61" s="50">
        <f>IF(OR(1959536.20883="",3021.10454="",51.49657=""),"-",(3021.10454-51.49657)/1959536.20883*100)</f>
        <v>0.15154647087501863</v>
      </c>
    </row>
    <row r="62" spans="1:7" s="9" customFormat="1" ht="15.75">
      <c r="A62" s="34" t="s">
        <v>38</v>
      </c>
      <c r="B62" s="35">
        <f>IF(2373.71774="","-",2373.71774)</f>
        <v>2373.71774</v>
      </c>
      <c r="C62" s="35">
        <f>IF(OR(5405.60371="",2373.71774=""),"-",2373.71774/5405.60371*100)</f>
        <v>43.91216721286437</v>
      </c>
      <c r="D62" s="35">
        <f>IF(5405.60371="","-",5405.60371/1959536.20883*100)</f>
        <v>0.275861384221503</v>
      </c>
      <c r="E62" s="35">
        <f>IF(2373.71774="","-",2373.71774/2026247.72249*100)</f>
        <v>0.11714844703603189</v>
      </c>
      <c r="F62" s="50">
        <f>IF(OR(1651540.84429="",3158.83143="",5405.60371=""),"-",(5405.60371-3158.83143)/1651540.84429*100)</f>
        <v>0.13604097578137048</v>
      </c>
      <c r="G62" s="50">
        <f>IF(OR(1959536.20883="",2373.71774="",5405.60371=""),"-",(2373.71774-5405.60371)/1959536.20883*100)</f>
        <v>-0.15472467190643438</v>
      </c>
    </row>
    <row r="63" spans="1:7" s="12" customFormat="1" ht="15.75">
      <c r="A63" s="34" t="s">
        <v>64</v>
      </c>
      <c r="B63" s="35">
        <f>IF(2280.60948="","-",2280.60948)</f>
        <v>2280.60948</v>
      </c>
      <c r="C63" s="35" t="s">
        <v>178</v>
      </c>
      <c r="D63" s="35">
        <f>IF(1226.98009="","-",1226.98009/1959536.20883*100)</f>
        <v>0.06261584167064743</v>
      </c>
      <c r="E63" s="35">
        <f>IF(2280.60948="","-",2280.60948/2026247.72249*100)</f>
        <v>0.11255333958857813</v>
      </c>
      <c r="F63" s="50">
        <f>IF(OR(1651540.84429="",1210.90753="",1226.98009=""),"-",(1226.98009-1210.90753)/1651540.84429*100)</f>
        <v>0.0009731857407928466</v>
      </c>
      <c r="G63" s="50">
        <f>IF(OR(1959536.20883="",2280.60948="",1226.98009=""),"-",(2280.60948-1226.98009)/1959536.20883*100)</f>
        <v>0.0537693248663724</v>
      </c>
    </row>
    <row r="64" spans="1:7" s="9" customFormat="1" ht="15.75">
      <c r="A64" s="34" t="s">
        <v>71</v>
      </c>
      <c r="B64" s="35">
        <f>IF(2259.90074="","-",2259.90074)</f>
        <v>2259.90074</v>
      </c>
      <c r="C64" s="35" t="s">
        <v>20</v>
      </c>
      <c r="D64" s="35">
        <f>IF(1134.52588="","-",1134.52588/1959536.20883*100)</f>
        <v>0.05789767368868385</v>
      </c>
      <c r="E64" s="35">
        <f>IF(2259.90074="","-",2259.90074/2026247.72249*100)</f>
        <v>0.11153131549102349</v>
      </c>
      <c r="F64" s="50">
        <f>IF(OR(1651540.84429="",898.3762="",1134.52588=""),"-",(1134.52588-898.3762)/1651540.84429*100)</f>
        <v>0.014298749002572867</v>
      </c>
      <c r="G64" s="50">
        <f>IF(OR(1959536.20883="",2259.90074="",1134.52588=""),"-",(2259.90074-1134.52588)/1959536.20883*100)</f>
        <v>0.057430674407998775</v>
      </c>
    </row>
    <row r="65" spans="1:7" s="12" customFormat="1" ht="15.75">
      <c r="A65" s="34" t="s">
        <v>87</v>
      </c>
      <c r="B65" s="35">
        <f>IF(1886.59286="","-",1886.59286)</f>
        <v>1886.59286</v>
      </c>
      <c r="C65" s="35">
        <f>IF(OR(1498.94806="",1886.59286=""),"-",1886.59286/1498.94806*100)</f>
        <v>125.86112289974878</v>
      </c>
      <c r="D65" s="35">
        <f>IF(1498.94806="","-",1498.94806/1959536.20883*100)</f>
        <v>0.07649504271702089</v>
      </c>
      <c r="E65" s="35">
        <f>IF(1886.59286="","-",1886.59286/2026247.72249*100)</f>
        <v>0.0931077103288051</v>
      </c>
      <c r="F65" s="50">
        <f>IF(OR(1651540.84429="",499.59891="",1498.94806=""),"-",(1498.94806-499.59891)/1651540.84429*100)</f>
        <v>0.06051010808816066</v>
      </c>
      <c r="G65" s="50">
        <f>IF(OR(1959536.20883="",1886.59286="",1498.94806=""),"-",(1886.59286-1498.94806)/1959536.20883*100)</f>
        <v>0.019782477009264096</v>
      </c>
    </row>
    <row r="66" spans="1:7" s="9" customFormat="1" ht="15.75">
      <c r="A66" s="34" t="s">
        <v>76</v>
      </c>
      <c r="B66" s="35">
        <f>IF(1648.0195="","-",1648.0195)</f>
        <v>1648.0195</v>
      </c>
      <c r="C66" s="35">
        <f>IF(OR(10040.61692="",1648.0195=""),"-",1648.0195/10040.61692*100)</f>
        <v>16.413528303398316</v>
      </c>
      <c r="D66" s="35">
        <f>IF(10040.61692="","-",10040.61692/1959536.20883*100)</f>
        <v>0.5123976211695038</v>
      </c>
      <c r="E66" s="35">
        <f>IF(1648.0195="","-",1648.0195/2026247.72249*100)</f>
        <v>0.08133356458384043</v>
      </c>
      <c r="F66" s="50">
        <f>IF(OR(1651540.84429="",2049.20024="",10040.61692=""),"-",(10040.61692-2049.20024)/1651540.84429*100)</f>
        <v>0.48387641805101844</v>
      </c>
      <c r="G66" s="50">
        <f>IF(OR(1959536.20883="",1648.0195="",10040.61692=""),"-",(1648.0195-10040.61692)/1959536.20883*100)</f>
        <v>-0.4282950925929076</v>
      </c>
    </row>
    <row r="67" spans="1:7" s="12" customFormat="1" ht="15.75">
      <c r="A67" s="34" t="s">
        <v>40</v>
      </c>
      <c r="B67" s="35">
        <f>IF(1392.19485="","-",1392.19485)</f>
        <v>1392.19485</v>
      </c>
      <c r="C67" s="35" t="s">
        <v>135</v>
      </c>
      <c r="D67" s="35">
        <f>IF(913.64944="","-",913.64944/1959536.20883*100)</f>
        <v>0.04662580032371649</v>
      </c>
      <c r="E67" s="35">
        <f>IF(1392.19485="","-",1392.19485/2026247.72249*100)</f>
        <v>0.06870802787574119</v>
      </c>
      <c r="F67" s="50">
        <f>IF(OR(1651540.84429="",53.04821="",913.64944=""),"-",(913.64944-53.04821)/1651540.84429*100)</f>
        <v>0.05210898858332347</v>
      </c>
      <c r="G67" s="50">
        <f>IF(OR(1959536.20883="",1392.19485="",913.64944=""),"-",(1392.19485-913.64944)/1959536.20883*100)</f>
        <v>0.024421360924263297</v>
      </c>
    </row>
    <row r="68" spans="1:7" s="9" customFormat="1" ht="15.75">
      <c r="A68" s="34" t="s">
        <v>77</v>
      </c>
      <c r="B68" s="35">
        <f>IF(1324.48157="","-",1324.48157)</f>
        <v>1324.48157</v>
      </c>
      <c r="C68" s="35">
        <f>IF(OR(1250.28638="",1324.48157=""),"-",1324.48157/1250.28638*100)</f>
        <v>105.93425563829624</v>
      </c>
      <c r="D68" s="35">
        <f>IF(1250.28638="","-",1250.28638/1959536.20883*100)</f>
        <v>0.0638052195395012</v>
      </c>
      <c r="E68" s="35">
        <f>IF(1324.48157="","-",1324.48157/2026247.72249*100)</f>
        <v>0.06536622128178785</v>
      </c>
      <c r="F68" s="50">
        <f>IF(OR(1651540.84429="",938.59637="",1250.28638=""),"-",(1250.28638-938.59637)/1651540.84429*100)</f>
        <v>0.018872679478538483</v>
      </c>
      <c r="G68" s="50">
        <f>IF(OR(1959536.20883="",1324.48157="",1250.28638=""),"-",(1324.48157-1250.28638)/1959536.20883*100)</f>
        <v>0.0037863648380501414</v>
      </c>
    </row>
    <row r="69" spans="1:7" s="9" customFormat="1" ht="15.75">
      <c r="A69" s="34" t="s">
        <v>65</v>
      </c>
      <c r="B69" s="35">
        <f>IF(1302.93805="","-",1302.93805)</f>
        <v>1302.93805</v>
      </c>
      <c r="C69" s="35">
        <f>IF(OR(2435.67125="",1302.93805=""),"-",1302.93805/2435.67125*100)</f>
        <v>53.49400293656215</v>
      </c>
      <c r="D69" s="35">
        <f>IF(2435.67125="","-",2435.67125/1959536.20883*100)</f>
        <v>0.12429835381578841</v>
      </c>
      <c r="E69" s="35">
        <f>IF(1302.93805="","-",1302.93805/2026247.72249*100)</f>
        <v>0.06430299886525499</v>
      </c>
      <c r="F69" s="50">
        <f>IF(OR(1651540.84429="",2238.32557="",2435.67125=""),"-",(2435.67125-2238.32557)/1651540.84429*100)</f>
        <v>0.011949185554949998</v>
      </c>
      <c r="G69" s="50">
        <f>IF(OR(1959536.20883="",1302.93805="",2435.67125=""),"-",(1302.93805-2435.67125)/1959536.20883*100)</f>
        <v>-0.057806188775472146</v>
      </c>
    </row>
    <row r="70" spans="1:7" s="12" customFormat="1" ht="15.75">
      <c r="A70" s="34" t="s">
        <v>78</v>
      </c>
      <c r="B70" s="35">
        <f>IF(1212.99964="","-",1212.99964)</f>
        <v>1212.99964</v>
      </c>
      <c r="C70" s="35">
        <f>IF(OR(1107.00532="",1212.99964=""),"-",1212.99964/1107.00532*100)</f>
        <v>109.57486997442795</v>
      </c>
      <c r="D70" s="35">
        <f>IF(1107.00532="","-",1107.00532/1959536.20883*100)</f>
        <v>0.05649323115396632</v>
      </c>
      <c r="E70" s="35">
        <f>IF(1212.99964="","-",1212.99964/2026247.72249*100)</f>
        <v>0.05986433082867963</v>
      </c>
      <c r="F70" s="50">
        <f>IF(OR(1651540.84429="",562.4783="",1107.00532=""),"-",(1107.00532-562.4783)/1651540.84429*100)</f>
        <v>0.03297084791348851</v>
      </c>
      <c r="G70" s="50">
        <f>IF(OR(1959536.20883="",1212.99964="",1107.00532=""),"-",(1212.99964-1107.00532)/1959536.20883*100)</f>
        <v>0.005409153427345296</v>
      </c>
    </row>
    <row r="71" spans="1:7" s="14" customFormat="1" ht="15.75">
      <c r="A71" s="34" t="s">
        <v>93</v>
      </c>
      <c r="B71" s="35">
        <f>IF(1175.53676="","-",1175.53676)</f>
        <v>1175.53676</v>
      </c>
      <c r="C71" s="35">
        <f>IF(OR(1123.36773="",1175.53676=""),"-",1175.53676/1123.36773*100)</f>
        <v>104.64398510005269</v>
      </c>
      <c r="D71" s="35">
        <f>IF(1123.36773="","-",1123.36773/1959536.20883*100)</f>
        <v>0.057328245578617834</v>
      </c>
      <c r="E71" s="35">
        <f>IF(1175.53676="","-",1175.53676/2026247.72249*100)</f>
        <v>0.058015451267499275</v>
      </c>
      <c r="F71" s="50">
        <f>IF(OR(1651540.84429="",17.77175="",1123.36773=""),"-",(1123.36773-17.77175)/1651540.84429*100)</f>
        <v>0.0669433022999378</v>
      </c>
      <c r="G71" s="50">
        <f>IF(OR(1959536.20883="",1175.53676="",1123.36773=""),"-",(1175.53676-1123.36773)/1959536.20883*100)</f>
        <v>0.002662315182792622</v>
      </c>
    </row>
    <row r="72" spans="1:7" s="9" customFormat="1" ht="15.75">
      <c r="A72" s="34" t="s">
        <v>73</v>
      </c>
      <c r="B72" s="35">
        <f>IF(1020.88238="","-",1020.88238)</f>
        <v>1020.88238</v>
      </c>
      <c r="C72" s="35" t="s">
        <v>107</v>
      </c>
      <c r="D72" s="35">
        <f>IF(634.74774="","-",634.74774/1959536.20883*100)</f>
        <v>0.03239275381285224</v>
      </c>
      <c r="E72" s="35">
        <f>IF(1020.88238="","-",1020.88238/2026247.72249*100)</f>
        <v>0.0503829008007701</v>
      </c>
      <c r="F72" s="50">
        <f>IF(OR(1651540.84429="",2528.26625="",634.74774=""),"-",(634.74774-2528.26625)/1651540.84429*100)</f>
        <v>-0.11465163072088762</v>
      </c>
      <c r="G72" s="50">
        <f>IF(OR(1959536.20883="",1020.88238="",634.74774=""),"-",(1020.88238-634.74774)/1959536.20883*100)</f>
        <v>0.0197054097933997</v>
      </c>
    </row>
    <row r="73" spans="1:7" s="9" customFormat="1" ht="15.75">
      <c r="A73" s="34" t="s">
        <v>162</v>
      </c>
      <c r="B73" s="35">
        <f>IF(1001.23142="","-",1001.23142)</f>
        <v>1001.23142</v>
      </c>
      <c r="C73" s="35" t="s">
        <v>179</v>
      </c>
      <c r="D73" s="35">
        <f>IF(69.77432="","-",69.77432/1959536.20883*100)</f>
        <v>0.0035607568610156407</v>
      </c>
      <c r="E73" s="35">
        <f>IF(1001.23142="","-",1001.23142/2026247.72249*100)</f>
        <v>0.04941308058669224</v>
      </c>
      <c r="F73" s="50">
        <f>IF(OR(1651540.84429="",1034.90358="",69.77432=""),"-",(69.77432-1034.90358)/1651540.84429*100)</f>
        <v>-0.058438110285725965</v>
      </c>
      <c r="G73" s="50">
        <f>IF(OR(1959536.20883="",1001.23142="",69.77432=""),"-",(1001.23142-69.77432)/1959536.20883*100)</f>
        <v>0.047534569445703403</v>
      </c>
    </row>
    <row r="74" spans="1:7" s="9" customFormat="1" ht="15.75">
      <c r="A74" s="34" t="s">
        <v>72</v>
      </c>
      <c r="B74" s="35">
        <f>IF(986.17689="","-",986.17689)</f>
        <v>986.17689</v>
      </c>
      <c r="C74" s="35">
        <f>IF(OR(1821.19173="",986.17689=""),"-",986.17689/1821.19173*100)</f>
        <v>54.15008610872618</v>
      </c>
      <c r="D74" s="35">
        <f>IF(1821.19173="","-",1821.19173/1959536.20883*100)</f>
        <v>0.09293993761347219</v>
      </c>
      <c r="E74" s="35">
        <f>IF(986.17689="","-",986.17689/2026247.72249*100)</f>
        <v>0.04867010479785336</v>
      </c>
      <c r="F74" s="50">
        <f>IF(OR(1651540.84429="",278.30919="",1821.19173=""),"-",(1821.19173-278.30919)/1651540.84429*100)</f>
        <v>0.09342079218532967</v>
      </c>
      <c r="G74" s="50">
        <f>IF(OR(1959536.20883="",986.17689="",1821.19173=""),"-",(986.17689-1821.19173)/1959536.20883*100)</f>
        <v>-0.04261288136638061</v>
      </c>
    </row>
    <row r="75" spans="1:7" s="9" customFormat="1" ht="15.75">
      <c r="A75" s="34" t="s">
        <v>140</v>
      </c>
      <c r="B75" s="35">
        <f>IF(984.25349="","-",984.25349)</f>
        <v>984.25349</v>
      </c>
      <c r="C75" s="35" t="str">
        <f>IF(OR(""="",984.25349=""),"-",984.25349/""*100)</f>
        <v>-</v>
      </c>
      <c r="D75" s="35" t="str">
        <f>IF(""="","-",""/1959536.20883*100)</f>
        <v>-</v>
      </c>
      <c r="E75" s="35">
        <f>IF(984.25349="","-",984.25349/2026247.72249*100)</f>
        <v>0.048575180570245284</v>
      </c>
      <c r="F75" s="50" t="str">
        <f>IF(OR(1651540.84429="",""="",""=""),"-",(""-"")/1651540.84429*100)</f>
        <v>-</v>
      </c>
      <c r="G75" s="50" t="str">
        <f>IF(OR(1959536.20883="",984.25349="",""=""),"-",(984.25349-"")/1959536.20883*100)</f>
        <v>-</v>
      </c>
    </row>
    <row r="76" spans="1:7" s="9" customFormat="1" ht="15.75">
      <c r="A76" s="34" t="s">
        <v>163</v>
      </c>
      <c r="B76" s="35">
        <f>IF(978.71283="","-",978.71283)</f>
        <v>978.71283</v>
      </c>
      <c r="C76" s="35">
        <f>IF(OR(1037.91871="",978.71283=""),"-",978.71283/1037.91871*100)</f>
        <v>94.29571127010516</v>
      </c>
      <c r="D76" s="35">
        <f>IF(1037.91871="","-",1037.91871/1959536.20883*100)</f>
        <v>0.05296756984244351</v>
      </c>
      <c r="E76" s="35">
        <f>IF(978.71283="","-",978.71283/2026247.72249*100)</f>
        <v>0.048301736216008515</v>
      </c>
      <c r="F76" s="50">
        <f>IF(OR(1651540.84429="",933.01592="",1037.91871=""),"-",(1037.91871-933.01592)/1651540.84429*100)</f>
        <v>0.006351813239296406</v>
      </c>
      <c r="G76" s="50">
        <f>IF(OR(1959536.20883="",978.71283="",1037.91871=""),"-",(978.71283-1037.91871)/1959536.20883*100)</f>
        <v>-0.0030214231170216815</v>
      </c>
    </row>
    <row r="77" spans="1:7" s="9" customFormat="1" ht="15.75">
      <c r="A77" s="34" t="s">
        <v>111</v>
      </c>
      <c r="B77" s="35">
        <f>IF(962.50047="","-",962.50047)</f>
        <v>962.50047</v>
      </c>
      <c r="C77" s="35" t="s">
        <v>105</v>
      </c>
      <c r="D77" s="35">
        <f>IF(545.57265="","-",545.57265/1959536.20883*100)</f>
        <v>0.027841927469446994</v>
      </c>
      <c r="E77" s="35">
        <f>IF(962.50047="","-",962.50047/2026247.72249*100)</f>
        <v>0.0475016188453606</v>
      </c>
      <c r="F77" s="50">
        <f>IF(OR(1651540.84429="",175.37435="",545.57265=""),"-",(545.57265-175.37435)/1651540.84429*100)</f>
        <v>0.022415328163388464</v>
      </c>
      <c r="G77" s="50">
        <f>IF(OR(1959536.20883="",962.50047="",545.57265=""),"-",(962.50047-545.57265)/1959536.20883*100)</f>
        <v>0.02127686225553032</v>
      </c>
    </row>
    <row r="78" spans="1:7" s="9" customFormat="1" ht="15.75">
      <c r="A78" s="34" t="s">
        <v>166</v>
      </c>
      <c r="B78" s="35">
        <f>IF(876.79476="","-",876.79476)</f>
        <v>876.79476</v>
      </c>
      <c r="C78" s="35">
        <f>IF(OR(1667.29834="",876.79476=""),"-",876.79476/1667.29834*100)</f>
        <v>52.58775463064397</v>
      </c>
      <c r="D78" s="35">
        <f>IF(1667.29834="","-",1667.29834/1959536.20883*100)</f>
        <v>0.08508637566822563</v>
      </c>
      <c r="E78" s="35">
        <f>IF(876.79476="","-",876.79476/2026247.72249*100)</f>
        <v>0.04327184431933777</v>
      </c>
      <c r="F78" s="50">
        <f>IF(OR(1651540.84429="",3048.44699="",1667.29834=""),"-",(1667.29834-3048.44699)/1651540.84429*100)</f>
        <v>-0.08362788330516634</v>
      </c>
      <c r="G78" s="50">
        <f>IF(OR(1959536.20883="",876.79476="",1667.29834=""),"-",(876.79476-1667.29834)/1959536.20883*100)</f>
        <v>-0.04034136120771119</v>
      </c>
    </row>
    <row r="79" spans="1:7" s="9" customFormat="1" ht="15.75">
      <c r="A79" s="34" t="s">
        <v>204</v>
      </c>
      <c r="B79" s="35">
        <f>IF(842.6295="","-",842.6295)</f>
        <v>842.6295</v>
      </c>
      <c r="C79" s="35" t="str">
        <f>IF(OR(""="",842.6295=""),"-",842.6295/""*100)</f>
        <v>-</v>
      </c>
      <c r="D79" s="35" t="str">
        <f>IF(""="","-",""/1959536.20883*100)</f>
        <v>-</v>
      </c>
      <c r="E79" s="35">
        <f>IF(842.6295="","-",842.6295/2026247.72249*100)</f>
        <v>0.04158570991332273</v>
      </c>
      <c r="F79" s="50" t="str">
        <f>IF(OR(1651540.84429="",""="",""=""),"-",(""-"")/1651540.84429*100)</f>
        <v>-</v>
      </c>
      <c r="G79" s="50" t="str">
        <f>IF(OR(1959536.20883="",842.6295="",""=""),"-",(842.6295-"")/1959536.20883*100)</f>
        <v>-</v>
      </c>
    </row>
    <row r="80" spans="1:7" s="9" customFormat="1" ht="15.75">
      <c r="A80" s="34" t="s">
        <v>75</v>
      </c>
      <c r="B80" s="35">
        <f>IF(717.01412="","-",717.01412)</f>
        <v>717.01412</v>
      </c>
      <c r="C80" s="35" t="s">
        <v>105</v>
      </c>
      <c r="D80" s="35">
        <f>IF(396.83861="","-",396.83861/1959536.20883*100)</f>
        <v>0.020251659969934645</v>
      </c>
      <c r="E80" s="35">
        <f>IF(717.01412="","-",717.01412/2026247.72249*100)</f>
        <v>0.03538630109446248</v>
      </c>
      <c r="F80" s="50">
        <f>IF(OR(1651540.84429="",365.37647="",396.83861=""),"-",(396.83861-365.37647)/1651540.84429*100)</f>
        <v>0.0019050173726418286</v>
      </c>
      <c r="G80" s="50">
        <f>IF(OR(1959536.20883="",717.01412="",396.83861=""),"-",(717.01412-396.83861)/1959536.20883*100)</f>
        <v>0.01633935155457885</v>
      </c>
    </row>
    <row r="81" spans="1:7" ht="15.75">
      <c r="A81" s="34" t="s">
        <v>103</v>
      </c>
      <c r="B81" s="35">
        <f>IF(716.48107="","-",716.48107)</f>
        <v>716.48107</v>
      </c>
      <c r="C81" s="35">
        <f>IF(OR(695.91402="",716.48107=""),"-",716.48107/695.91402*100)</f>
        <v>102.95540101347578</v>
      </c>
      <c r="D81" s="35">
        <f>IF(695.91402="","-",695.91402/1959536.20883*100)</f>
        <v>0.03551422101128289</v>
      </c>
      <c r="E81" s="35">
        <f>IF(716.48107="","-",716.48107/2026247.72249*100)</f>
        <v>0.035359993847126264</v>
      </c>
      <c r="F81" s="50">
        <f>IF(OR(1651540.84429="",380.05198="",695.91402=""),"-",(695.91402-380.05198)/1651540.84429*100)</f>
        <v>0.019125293878867987</v>
      </c>
      <c r="G81" s="50">
        <f>IF(OR(1959536.20883="",716.48107="",695.91402=""),"-",(716.48107-695.91402)/1959536.20883*100)</f>
        <v>0.0010495876476954804</v>
      </c>
    </row>
    <row r="82" spans="1:7" ht="15.75">
      <c r="A82" s="34" t="s">
        <v>39</v>
      </c>
      <c r="B82" s="35">
        <f>IF(715.05089="","-",715.05089)</f>
        <v>715.05089</v>
      </c>
      <c r="C82" s="35">
        <f>IF(OR(521.37239="",715.05089=""),"-",715.05089/521.37239*100)</f>
        <v>137.14782441778323</v>
      </c>
      <c r="D82" s="35">
        <f>IF(521.37239="","-",521.37239/1959536.20883*100)</f>
        <v>0.026606928090974195</v>
      </c>
      <c r="E82" s="35">
        <f>IF(715.05089="","-",715.05089/2026247.72249*100)</f>
        <v>0.03528941116445987</v>
      </c>
      <c r="F82" s="50">
        <f>IF(OR(1651540.84429="",744.46323="",521.37239=""),"-",(521.37239-744.46323)/1651540.84429*100)</f>
        <v>-0.013508042551373112</v>
      </c>
      <c r="G82" s="50">
        <f>IF(OR(1959536.20883="",715.05089="",521.37239=""),"-",(715.05089-521.37239)/1959536.20883*100)</f>
        <v>0.009883894930200936</v>
      </c>
    </row>
    <row r="83" spans="1:7" ht="15.75">
      <c r="A83" s="34" t="s">
        <v>85</v>
      </c>
      <c r="B83" s="35">
        <f>IF(671.07024="","-",671.07024)</f>
        <v>671.07024</v>
      </c>
      <c r="C83" s="35" t="s">
        <v>210</v>
      </c>
      <c r="D83" s="35">
        <f>IF(0.19471="","-",0.19471/1959536.20883*100)</f>
        <v>9.93653493732874E-06</v>
      </c>
      <c r="E83" s="35">
        <f>IF(671.07024="","-",671.07024/2026247.72249*100)</f>
        <v>0.033118864616185247</v>
      </c>
      <c r="F83" s="50">
        <f>IF(OR(1651540.84429="",0.72611="",0.19471=""),"-",(0.19471-0.72611)/1651540.84429*100)</f>
        <v>-3.217601319623735E-05</v>
      </c>
      <c r="G83" s="50">
        <f>IF(OR(1959536.20883="",671.07024="",0.19471=""),"-",(671.07024-0.19471)/1959536.20883*100)</f>
        <v>0.03423644467384282</v>
      </c>
    </row>
    <row r="84" spans="1:7" ht="15.75">
      <c r="A84" s="34" t="s">
        <v>97</v>
      </c>
      <c r="B84" s="35">
        <f>IF(586.39953="","-",586.39953)</f>
        <v>586.39953</v>
      </c>
      <c r="C84" s="35">
        <f>IF(OR(408.68746="",586.39953=""),"-",586.39953/408.68746*100)</f>
        <v>143.48361214704263</v>
      </c>
      <c r="D84" s="35">
        <f>IF(408.68746="","-",408.68746/1959536.20883*100)</f>
        <v>0.020856336216620315</v>
      </c>
      <c r="E84" s="35">
        <f>IF(586.39953="","-",586.39953/2026247.72249*100)</f>
        <v>0.028940169728081902</v>
      </c>
      <c r="F84" s="50">
        <f>IF(OR(1651540.84429="",179.59211="",408.68746=""),"-",(408.68746-179.59211)/1651540.84429*100)</f>
        <v>0.013871612730140408</v>
      </c>
      <c r="G84" s="50">
        <f>IF(OR(1959536.20883="",586.39953="",408.68746=""),"-",(586.39953-408.68746)/1959536.20883*100)</f>
        <v>0.009069088348518366</v>
      </c>
    </row>
    <row r="85" spans="1:7" ht="15.75">
      <c r="A85" s="34" t="s">
        <v>102</v>
      </c>
      <c r="B85" s="35">
        <f>IF(477.81045="","-",477.81045)</f>
        <v>477.81045</v>
      </c>
      <c r="C85" s="35">
        <f>IF(OR(351.47609="",477.81045=""),"-",477.81045/351.47609*100)</f>
        <v>135.94394144990062</v>
      </c>
      <c r="D85" s="35">
        <f>IF(351.47609="","-",351.47609/1959536.20883*100)</f>
        <v>0.017936697899032922</v>
      </c>
      <c r="E85" s="35">
        <f>IF(477.81045="","-",477.81045/2026247.72249*100)</f>
        <v>0.023581048096766366</v>
      </c>
      <c r="F85" s="50">
        <f>IF(OR(1651540.84429="",752.89647="",351.47609=""),"-",(351.47609-752.89647)/1651540.84429*100)</f>
        <v>-0.02430581001904142</v>
      </c>
      <c r="G85" s="50">
        <f>IF(OR(1959536.20883="",477.81045="",351.47609=""),"-",(477.81045-351.47609)/1959536.20883*100)</f>
        <v>0.0064471561908739485</v>
      </c>
    </row>
    <row r="86" spans="1:7" ht="15.75">
      <c r="A86" s="34" t="s">
        <v>84</v>
      </c>
      <c r="B86" s="35">
        <f>IF(416.6669="","-",416.6669)</f>
        <v>416.6669</v>
      </c>
      <c r="C86" s="35">
        <f>IF(OR(1477.32679="",416.6669=""),"-",416.6669/1477.32679*100)</f>
        <v>28.204111833645147</v>
      </c>
      <c r="D86" s="35">
        <f>IF(1477.32679="","-",1477.32679/1959536.20883*100)</f>
        <v>0.07539165560416373</v>
      </c>
      <c r="E86" s="35">
        <f>IF(416.6669="","-",416.6669/2026247.72249*100)</f>
        <v>0.020563472835787796</v>
      </c>
      <c r="F86" s="50">
        <f>IF(OR(1651540.84429="",200.36525="",1477.32679=""),"-",(1477.32679-200.36525)/1651540.84429*100)</f>
        <v>0.07731940414401121</v>
      </c>
      <c r="G86" s="50">
        <f>IF(OR(1959536.20883="",416.6669="",1477.32679=""),"-",(416.6669-1477.32679)/1959536.20883*100)</f>
        <v>-0.054128108744328794</v>
      </c>
    </row>
    <row r="87" spans="1:7" ht="15.75">
      <c r="A87" s="34" t="s">
        <v>141</v>
      </c>
      <c r="B87" s="35">
        <f>IF(406.86074="","-",406.86074)</f>
        <v>406.86074</v>
      </c>
      <c r="C87" s="35" t="s">
        <v>211</v>
      </c>
      <c r="D87" s="35">
        <f>IF(47.72707="","-",47.72707/1959536.20883*100)</f>
        <v>0.002435630930672972</v>
      </c>
      <c r="E87" s="35">
        <f>IF(406.86074="","-",406.86074/2026247.72249*100)</f>
        <v>0.02007951621532337</v>
      </c>
      <c r="F87" s="50">
        <f>IF(OR(1651540.84429="",42.74054="",47.72707=""),"-",(47.72707-42.74054)/1651540.84429*100)</f>
        <v>0.00030193198171515477</v>
      </c>
      <c r="G87" s="50">
        <f>IF(OR(1959536.20883="",406.86074="",47.72707=""),"-",(406.86074-47.72707)/1959536.20883*100)</f>
        <v>0.018327483226984187</v>
      </c>
    </row>
    <row r="88" spans="1:7" ht="15.75">
      <c r="A88" s="34" t="s">
        <v>80</v>
      </c>
      <c r="B88" s="35">
        <f>IF(394.7306="","-",394.7306)</f>
        <v>394.7306</v>
      </c>
      <c r="C88" s="35" t="str">
        <f>IF(OR(""="",394.7306=""),"-",394.7306/""*100)</f>
        <v>-</v>
      </c>
      <c r="D88" s="35" t="str">
        <f>IF(""="","-",""/1959536.20883*100)</f>
        <v>-</v>
      </c>
      <c r="E88" s="35">
        <f>IF(394.7306="","-",394.7306/2026247.72249*100)</f>
        <v>0.01948086582004526</v>
      </c>
      <c r="F88" s="50" t="str">
        <f>IF(OR(1651540.84429="",2.55="",""=""),"-",(""-2.55)/1651540.84429*100)</f>
        <v>-</v>
      </c>
      <c r="G88" s="50" t="str">
        <f>IF(OR(1959536.20883="",394.7306="",""=""),"-",(394.7306-"")/1959536.20883*100)</f>
        <v>-</v>
      </c>
    </row>
    <row r="89" spans="1:7" ht="15.75">
      <c r="A89" s="34" t="s">
        <v>142</v>
      </c>
      <c r="B89" s="35">
        <f>IF(390.55589="","-",390.55589)</f>
        <v>390.55589</v>
      </c>
      <c r="C89" s="35" t="s">
        <v>180</v>
      </c>
      <c r="D89" s="35">
        <f>IF(95.45752="","-",95.45752/1959536.20883*100)</f>
        <v>0.004871434351141477</v>
      </c>
      <c r="E89" s="35">
        <f>IF(390.55589="","-",390.55589/2026247.72249*100)</f>
        <v>0.01927483424978544</v>
      </c>
      <c r="F89" s="50">
        <f>IF(OR(1651540.84429="",346.8895="",95.45752=""),"-",(95.45752-346.8895)/1651540.84429*100)</f>
        <v>-0.015224084882265872</v>
      </c>
      <c r="G89" s="50">
        <f>IF(OR(1959536.20883="",390.55589="",95.45752=""),"-",(390.55589-95.45752)/1959536.20883*100)</f>
        <v>0.015059602811636605</v>
      </c>
    </row>
    <row r="90" spans="1:7" ht="15.75">
      <c r="A90" s="34" t="s">
        <v>148</v>
      </c>
      <c r="B90" s="35">
        <f>IF(378.42153="","-",378.42153)</f>
        <v>378.42153</v>
      </c>
      <c r="C90" s="35" t="s">
        <v>212</v>
      </c>
      <c r="D90" s="35">
        <f>IF(7.147="","-",7.147/1959536.20883*100)</f>
        <v>0.0003647291623290458</v>
      </c>
      <c r="E90" s="35">
        <f>IF(378.42153="","-",378.42153/2026247.72249*100)</f>
        <v>0.018675975587771086</v>
      </c>
      <c r="F90" s="50" t="str">
        <f>IF(OR(1651540.84429="",""="",7.147=""),"-",(7.147-"")/1651540.84429*100)</f>
        <v>-</v>
      </c>
      <c r="G90" s="50">
        <f>IF(OR(1959536.20883="",378.42153="",7.147=""),"-",(378.42153-7.147)/1959536.20883*100)</f>
        <v>0.018947061469289237</v>
      </c>
    </row>
    <row r="91" spans="1:7" ht="15.75">
      <c r="A91" s="34" t="s">
        <v>109</v>
      </c>
      <c r="B91" s="35">
        <f>IF(354.73718="","-",354.73718)</f>
        <v>354.73718</v>
      </c>
      <c r="C91" s="35">
        <f>IF(OR(307.60191="",354.73718=""),"-",354.73718/307.60191*100)</f>
        <v>115.3234646689938</v>
      </c>
      <c r="D91" s="35">
        <f>IF(307.60191="","-",307.60191/1959536.20883*100)</f>
        <v>0.01569768951519722</v>
      </c>
      <c r="E91" s="35">
        <f>IF(354.73718="","-",354.73718/2026247.72249*100)</f>
        <v>0.017507098271482485</v>
      </c>
      <c r="F91" s="50">
        <f>IF(OR(1651540.84429="",454.50358="",307.60191=""),"-",(307.60191-454.50358)/1651540.84429*100)</f>
        <v>-0.008894825126965194</v>
      </c>
      <c r="G91" s="50">
        <f>IF(OR(1959536.20883="",354.73718="",307.60191=""),"-",(354.73718-307.60191)/1959536.20883*100)</f>
        <v>0.0024054299067095873</v>
      </c>
    </row>
    <row r="92" spans="1:7" ht="15.75">
      <c r="A92" s="34" t="s">
        <v>149</v>
      </c>
      <c r="B92" s="35">
        <f>IF(352.84249="","-",352.84249)</f>
        <v>352.84249</v>
      </c>
      <c r="C92" s="35">
        <f>IF(OR(432.85815="",352.84249=""),"-",352.84249/432.85815*100)</f>
        <v>81.51457700403701</v>
      </c>
      <c r="D92" s="35">
        <f>IF(432.85815="","-",432.85815/1959536.20883*100)</f>
        <v>0.02208982656454463</v>
      </c>
      <c r="E92" s="35">
        <f>IF(352.84249="","-",352.84249/2026247.72249*100)</f>
        <v>0.017413590948613212</v>
      </c>
      <c r="F92" s="50">
        <f>IF(OR(1651540.84429="",194.27518="",432.85815=""),"-",(432.85815-194.27518)/1651540.84429*100)</f>
        <v>0.014446083536163903</v>
      </c>
      <c r="G92" s="50">
        <f>IF(OR(1959536.20883="",352.84249="",432.85815=""),"-",(352.84249-432.85815)/1959536.20883*100)</f>
        <v>-0.0040833978795306765</v>
      </c>
    </row>
    <row r="93" spans="1:7" ht="15.75">
      <c r="A93" s="34" t="s">
        <v>89</v>
      </c>
      <c r="B93" s="35">
        <f>IF(340.55037="","-",340.55037)</f>
        <v>340.55037</v>
      </c>
      <c r="C93" s="35">
        <f>IF(OR(247.52329="",340.55037=""),"-",340.55037/247.52329*100)</f>
        <v>137.58316237635657</v>
      </c>
      <c r="D93" s="35">
        <f>IF(247.52329="","-",247.52329/1959536.20883*100)</f>
        <v>0.012631728308189375</v>
      </c>
      <c r="E93" s="35">
        <f>IF(340.55037="","-",340.55037/2026247.72249*100)</f>
        <v>0.016806946466619937</v>
      </c>
      <c r="F93" s="50">
        <f>IF(OR(1651540.84429="",37.57965="",247.52329=""),"-",(247.52329-37.57965)/1651540.84429*100)</f>
        <v>0.01271198594487411</v>
      </c>
      <c r="G93" s="50">
        <f>IF(OR(1959536.20883="",340.55037="",247.52329=""),"-",(340.55037-247.52329)/1959536.20883*100)</f>
        <v>0.004747402961007013</v>
      </c>
    </row>
    <row r="94" spans="1:7" ht="15.75">
      <c r="A94" s="34" t="s">
        <v>164</v>
      </c>
      <c r="B94" s="35">
        <f>IF(315.51659="","-",315.51659)</f>
        <v>315.51659</v>
      </c>
      <c r="C94" s="35">
        <f>IF(OR(265.82883="",315.51659=""),"-",315.51659/265.82883*100)</f>
        <v>118.6916370207099</v>
      </c>
      <c r="D94" s="35">
        <f>IF(265.82883="","-",265.82883/1959536.20883*100)</f>
        <v>0.013565905483253158</v>
      </c>
      <c r="E94" s="35">
        <f>IF(315.51659="","-",315.51659/2026247.72249*100)</f>
        <v>0.015571471666468814</v>
      </c>
      <c r="F94" s="50">
        <f>IF(OR(1651540.84429="",17.03616="",265.82883=""),"-",(265.82883-17.03616)/1651540.84429*100)</f>
        <v>0.015064275937235833</v>
      </c>
      <c r="G94" s="50">
        <f>IF(OR(1959536.20883="",315.51659="",265.82883=""),"-",(315.51659-265.82883)/1959536.20883*100)</f>
        <v>0.0025356898115022636</v>
      </c>
    </row>
    <row r="95" spans="1:7" ht="15.75">
      <c r="A95" s="34" t="s">
        <v>37</v>
      </c>
      <c r="B95" s="35">
        <f>IF(284.40152="","-",284.40152)</f>
        <v>284.40152</v>
      </c>
      <c r="C95" s="35">
        <f>IF(OR(290.87628="",284.40152=""),"-",284.40152/290.87628*100)</f>
        <v>97.77405019068588</v>
      </c>
      <c r="D95" s="35">
        <f>IF(290.87628="","-",290.87628/1959536.20883*100)</f>
        <v>0.014844139071748842</v>
      </c>
      <c r="E95" s="35">
        <f>IF(284.40152="","-",284.40152/2026247.72249*100)</f>
        <v>0.014035871174256363</v>
      </c>
      <c r="F95" s="50">
        <f>IF(OR(1651540.84429="",255.09108="",290.87628=""),"-",(290.87628-255.09108)/1651540.84429*100)</f>
        <v>0.0021667765664847433</v>
      </c>
      <c r="G95" s="50">
        <f>IF(OR(1959536.20883="",284.40152="",290.87628=""),"-",(284.40152-290.87628)/1959536.20883*100)</f>
        <v>-0.000330423085361916</v>
      </c>
    </row>
    <row r="96" spans="1:7" ht="15.75">
      <c r="A96" s="34" t="s">
        <v>139</v>
      </c>
      <c r="B96" s="35">
        <f>IF(275.92054="","-",275.92054)</f>
        <v>275.92054</v>
      </c>
      <c r="C96" s="35">
        <f>IF(OR(185.79915="",275.92054=""),"-",275.92054/185.79915*100)</f>
        <v>148.5047375082179</v>
      </c>
      <c r="D96" s="35">
        <f>IF(185.79915="","-",185.79915/1959536.20883*100)</f>
        <v>0.00948179212829841</v>
      </c>
      <c r="E96" s="35">
        <f>IF(275.92054="","-",275.92054/2026247.72249*100)</f>
        <v>0.013617315244205622</v>
      </c>
      <c r="F96" s="50">
        <f>IF(OR(1651540.84429="",35.91411="",185.79915=""),"-",(185.79915-35.91411)/1651540.84429*100)</f>
        <v>0.009075466738725183</v>
      </c>
      <c r="G96" s="50">
        <f>IF(OR(1959536.20883="",275.92054="",185.79915=""),"-",(275.92054-185.79915)/1959536.20883*100)</f>
        <v>0.004599118382906009</v>
      </c>
    </row>
    <row r="97" spans="1:7" ht="15.75">
      <c r="A97" s="34" t="s">
        <v>114</v>
      </c>
      <c r="B97" s="35">
        <f>IF(256.45194="","-",256.45194)</f>
        <v>256.45194</v>
      </c>
      <c r="C97" s="35">
        <f>IF(OR(410.61178="",256.45194=""),"-",256.45194/410.61178*100)</f>
        <v>62.45606007699048</v>
      </c>
      <c r="D97" s="35">
        <f>IF(410.61178="","-",410.61178/1959536.20883*100)</f>
        <v>0.020954539046010696</v>
      </c>
      <c r="E97" s="35">
        <f>IF(256.45194="","-",256.45194/2026247.72249*100)</f>
        <v>0.01265649491686304</v>
      </c>
      <c r="F97" s="50" t="str">
        <f>IF(OR(1651540.84429="",""="",410.61178=""),"-",(410.61178-"")/1651540.84429*100)</f>
        <v>-</v>
      </c>
      <c r="G97" s="50">
        <f>IF(OR(1959536.20883="",256.45194="",410.61178=""),"-",(256.45194-410.61178)/1959536.20883*100)</f>
        <v>-0.007867159550577828</v>
      </c>
    </row>
    <row r="98" spans="1:7" ht="15.75">
      <c r="A98" s="34" t="s">
        <v>70</v>
      </c>
      <c r="B98" s="35">
        <f>IF(236.29408="","-",236.29408)</f>
        <v>236.29408</v>
      </c>
      <c r="C98" s="35" t="s">
        <v>168</v>
      </c>
      <c r="D98" s="35">
        <f>IF(52.5428="","-",52.5428/1959536.20883*100)</f>
        <v>0.0026813895942944714</v>
      </c>
      <c r="E98" s="35">
        <f>IF(236.29408="","-",236.29408/2026247.72249*100)</f>
        <v>0.011661658018281434</v>
      </c>
      <c r="F98" s="50">
        <f>IF(OR(1651540.84429="",535.54501="",52.5428=""),"-",(52.5428-535.54501)/1651540.84429*100)</f>
        <v>-0.029245550400398574</v>
      </c>
      <c r="G98" s="50">
        <f>IF(OR(1959536.20883="",236.29408="",52.5428=""),"-",(236.29408-52.5428)/1959536.20883*100)</f>
        <v>0.009377284235523989</v>
      </c>
    </row>
    <row r="99" spans="1:7" ht="15.75">
      <c r="A99" s="34" t="s">
        <v>95</v>
      </c>
      <c r="B99" s="35">
        <f>IF(144.64753="","-",144.64753)</f>
        <v>144.64753</v>
      </c>
      <c r="C99" s="35">
        <f>IF(OR(197.51226="",144.64753=""),"-",144.64753/197.51226*100)</f>
        <v>73.2347095820786</v>
      </c>
      <c r="D99" s="35">
        <f>IF(197.51226="","-",197.51226/1959536.20883*100)</f>
        <v>0.010079541225621477</v>
      </c>
      <c r="E99" s="35">
        <f>IF(144.64753="","-",144.64753/2026247.72249*100)</f>
        <v>0.007138689331739094</v>
      </c>
      <c r="F99" s="50">
        <f>IF(OR(1651540.84429="",337.26865="",197.51226=""),"-",(197.51226-337.26865)/1651540.84429*100)</f>
        <v>-0.008462181875985119</v>
      </c>
      <c r="G99" s="50">
        <f>IF(OR(1959536.20883="",144.64753="",197.51226=""),"-",(144.64753-197.51226)/1959536.20883*100)</f>
        <v>-0.002697818481831703</v>
      </c>
    </row>
    <row r="100" spans="1:7" ht="15.75">
      <c r="A100" s="34" t="s">
        <v>153</v>
      </c>
      <c r="B100" s="35">
        <f>IF(133.4746="","-",133.4746)</f>
        <v>133.4746</v>
      </c>
      <c r="C100" s="35">
        <f>IF(OR(538.84735="",133.4746=""),"-",133.4746/538.84735*100)</f>
        <v>24.77039183731719</v>
      </c>
      <c r="D100" s="35">
        <f>IF(538.84735="","-",538.84735/1959536.20883*100)</f>
        <v>0.02749871870557243</v>
      </c>
      <c r="E100" s="35">
        <f>IF(133.4746="","-",133.4746/2026247.72249*100)</f>
        <v>0.006587279458405843</v>
      </c>
      <c r="F100" s="50">
        <f>IF(OR(1651540.84429="",458.6705="",538.84735=""),"-",(538.84735-458.6705)/1651540.84429*100)</f>
        <v>0.004854669521326199</v>
      </c>
      <c r="G100" s="50">
        <f>IF(OR(1959536.20883="",133.4746="",538.84735=""),"-",(133.4746-538.84735)/1959536.20883*100)</f>
        <v>-0.0206871783319605</v>
      </c>
    </row>
    <row r="101" spans="1:7" ht="15.75">
      <c r="A101" s="34" t="s">
        <v>88</v>
      </c>
      <c r="B101" s="35">
        <f>IF(130.24588="","-",130.24588)</f>
        <v>130.24588</v>
      </c>
      <c r="C101" s="35">
        <f>IF(OR(139.2662="",130.24588=""),"-",130.24588/139.2662*100)</f>
        <v>93.52296537135358</v>
      </c>
      <c r="D101" s="35">
        <f>IF(139.2662="","-",139.2662/1959536.20883*100)</f>
        <v>0.007107100107282686</v>
      </c>
      <c r="E101" s="35">
        <f>IF(130.24588="","-",130.24588/2026247.72249*100)</f>
        <v>0.006427934677204444</v>
      </c>
      <c r="F101" s="50">
        <f>IF(OR(1651540.84429="",244.30009="",139.2662=""),"-",(139.2662-244.30009)/1651540.84429*100)</f>
        <v>-0.006359751280941178</v>
      </c>
      <c r="G101" s="50">
        <f>IF(OR(1959536.20883="",130.24588="",139.2662=""),"-",(130.24588-139.2662)/1959536.20883*100)</f>
        <v>-0.0004603293350412673</v>
      </c>
    </row>
    <row r="102" spans="1:7" ht="15.75">
      <c r="A102" s="34" t="s">
        <v>176</v>
      </c>
      <c r="B102" s="35">
        <f>IF(129.0535="","-",129.0535)</f>
        <v>129.0535</v>
      </c>
      <c r="C102" s="35">
        <f>IF(OR(106.766="",129.0535=""),"-",129.0535/106.766*100)</f>
        <v>120.87509132120712</v>
      </c>
      <c r="D102" s="35">
        <f>IF(106.766="","-",106.766/1959536.20883*100)</f>
        <v>0.005448534174509991</v>
      </c>
      <c r="E102" s="35">
        <f>IF(129.0535="","-",129.0535/2026247.72249*100)</f>
        <v>0.006369087973182751</v>
      </c>
      <c r="F102" s="50" t="str">
        <f>IF(OR(1651540.84429="",""="",106.766=""),"-",(106.766-"")/1651540.84429*100)</f>
        <v>-</v>
      </c>
      <c r="G102" s="50">
        <f>IF(OR(1959536.20883="",129.0535="",106.766=""),"-",(129.0535-106.766)/1959536.20883*100)</f>
        <v>0.0011373864845961397</v>
      </c>
    </row>
    <row r="103" spans="1:7" ht="15.75">
      <c r="A103" s="34" t="s">
        <v>92</v>
      </c>
      <c r="B103" s="35">
        <f>IF(103.15059="","-",103.15059)</f>
        <v>103.15059</v>
      </c>
      <c r="C103" s="35">
        <f>IF(OR(96.62283="",103.15059=""),"-",103.15059/96.62283*100)</f>
        <v>106.75591886513777</v>
      </c>
      <c r="D103" s="35">
        <f>IF(96.62283="","-",96.62283/1959536.20883*100)</f>
        <v>0.004930903014937987</v>
      </c>
      <c r="E103" s="35">
        <f>IF(103.15059="","-",103.15059/2026247.72249*100)</f>
        <v>0.005090719602302184</v>
      </c>
      <c r="F103" s="50">
        <f>IF(OR(1651540.84429="",65.64163="",96.62283=""),"-",(96.62283-65.64163)/1651540.84429*100)</f>
        <v>0.0018758966880603463</v>
      </c>
      <c r="G103" s="50">
        <f>IF(OR(1959536.20883="",103.15059="",96.62283=""),"-",(103.15059-96.62283)/1959536.20883*100)</f>
        <v>0.0003331278070078428</v>
      </c>
    </row>
    <row r="104" spans="1:7" ht="15.75">
      <c r="A104" s="34" t="s">
        <v>104</v>
      </c>
      <c r="B104" s="35">
        <f>IF(100.98459="","-",100.98459)</f>
        <v>100.98459</v>
      </c>
      <c r="C104" s="35">
        <f>IF(OR(124.93436="",100.98459=""),"-",100.98459/124.93436*100)</f>
        <v>80.83011751130755</v>
      </c>
      <c r="D104" s="35">
        <f>IF(124.93436="","-",124.93436/1959536.20883*100)</f>
        <v>0.00637571071343437</v>
      </c>
      <c r="E104" s="35">
        <f>IF(100.98459="","-",100.98459/2026247.72249*100)</f>
        <v>0.004983822504974999</v>
      </c>
      <c r="F104" s="50">
        <f>IF(OR(1651540.84429="",61.158="",124.93436=""),"-",(124.93436-61.158)/1651540.84429*100)</f>
        <v>0.0038616277775084364</v>
      </c>
      <c r="G104" s="50">
        <f>IF(OR(1959536.20883="",100.98459="",124.93436=""),"-",(100.98459-124.93436)/1959536.20883*100)</f>
        <v>-0.0012222162515843446</v>
      </c>
    </row>
    <row r="105" spans="1:7" ht="15.75">
      <c r="A105" s="34" t="s">
        <v>205</v>
      </c>
      <c r="B105" s="35">
        <f>IF(100.3211="","-",100.3211)</f>
        <v>100.3211</v>
      </c>
      <c r="C105" s="35">
        <f>IF(OR(326.76673="",100.3211=""),"-",100.3211/326.76673*100)</f>
        <v>30.701136556956087</v>
      </c>
      <c r="D105" s="35">
        <f>IF(326.76673="","-",326.76673/1959536.20883*100)</f>
        <v>0.016675717883014057</v>
      </c>
      <c r="E105" s="35">
        <f>IF(100.3211="","-",100.3211/2026247.72249*100)</f>
        <v>0.004951077742691707</v>
      </c>
      <c r="F105" s="50">
        <f>IF(OR(1651540.84429="",7.414="",326.76673=""),"-",(326.76673-7.414)/1651540.84429*100)</f>
        <v>0.019336653471461088</v>
      </c>
      <c r="G105" s="50">
        <f>IF(OR(1959536.20883="",100.3211="",326.76673=""),"-",(100.3211-326.76673)/1959536.20883*100)</f>
        <v>-0.011556082963897166</v>
      </c>
    </row>
    <row r="106" spans="1:7" ht="15.75">
      <c r="A106" s="34" t="s">
        <v>79</v>
      </c>
      <c r="B106" s="35">
        <f>IF(98.36857="","-",98.36857)</f>
        <v>98.36857</v>
      </c>
      <c r="C106" s="35">
        <f>IF(OR(288.6137="",98.36857=""),"-",98.36857/288.6137*100)</f>
        <v>34.08312564510971</v>
      </c>
      <c r="D106" s="35">
        <f>IF(288.6137="","-",288.6137/1959536.20883*100)</f>
        <v>0.014728673994359384</v>
      </c>
      <c r="E106" s="35">
        <f>IF(98.36857="","-",98.36857/2026247.72249*100)</f>
        <v>0.004854715882375802</v>
      </c>
      <c r="F106" s="50">
        <f>IF(OR(1651540.84429="",38.1008="",288.6137=""),"-",(288.6137-38.1008)/1651540.84429*100)</f>
        <v>0.015168435032419431</v>
      </c>
      <c r="G106" s="50">
        <f>IF(OR(1959536.20883="",98.36857="",288.6137=""),"-",(98.36857-288.6137)/1959536.20883*100)</f>
        <v>-0.009708681531003276</v>
      </c>
    </row>
    <row r="107" spans="1:7" ht="15.75">
      <c r="A107" s="34" t="s">
        <v>184</v>
      </c>
      <c r="B107" s="35">
        <f>IF(97.79062="","-",97.79062)</f>
        <v>97.79062</v>
      </c>
      <c r="C107" s="35" t="s">
        <v>105</v>
      </c>
      <c r="D107" s="35">
        <f>IF(55.6754="","-",55.6754/1959536.20883*100)</f>
        <v>0.002841253953313916</v>
      </c>
      <c r="E107" s="35">
        <f>IF(97.79062="","-",97.79062/2026247.72249*100)</f>
        <v>0.004826192716447711</v>
      </c>
      <c r="F107" s="50">
        <f>IF(OR(1651540.84429="",55.15="",55.6754=""),"-",(55.6754-55.15)/1651540.84429*100)</f>
        <v>3.181271609579084E-05</v>
      </c>
      <c r="G107" s="50">
        <f>IF(OR(1959536.20883="",97.79062="",55.6754=""),"-",(97.79062-55.6754)/1959536.20883*100)</f>
        <v>0.002149244285980618</v>
      </c>
    </row>
    <row r="108" spans="1:7" ht="15.75">
      <c r="A108" s="34" t="s">
        <v>169</v>
      </c>
      <c r="B108" s="35">
        <f>IF(90.33513="","-",90.33513)</f>
        <v>90.33513</v>
      </c>
      <c r="C108" s="35" t="s">
        <v>213</v>
      </c>
      <c r="D108" s="35">
        <f>IF(0.03831="","-",0.03831/1959536.20883*100)</f>
        <v>1.955054457650167E-06</v>
      </c>
      <c r="E108" s="35">
        <f>IF(90.33513="","-",90.33513/2026247.72249*100)</f>
        <v>0.004458247083875295</v>
      </c>
      <c r="F108" s="50">
        <f>IF(OR(1651540.84429="",0.17028="",0.03831=""),"-",(0.03831-0.17028)/1651540.84429*100)</f>
        <v>-7.990719724327138E-06</v>
      </c>
      <c r="G108" s="50">
        <f>IF(OR(1959536.20883="",90.33513="",0.03831=""),"-",(90.33513-0.03831)/1959536.20883*100)</f>
        <v>0.004608071011554027</v>
      </c>
    </row>
    <row r="109" spans="1:7" ht="15.75">
      <c r="A109" s="34" t="s">
        <v>165</v>
      </c>
      <c r="B109" s="35">
        <f>IF(89.75482="","-",89.75482)</f>
        <v>89.75482</v>
      </c>
      <c r="C109" s="35" t="s">
        <v>105</v>
      </c>
      <c r="D109" s="35">
        <f>IF(48.96218="","-",48.96218/1959536.20883*100)</f>
        <v>0.002498661661844684</v>
      </c>
      <c r="E109" s="35">
        <f>IF(89.75482="","-",89.75482/2026247.72249*100)</f>
        <v>0.004429607446502285</v>
      </c>
      <c r="F109" s="50">
        <f>IF(OR(1651540.84429="",45.3129="",48.96218=""),"-",(48.96218-45.3129)/1651540.84429*100)</f>
        <v>0.00022096214045307664</v>
      </c>
      <c r="G109" s="50">
        <f>IF(OR(1959536.20883="",89.75482="",48.96218=""),"-",(89.75482-48.96218)/1959536.20883*100)</f>
        <v>0.0020817497434434487</v>
      </c>
    </row>
    <row r="110" spans="1:7" ht="15.75">
      <c r="A110" s="34" t="s">
        <v>185</v>
      </c>
      <c r="B110" s="35">
        <f>IF(82.66785="","-",82.66785)</f>
        <v>82.66785</v>
      </c>
      <c r="C110" s="35">
        <f>IF(OR(77.69399="",82.66785=""),"-",82.66785/77.69399*100)</f>
        <v>106.40185939736138</v>
      </c>
      <c r="D110" s="35">
        <f>IF(77.69399="","-",77.69399/1959536.20883*100)</f>
        <v>0.003964917292668429</v>
      </c>
      <c r="E110" s="35">
        <f>IF(82.66785="","-",82.66785/2026247.72249*100)</f>
        <v>0.004079849126167641</v>
      </c>
      <c r="F110" s="50">
        <f>IF(OR(1651540.84429="",25.98037="",77.69399=""),"-",(77.69399-25.98037)/1651540.84429*100)</f>
        <v>0.0031312346999345184</v>
      </c>
      <c r="G110" s="50">
        <f>IF(OR(1959536.20883="",82.66785="",77.69399=""),"-",(82.66785-77.69399)/1959536.20883*100)</f>
        <v>0.00025382843029829975</v>
      </c>
    </row>
    <row r="111" spans="1:7" ht="15.75">
      <c r="A111" s="36" t="s">
        <v>96</v>
      </c>
      <c r="B111" s="37">
        <f>IF(81.87974="","-",81.87974)</f>
        <v>81.87974</v>
      </c>
      <c r="C111" s="37" t="s">
        <v>181</v>
      </c>
      <c r="D111" s="37">
        <f>IF(23.65="","-",23.65/1959536.20883*100)</f>
        <v>0.0012069182438900145</v>
      </c>
      <c r="E111" s="37">
        <f>IF(81.87974="","-",81.87974/2026247.72249*100)</f>
        <v>0.004040954079364997</v>
      </c>
      <c r="F111" s="52">
        <f>IF(OR(1651540.84429="",0.162="",23.65=""),"-",(23.65-0.162)/1651540.84429*100)</f>
        <v>0.0014221870492156995</v>
      </c>
      <c r="G111" s="52">
        <f>IF(OR(1959536.20883="",81.87974="",23.65=""),"-",(81.87974-23.65)/1959536.20883*100)</f>
        <v>0.0029716082682017812</v>
      </c>
    </row>
    <row r="112" ht="15.75">
      <c r="A112" s="38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7"/>
  <sheetViews>
    <sheetView zoomScalePageLayoutView="0" workbookViewId="0" topLeftCell="A1">
      <selection activeCell="H23" sqref="H23"/>
    </sheetView>
  </sheetViews>
  <sheetFormatPr defaultColWidth="9.00390625" defaultRowHeight="15.75"/>
  <cols>
    <col min="1" max="1" width="32.375" style="0" customWidth="1"/>
    <col min="2" max="2" width="11.875" style="0" customWidth="1"/>
    <col min="3" max="3" width="9.75390625" style="0" customWidth="1"/>
    <col min="4" max="5" width="8.50390625" style="0" customWidth="1"/>
    <col min="6" max="6" width="9.375" style="0" customWidth="1"/>
    <col min="7" max="7" width="9.625" style="0" customWidth="1"/>
  </cols>
  <sheetData>
    <row r="1" spans="1:7" ht="15.75">
      <c r="A1" s="77" t="s">
        <v>124</v>
      </c>
      <c r="B1" s="77"/>
      <c r="C1" s="77"/>
      <c r="D1" s="77"/>
      <c r="E1" s="77"/>
      <c r="F1" s="77"/>
      <c r="G1" s="77"/>
    </row>
    <row r="2" ht="15.75">
      <c r="A2" s="2"/>
    </row>
    <row r="3" spans="1:7" ht="55.5" customHeight="1">
      <c r="A3" s="65"/>
      <c r="B3" s="68" t="s">
        <v>197</v>
      </c>
      <c r="C3" s="69"/>
      <c r="D3" s="68" t="s">
        <v>110</v>
      </c>
      <c r="E3" s="69"/>
      <c r="F3" s="70" t="s">
        <v>132</v>
      </c>
      <c r="G3" s="71"/>
    </row>
    <row r="4" spans="1:8" ht="27" customHeight="1">
      <c r="A4" s="66"/>
      <c r="B4" s="72" t="s">
        <v>100</v>
      </c>
      <c r="C4" s="74" t="s">
        <v>198</v>
      </c>
      <c r="D4" s="76" t="s">
        <v>199</v>
      </c>
      <c r="E4" s="76"/>
      <c r="F4" s="76" t="s">
        <v>199</v>
      </c>
      <c r="G4" s="68"/>
      <c r="H4" s="1"/>
    </row>
    <row r="5" spans="1:7" ht="30" customHeight="1">
      <c r="A5" s="67"/>
      <c r="B5" s="73"/>
      <c r="C5" s="75"/>
      <c r="D5" s="21">
        <v>2018</v>
      </c>
      <c r="E5" s="21">
        <v>2019</v>
      </c>
      <c r="F5" s="21" t="s">
        <v>112</v>
      </c>
      <c r="G5" s="17" t="s">
        <v>133</v>
      </c>
    </row>
    <row r="6" spans="1:7" s="3" customFormat="1" ht="15">
      <c r="A6" s="30" t="s">
        <v>143</v>
      </c>
      <c r="B6" s="31">
        <f>IF(4272305.71982="","-",4272305.71982)</f>
        <v>4272305.71982</v>
      </c>
      <c r="C6" s="31">
        <f>IF(4177554.78501="","-",4272305.71982/4177554.78501*100)</f>
        <v>102.26809556513747</v>
      </c>
      <c r="D6" s="31">
        <v>100</v>
      </c>
      <c r="E6" s="31">
        <v>100</v>
      </c>
      <c r="F6" s="48">
        <f>IF(3438760.41277="","-",(4177554.78501-3438760.41277)/3438760.41277*100)</f>
        <v>21.48432235919817</v>
      </c>
      <c r="G6" s="48">
        <f>IF(4177554.78501="","-",(4272305.71982-4177554.78501)/4177554.78501*100)</f>
        <v>2.268095565137471</v>
      </c>
    </row>
    <row r="7" spans="1:7" s="3" customFormat="1" ht="15">
      <c r="A7" s="39" t="s">
        <v>150</v>
      </c>
      <c r="B7" s="27"/>
      <c r="C7" s="27"/>
      <c r="D7" s="27"/>
      <c r="E7" s="27"/>
      <c r="F7" s="28"/>
      <c r="G7" s="28"/>
    </row>
    <row r="8" spans="1:7" s="3" customFormat="1" ht="15">
      <c r="A8" s="32" t="s">
        <v>203</v>
      </c>
      <c r="B8" s="33">
        <f>IF(2134727.21853="","-",2134727.21853)</f>
        <v>2134727.21853</v>
      </c>
      <c r="C8" s="33">
        <f>IF(2107117.74476="","-",2134727.21853/2107117.74476*100)</f>
        <v>101.31029572688377</v>
      </c>
      <c r="D8" s="33">
        <f>IF(2107117.74476="","-",2107117.74476/4177554.78501*100)</f>
        <v>50.43902122650334</v>
      </c>
      <c r="E8" s="33">
        <f>IF(2134727.21853="","-",2134727.21853/4272305.71982*100)</f>
        <v>49.966630632883174</v>
      </c>
      <c r="F8" s="49">
        <f>IF(3438760.41277="","-",(2107117.74476-1713701.99156)/3438760.41277*100)</f>
        <v>11.440627027664739</v>
      </c>
      <c r="G8" s="49">
        <f>IF(4177554.78501="","-",(2134727.21853-2107117.74476)/4177554.78501*100)</f>
        <v>0.6609003398128732</v>
      </c>
    </row>
    <row r="9" spans="1:7" s="3" customFormat="1" ht="15">
      <c r="A9" s="34" t="s">
        <v>2</v>
      </c>
      <c r="B9" s="35">
        <f>IF(625178.21461="","-",625178.21461)</f>
        <v>625178.21461</v>
      </c>
      <c r="C9" s="35">
        <f>IF(OR(621271.5898="",625178.21461=""),"-",625178.21461/621271.5898*100)</f>
        <v>100.62881111483912</v>
      </c>
      <c r="D9" s="35">
        <f>IF(621271.5898="","-",621271.5898/4177554.78501*100)</f>
        <v>14.871656310271769</v>
      </c>
      <c r="E9" s="35">
        <f>IF(625178.21461="","-",625178.21461/4272305.71982*100)</f>
        <v>14.6332742928411</v>
      </c>
      <c r="F9" s="50">
        <f>IF(OR(3438760.41277="",494862.31666="",621271.5898=""),"-",(621271.5898-494862.31666)/3438760.41277*100)</f>
        <v>3.676012805968486</v>
      </c>
      <c r="G9" s="50">
        <f>IF(OR(4177554.78501="",625178.21461="",621271.5898=""),"-",(625178.21461-621271.5898)/4177554.78501*100)</f>
        <v>0.09351462783966136</v>
      </c>
    </row>
    <row r="10" spans="1:7" s="3" customFormat="1" ht="15">
      <c r="A10" s="34" t="s">
        <v>4</v>
      </c>
      <c r="B10" s="35">
        <f>IF(358061.32671="","-",358061.32671)</f>
        <v>358061.32671</v>
      </c>
      <c r="C10" s="35">
        <f>IF(OR(354267.53604="",358061.32671=""),"-",358061.32671/354267.53604*100)</f>
        <v>101.07088295823179</v>
      </c>
      <c r="D10" s="35">
        <f>IF(354267.53604="","-",354267.53604/4177554.78501*100)</f>
        <v>8.480260685298276</v>
      </c>
      <c r="E10" s="35">
        <f>IF(358061.32671="","-",358061.32671/4272305.71982*100)</f>
        <v>8.380985589324487</v>
      </c>
      <c r="F10" s="50">
        <f>IF(OR(3438760.41277="",279826.97386="",354267.53604=""),"-",(354267.53604-279826.97386)/3438760.41277*100)</f>
        <v>2.1647498878828952</v>
      </c>
      <c r="G10" s="50">
        <f>IF(OR(4177554.78501="",358061.32671="",354267.53604=""),"-",(358061.32671-354267.53604)/4177554.78501*100)</f>
        <v>0.09081366649248945</v>
      </c>
    </row>
    <row r="11" spans="1:7" ht="12.75" customHeight="1">
      <c r="A11" s="34" t="s">
        <v>3</v>
      </c>
      <c r="B11" s="35">
        <f>IF(294128.7304="","-",294128.7304)</f>
        <v>294128.7304</v>
      </c>
      <c r="C11" s="35">
        <f>IF(OR(289529.62476="",294128.7304=""),"-",294128.7304/289529.62476*100)</f>
        <v>101.58847497689135</v>
      </c>
      <c r="D11" s="35">
        <f>IF(289529.62476="","-",289529.62476/4177554.78501*100)</f>
        <v>6.930600307119776</v>
      </c>
      <c r="E11" s="35">
        <f>IF(294128.7304="","-",294128.7304/4272305.71982*100)</f>
        <v>6.884543141083831</v>
      </c>
      <c r="F11" s="50">
        <f>IF(OR(3438760.41277="",242544.5774="",289529.62476=""),"-",(289529.62476-242544.5774)/3438760.41277*100)</f>
        <v>1.3663367527879746</v>
      </c>
      <c r="G11" s="50">
        <f>IF(OR(4177554.78501="",294128.7304="",289529.62476=""),"-",(294128.7304-289529.62476)/4177554.78501*100)</f>
        <v>0.11009085162695274</v>
      </c>
    </row>
    <row r="12" spans="1:7" ht="15.75">
      <c r="A12" s="34" t="s">
        <v>5</v>
      </c>
      <c r="B12" s="35">
        <f>IF(146471.36563="","-",146471.36563)</f>
        <v>146471.36563</v>
      </c>
      <c r="C12" s="35">
        <f>IF(OR(146105.32497="",146471.36563=""),"-",146471.36563/146105.32497*100)</f>
        <v>100.25053204602581</v>
      </c>
      <c r="D12" s="35">
        <f>IF(146105.32497="","-",146105.32497/4177554.78501*100)</f>
        <v>3.49738860383731</v>
      </c>
      <c r="E12" s="35">
        <f>IF(146471.36563="","-",146471.36563/4272305.71982*100)</f>
        <v>3.4283914877742196</v>
      </c>
      <c r="F12" s="50">
        <f>IF(OR(3438760.41277="",115914.84308="",146105.32497=""),"-",(146105.32497-115914.84308)/3438760.41277*100)</f>
        <v>0.8779466512958041</v>
      </c>
      <c r="G12" s="50">
        <f>IF(OR(4177554.78501="",146471.36563="",146105.32497=""),"-",(146471.36563-146105.32497)/4177554.78501*100)</f>
        <v>0.008762079226667102</v>
      </c>
    </row>
    <row r="13" spans="1:7" s="9" customFormat="1" ht="15.75">
      <c r="A13" s="34" t="s">
        <v>156</v>
      </c>
      <c r="B13" s="35">
        <f>IF(106475.89133="","-",106475.89133)</f>
        <v>106475.89133</v>
      </c>
      <c r="C13" s="35">
        <f>IF(OR(103340.54213="",106475.89133=""),"-",106475.89133/103340.54213*100)</f>
        <v>103.03399724384627</v>
      </c>
      <c r="D13" s="35">
        <f>IF(103340.54213="","-",103340.54213/4177554.78501*100)</f>
        <v>2.4737088428094096</v>
      </c>
      <c r="E13" s="35">
        <f>IF(106475.89133="","-",106475.89133/4272305.71982*100)</f>
        <v>2.492234833196488</v>
      </c>
      <c r="F13" s="50">
        <f>IF(OR(3438760.41277="",84716.14381="",103340.54213=""),"-",(103340.54213-84716.14381)/3438760.41277*100)</f>
        <v>0.5416020915803678</v>
      </c>
      <c r="G13" s="50">
        <f>IF(OR(4177554.78501="",106475.89133="",103340.54213=""),"-",(106475.89133-103340.54213)/4177554.78501*100)</f>
        <v>0.07505225811161903</v>
      </c>
    </row>
    <row r="14" spans="1:7" s="9" customFormat="1" ht="15.75">
      <c r="A14" s="34" t="s">
        <v>43</v>
      </c>
      <c r="B14" s="35">
        <f>IF(84354.38364="","-",84354.38364)</f>
        <v>84354.38364</v>
      </c>
      <c r="C14" s="35">
        <f>IF(OR(85999.50137="",84354.38364=""),"-",84354.38364/85999.50137*100)</f>
        <v>98.08706131571377</v>
      </c>
      <c r="D14" s="35">
        <f>IF(85999.50137="","-",85999.50137/4177554.78501*100)</f>
        <v>2.058608583149775</v>
      </c>
      <c r="E14" s="35">
        <f>IF(84354.38364="","-",84354.38364/4272305.71982*100)</f>
        <v>1.9744463334790094</v>
      </c>
      <c r="F14" s="50">
        <f>IF(OR(3438760.41277="",72442.19775="",85999.50137=""),"-",(85999.50137-72442.19775)/3438760.41277*100)</f>
        <v>0.39424972934009306</v>
      </c>
      <c r="G14" s="50">
        <f>IF(OR(4177554.78501="",84354.38364="",85999.50137=""),"-",(84354.38364-85999.50137)/4177554.78501*100)</f>
        <v>-0.03937991994510875</v>
      </c>
    </row>
    <row r="15" spans="1:7" s="9" customFormat="1" ht="15.75">
      <c r="A15" s="34" t="s">
        <v>7</v>
      </c>
      <c r="B15" s="35">
        <f>IF(82751.13346="","-",82751.13346)</f>
        <v>82751.13346</v>
      </c>
      <c r="C15" s="35">
        <f>IF(OR(61662.90068="",82751.13346=""),"-",82751.13346/61662.90068*100)</f>
        <v>134.199222786222</v>
      </c>
      <c r="D15" s="35">
        <f>IF(61662.90068="","-",61662.90068/4177554.78501*100)</f>
        <v>1.476052472160515</v>
      </c>
      <c r="E15" s="35">
        <f>IF(82751.13346="","-",82751.13346/4272305.71982*100)</f>
        <v>1.936919754504049</v>
      </c>
      <c r="F15" s="50">
        <f>IF(OR(3438760.41277="",47613.54264="",61662.90068=""),"-",(61662.90068-47613.54264)/3438760.41277*100)</f>
        <v>0.4085587930996019</v>
      </c>
      <c r="G15" s="50">
        <f>IF(OR(4177554.78501="",82751.13346="",61662.90068=""),"-",(82751.13346-61662.90068)/4177554.78501*100)</f>
        <v>0.504798473395712</v>
      </c>
    </row>
    <row r="16" spans="1:7" s="9" customFormat="1" ht="15.75">
      <c r="A16" s="34" t="s">
        <v>8</v>
      </c>
      <c r="B16" s="35">
        <f>IF(71024.25737="","-",71024.25737)</f>
        <v>71024.25737</v>
      </c>
      <c r="C16" s="35">
        <f>IF(OR(77101.23359="",71024.25737=""),"-",71024.25737/77101.23359*100)</f>
        <v>92.11818548544186</v>
      </c>
      <c r="D16" s="35">
        <f>IF(77101.23359="","-",77101.23359/4177554.78501*100)</f>
        <v>1.8456067617989464</v>
      </c>
      <c r="E16" s="35">
        <f>IF(71024.25737="","-",71024.25737/4272305.71982*100)</f>
        <v>1.6624338712584543</v>
      </c>
      <c r="F16" s="50">
        <f>IF(OR(3438760.41277="",58070.61337="",77101.23359=""),"-",(77101.23359-58070.61337)/3438760.41277*100)</f>
        <v>0.5534151245119867</v>
      </c>
      <c r="G16" s="50">
        <f>IF(OR(4177554.78501="",71024.25737="",77101.23359=""),"-",(71024.25737-77101.23359)/4177554.78501*100)</f>
        <v>-0.14546730163313584</v>
      </c>
    </row>
    <row r="17" spans="1:7" s="9" customFormat="1" ht="15.75">
      <c r="A17" s="34" t="s">
        <v>41</v>
      </c>
      <c r="B17" s="35">
        <f>IF(61007.65817="","-",61007.65817)</f>
        <v>61007.65817</v>
      </c>
      <c r="C17" s="35">
        <f>IF(OR(56546.55645="",61007.65817=""),"-",61007.65817/56546.55645*100)</f>
        <v>107.88925444813715</v>
      </c>
      <c r="D17" s="35">
        <f>IF(56546.55645="","-",56546.55645/4177554.78501*100)</f>
        <v>1.3535802487354964</v>
      </c>
      <c r="E17" s="35">
        <f>IF(61007.65817="","-",61007.65817/4272305.71982*100)</f>
        <v>1.4279796945938215</v>
      </c>
      <c r="F17" s="50">
        <f>IF(OR(3438760.41277="",43551.47645="",56546.55645=""),"-",(56546.55645-43551.47645)/3438760.41277*100)</f>
        <v>0.37790012795721817</v>
      </c>
      <c r="G17" s="50">
        <f>IF(OR(4177554.78501="",61007.65817="",56546.55645=""),"-",(61007.65817-56546.55645)/4177554.78501*100)</f>
        <v>0.10678738998247098</v>
      </c>
    </row>
    <row r="18" spans="1:7" s="9" customFormat="1" ht="15.75">
      <c r="A18" s="34" t="s">
        <v>6</v>
      </c>
      <c r="B18" s="35">
        <f>IF(43636.18546="","-",43636.18546)</f>
        <v>43636.18546</v>
      </c>
      <c r="C18" s="35">
        <f>IF(OR(47865.94529="",43636.18546=""),"-",43636.18546/47865.94529*100)</f>
        <v>91.16332122060135</v>
      </c>
      <c r="D18" s="35">
        <f>IF(47865.94529="","-",47865.94529/4177554.78501*100)</f>
        <v>1.1457885713851967</v>
      </c>
      <c r="E18" s="35">
        <f>IF(43636.18546="","-",43636.18546/4272305.71982*100)</f>
        <v>1.0213731956859695</v>
      </c>
      <c r="F18" s="50">
        <f>IF(OR(3438760.41277="",52928.73587="",47865.94529=""),"-",(47865.94529-52928.73587)/3438760.41277*100)</f>
        <v>-0.14722719737028148</v>
      </c>
      <c r="G18" s="50">
        <f>IF(OR(4177554.78501="",43636.18546="",47865.94529=""),"-",(43636.18546-47865.94529)/4177554.78501*100)</f>
        <v>-0.10124965554437074</v>
      </c>
    </row>
    <row r="19" spans="1:7" s="9" customFormat="1" ht="15" customHeight="1">
      <c r="A19" s="34" t="s">
        <v>10</v>
      </c>
      <c r="B19" s="35">
        <f>IF(43208.96261="","-",43208.96261)</f>
        <v>43208.96261</v>
      </c>
      <c r="C19" s="35">
        <f>IF(OR(43828.77188="",43208.96261=""),"-",43208.96261/43828.77188*100)</f>
        <v>98.58583929365625</v>
      </c>
      <c r="D19" s="35">
        <f>IF(43828.77188="","-",43828.77188/4177554.78501*100)</f>
        <v>1.0491489432351055</v>
      </c>
      <c r="E19" s="35">
        <f>IF(43208.96261="","-",43208.96261/4272305.71982*100)</f>
        <v>1.0113733764310404</v>
      </c>
      <c r="F19" s="50">
        <f>IF(OR(3438760.41277="",33886.44372="",43828.77188=""),"-",(43828.77188-33886.44372)/3438760.41277*100)</f>
        <v>0.2891253523530948</v>
      </c>
      <c r="G19" s="50">
        <f>IF(OR(4177554.78501="",43208.96261="",43828.77188=""),"-",(43208.96261-43828.77188)/4177554.78501*100)</f>
        <v>-0.014836652106251532</v>
      </c>
    </row>
    <row r="20" spans="1:7" s="9" customFormat="1" ht="15" customHeight="1">
      <c r="A20" s="34" t="s">
        <v>157</v>
      </c>
      <c r="B20" s="35">
        <f>IF(42983.33036="","-",42983.33036)</f>
        <v>42983.33036</v>
      </c>
      <c r="C20" s="35">
        <f>IF(OR(43492.41195="",42983.33036=""),"-",42983.33036/43492.41195*100)</f>
        <v>98.82949331348821</v>
      </c>
      <c r="D20" s="35">
        <f>IF(43492.41195="","-",43492.41195/4177554.78501*100)</f>
        <v>1.0410973449363365</v>
      </c>
      <c r="E20" s="35">
        <f>IF(42983.33036="","-",42983.33036/4272305.71982*100)</f>
        <v>1.006092100586167</v>
      </c>
      <c r="F20" s="50">
        <f>IF(OR(3438760.41277="",42216.51206="",43492.41195=""),"-",(43492.41195-42216.51206)/3438760.41277*100)</f>
        <v>0.037103483140665625</v>
      </c>
      <c r="G20" s="50">
        <f>IF(OR(4177554.78501="",42983.33036="",43492.41195=""),"-",(42983.33036-43492.41195)/4177554.78501*100)</f>
        <v>-0.012186114035576507</v>
      </c>
    </row>
    <row r="21" spans="1:7" s="9" customFormat="1" ht="15.75">
      <c r="A21" s="34" t="s">
        <v>42</v>
      </c>
      <c r="B21" s="35">
        <f>IF(31053.46983="","-",31053.46983)</f>
        <v>31053.46983</v>
      </c>
      <c r="C21" s="35">
        <f>IF(OR(35402.40198="",31053.46983=""),"-",31053.46983/35402.40198*100)</f>
        <v>87.71571445220903</v>
      </c>
      <c r="D21" s="35">
        <f>IF(35402.40198="","-",35402.40198/4177554.78501*100)</f>
        <v>0.8474431527991381</v>
      </c>
      <c r="E21" s="35">
        <f>IF(31053.46983="","-",31053.46983/4272305.71982*100)</f>
        <v>0.7268550489244561</v>
      </c>
      <c r="F21" s="50">
        <f>IF(OR(3438760.41277="",27474.89429="",35402.40198=""),"-",(35402.40198-27474.89429)/3438760.41277*100)</f>
        <v>0.23053387670047693</v>
      </c>
      <c r="G21" s="50">
        <f>IF(OR(4177554.78501="",31053.46983="",35402.40198=""),"-",(31053.46983-35402.40198)/4177554.78501*100)</f>
        <v>-0.10410233674504865</v>
      </c>
    </row>
    <row r="22" spans="1:7" s="9" customFormat="1" ht="15.75">
      <c r="A22" s="34" t="s">
        <v>45</v>
      </c>
      <c r="B22" s="35">
        <f>IF(24345.73443="","-",24345.73443)</f>
        <v>24345.73443</v>
      </c>
      <c r="C22" s="35">
        <f>IF(OR(22415.52583="",24345.73443=""),"-",24345.73443/22415.52583*100)</f>
        <v>108.61103422082871</v>
      </c>
      <c r="D22" s="35">
        <f>IF(22415.52583="","-",22415.52583/4177554.78501*100)</f>
        <v>0.5365704816231713</v>
      </c>
      <c r="E22" s="35">
        <f>IF(24345.73443="","-",24345.73443/4272305.71982*100)</f>
        <v>0.569850006685049</v>
      </c>
      <c r="F22" s="50">
        <f>IF(OR(3438760.41277="",16887.41268="",22415.52583=""),"-",(22415.52583-16887.41268)/3438760.41277*100)</f>
        <v>0.1607588923459479</v>
      </c>
      <c r="G22" s="50">
        <f>IF(OR(4177554.78501="",24345.73443="",22415.52583=""),"-",(24345.73443-22415.52583)/4177554.78501*100)</f>
        <v>0.046204267791436784</v>
      </c>
    </row>
    <row r="23" spans="1:7" s="9" customFormat="1" ht="15.75" customHeight="1">
      <c r="A23" s="34" t="s">
        <v>51</v>
      </c>
      <c r="B23" s="35">
        <f>IF(18118.37273="","-",18118.37273)</f>
        <v>18118.37273</v>
      </c>
      <c r="C23" s="35">
        <f>IF(OR(17889.64698="",18118.37273=""),"-",18118.37273/17889.64698*100)</f>
        <v>101.27853696753047</v>
      </c>
      <c r="D23" s="35">
        <f>IF(17889.64698="","-",17889.64698/4177554.78501*100)</f>
        <v>0.42823249246645556</v>
      </c>
      <c r="E23" s="35">
        <f>IF(18118.37273="","-",18118.37273/4272305.71982*100)</f>
        <v>0.4240888625068563</v>
      </c>
      <c r="F23" s="50">
        <f>IF(OR(3438760.41277="",13651.80365="",17889.64698=""),"-",(17889.64698-13651.80365)/3438760.41277*100)</f>
        <v>0.12323752810060769</v>
      </c>
      <c r="G23" s="50">
        <f>IF(OR(4177554.78501="",18118.37273="",17889.64698=""),"-",(18118.37273-17889.64698)/4177554.78501*100)</f>
        <v>0.005475110723160755</v>
      </c>
    </row>
    <row r="24" spans="1:7" s="9" customFormat="1" ht="15.75">
      <c r="A24" s="34" t="s">
        <v>9</v>
      </c>
      <c r="B24" s="35">
        <f>IF(16746.52123="","-",16746.52123)</f>
        <v>16746.52123</v>
      </c>
      <c r="C24" s="35">
        <f>IF(OR(18021.62258="",16746.52123=""),"-",16746.52123/18021.62258*100)</f>
        <v>92.92460296324772</v>
      </c>
      <c r="D24" s="35">
        <f>IF(18021.62258="","-",18021.62258/4177554.78501*100)</f>
        <v>0.4313916515150348</v>
      </c>
      <c r="E24" s="35">
        <f>IF(16746.52123="","-",16746.52123/4272305.71982*100)</f>
        <v>0.39197853169331615</v>
      </c>
      <c r="F24" s="50">
        <f>IF(OR(3438760.41277="",17820.42231="",18021.62258=""),"-",(18021.62258-17820.42231)/3438760.41277*100)</f>
        <v>0.0058509534206812085</v>
      </c>
      <c r="G24" s="50">
        <f>IF(OR(4177554.78501="",16746.52123="",18021.62258=""),"-",(16746.52123-18021.62258)/4177554.78501*100)</f>
        <v>-0.030522672128091517</v>
      </c>
    </row>
    <row r="25" spans="1:7" s="9" customFormat="1" ht="15.75">
      <c r="A25" s="34" t="s">
        <v>53</v>
      </c>
      <c r="B25" s="35">
        <f>IF(16409.44292="","-",16409.44292)</f>
        <v>16409.44292</v>
      </c>
      <c r="C25" s="35">
        <f>IF(OR(16216.00607="",16409.44292=""),"-",16409.44292/16216.00607*100)</f>
        <v>101.1928760335004</v>
      </c>
      <c r="D25" s="35">
        <f>IF(16216.00607="","-",16216.00607/4177554.78501*100)</f>
        <v>0.38816980038626064</v>
      </c>
      <c r="E25" s="35">
        <f>IF(16409.44292="","-",16409.44292/4272305.71982*100)</f>
        <v>0.38408868644099187</v>
      </c>
      <c r="F25" s="50">
        <f>IF(OR(3438760.41277="",11908.63779="",16216.00607=""),"-",(16216.00607-11908.63779)/3438760.41277*100)</f>
        <v>0.12525933077525211</v>
      </c>
      <c r="G25" s="50">
        <f>IF(OR(4177554.78501="",16409.44292="",16216.00607=""),"-",(16409.44292-16216.00607)/4177554.78501*100)</f>
        <v>0.00463038451809409</v>
      </c>
    </row>
    <row r="26" spans="1:7" s="9" customFormat="1" ht="15.75">
      <c r="A26" s="34" t="s">
        <v>52</v>
      </c>
      <c r="B26" s="35">
        <f>IF(14073.61939="","-",14073.61939)</f>
        <v>14073.61939</v>
      </c>
      <c r="C26" s="35">
        <f>IF(OR(12604.26953="",14073.61939=""),"-",14073.61939/12604.26953*100)</f>
        <v>111.65755664382402</v>
      </c>
      <c r="D26" s="35">
        <f>IF(12604.26953="","-",12604.26953/4177554.78501*100)</f>
        <v>0.3017140451449478</v>
      </c>
      <c r="E26" s="35">
        <f>IF(14073.61939="","-",14073.61939/4272305.71982*100)</f>
        <v>0.32941508199448205</v>
      </c>
      <c r="F26" s="50">
        <f>IF(OR(3438760.41277="",9317.26933="",12604.26953=""),"-",(12604.26953-9317.26933)/3438760.41277*100)</f>
        <v>0.09558677562395941</v>
      </c>
      <c r="G26" s="50">
        <f>IF(OR(4177554.78501="",14073.61939="",12604.26953=""),"-",(14073.61939-12604.26953)/4177554.78501*100)</f>
        <v>0.03517248571514504</v>
      </c>
    </row>
    <row r="27" spans="1:7" s="9" customFormat="1" ht="15.75">
      <c r="A27" s="34" t="s">
        <v>44</v>
      </c>
      <c r="B27" s="35">
        <f>IF(12441.53053="","-",12441.53053)</f>
        <v>12441.53053</v>
      </c>
      <c r="C27" s="35">
        <f>IF(OR(10426.60778="",12441.53053=""),"-",12441.53053/10426.60778*100)</f>
        <v>119.3248158223134</v>
      </c>
      <c r="D27" s="35">
        <f>IF(10426.60778="","-",10426.60778/4177554.78501*100)</f>
        <v>0.24958638046861764</v>
      </c>
      <c r="E27" s="35">
        <f>IF(12441.53053="","-",12441.53053/4272305.71982*100)</f>
        <v>0.29121348859192087</v>
      </c>
      <c r="F27" s="50">
        <f>IF(OR(3438760.41277="",8022.71918="",10426.60778=""),"-",(10426.60778-8022.71918)/3438760.41277*100)</f>
        <v>0.06990567272651639</v>
      </c>
      <c r="G27" s="50">
        <f>IF(OR(4177554.78501="",12441.53053="",10426.60778=""),"-",(12441.53053-10426.60778)/4177554.78501*100)</f>
        <v>0.048232108343138735</v>
      </c>
    </row>
    <row r="28" spans="1:7" s="9" customFormat="1" ht="15.75">
      <c r="A28" s="34" t="s">
        <v>50</v>
      </c>
      <c r="B28" s="35">
        <f>IF(10328.56922="","-",10328.56922)</f>
        <v>10328.56922</v>
      </c>
      <c r="C28" s="35">
        <f>IF(OR(10211.03302="",10328.56922=""),"-",10328.56922/10211.03302*100)</f>
        <v>101.15107060930843</v>
      </c>
      <c r="D28" s="35">
        <f>IF(10211.03302="","-",10211.03302/4177554.78501*100)</f>
        <v>0.2444260708833662</v>
      </c>
      <c r="E28" s="35">
        <f>IF(10328.56922="","-",10328.56922/4272305.71982*100)</f>
        <v>0.2417563231040301</v>
      </c>
      <c r="F28" s="50">
        <f>IF(OR(3438760.41277="",10119.31827="",10211.03302=""),"-",(10211.03302-10119.31827)/3438760.41277*100)</f>
        <v>0.002667087525476155</v>
      </c>
      <c r="G28" s="50">
        <f>IF(OR(4177554.78501="",10328.56922="",10211.03302=""),"-",(10328.56922-10211.03302)/4177554.78501*100)</f>
        <v>0.0028135166634258102</v>
      </c>
    </row>
    <row r="29" spans="1:7" s="9" customFormat="1" ht="15.75">
      <c r="A29" s="34" t="s">
        <v>49</v>
      </c>
      <c r="B29" s="35">
        <f>IF(9301.5302="","-",9301.5302)</f>
        <v>9301.5302</v>
      </c>
      <c r="C29" s="35">
        <f>IF(OR(12034.62646="",9301.5302=""),"-",9301.5302/12034.62646*100)</f>
        <v>77.28972919031506</v>
      </c>
      <c r="D29" s="35">
        <f>IF(12034.62646="","-",12034.62646/4177554.78501*100)</f>
        <v>0.2880782438373502</v>
      </c>
      <c r="E29" s="35">
        <f>IF(9301.5302="","-",9301.5302/4272305.71982*100)</f>
        <v>0.21771686789286906</v>
      </c>
      <c r="F29" s="50">
        <f>IF(OR(3438760.41277="",10973.44095="",12034.62646=""),"-",(12034.62646-10973.44095)/3438760.41277*100)</f>
        <v>0.030859536071755293</v>
      </c>
      <c r="G29" s="50">
        <f>IF(OR(4177554.78501="",9301.5302="",12034.62646=""),"-",(9301.5302-12034.62646)/4177554.78501*100)</f>
        <v>-0.06542334931924676</v>
      </c>
    </row>
    <row r="30" spans="1:7" s="9" customFormat="1" ht="15.75">
      <c r="A30" s="34" t="s">
        <v>46</v>
      </c>
      <c r="B30" s="35">
        <f>IF(7785.44723="","-",7785.44723)</f>
        <v>7785.44723</v>
      </c>
      <c r="C30" s="35">
        <f>IF(OR(8516.73884="",7785.44723=""),"-",7785.44723/8516.73884*100)</f>
        <v>91.41347851873311</v>
      </c>
      <c r="D30" s="35">
        <f>IF(8516.73884="","-",8516.73884/4177554.78501*100)</f>
        <v>0.20386899222865876</v>
      </c>
      <c r="E30" s="35">
        <f>IF(7785.44723="","-",7785.44723/4272305.71982*100)</f>
        <v>0.18223057385340893</v>
      </c>
      <c r="F30" s="50">
        <f>IF(OR(3438760.41277="",5874.42142="",8516.73884=""),"-",(8516.73884-5874.42142)/3438760.41277*100)</f>
        <v>0.07683924155307911</v>
      </c>
      <c r="G30" s="50">
        <f>IF(OR(4177554.78501="",7785.44723="",8516.73884=""),"-",(7785.44723-8516.73884)/4177554.78501*100)</f>
        <v>-0.017505254811356105</v>
      </c>
    </row>
    <row r="31" spans="1:7" s="9" customFormat="1" ht="15.75">
      <c r="A31" s="34" t="s">
        <v>54</v>
      </c>
      <c r="B31" s="35">
        <f>IF(5336.1601="","-",5336.1601)</f>
        <v>5336.1601</v>
      </c>
      <c r="C31" s="35">
        <f>IF(OR(4861.35804="",5336.1601=""),"-",5336.1601/4861.35804*100)</f>
        <v>109.76686053759579</v>
      </c>
      <c r="D31" s="35">
        <f>IF(4861.35804="","-",4861.35804/4177554.78501*100)</f>
        <v>0.11636850478762453</v>
      </c>
      <c r="E31" s="35">
        <f>IF(5336.1601="","-",5336.1601/4272305.71982*100)</f>
        <v>0.12490117631902105</v>
      </c>
      <c r="F31" s="50">
        <f>IF(OR(3438760.41277="",5170.19454="",4861.35804=""),"-",(4861.35804-5170.19454)/3438760.41277*100)</f>
        <v>-0.00898104150708265</v>
      </c>
      <c r="G31" s="50">
        <f>IF(OR(4177554.78501="",5336.1601="",4861.35804=""),"-",(5336.1601-4861.35804)/4177554.78501*100)</f>
        <v>0.011365549572292764</v>
      </c>
    </row>
    <row r="32" spans="1:7" s="9" customFormat="1" ht="15.75">
      <c r="A32" s="34" t="s">
        <v>158</v>
      </c>
      <c r="B32" s="35">
        <f>IF(4025.28187="","-",4025.28187)</f>
        <v>4025.28187</v>
      </c>
      <c r="C32" s="35" t="s">
        <v>107</v>
      </c>
      <c r="D32" s="35">
        <f>IF(2473.25545="","-",2473.25545/4177554.78501*100)</f>
        <v>0.05920342346854656</v>
      </c>
      <c r="E32" s="35">
        <f>IF(4025.28187="","-",4025.28187/4272305.71982*100)</f>
        <v>0.0942180202911507</v>
      </c>
      <c r="F32" s="50">
        <f>IF(OR(3438760.41277="",1471.12239="",2473.25545=""),"-",(2473.25545-1471.12239)/3438760.41277*100)</f>
        <v>0.029142276277187892</v>
      </c>
      <c r="G32" s="50">
        <f>IF(OR(4177554.78501="",4025.28187="",2473.25545=""),"-",(4025.28187-2473.25545)/4177554.78501*100)</f>
        <v>0.03715155156238806</v>
      </c>
    </row>
    <row r="33" spans="1:7" s="9" customFormat="1" ht="15.75">
      <c r="A33" s="34" t="s">
        <v>47</v>
      </c>
      <c r="B33" s="35">
        <f>IF(3516.68574="","-",3516.68574)</f>
        <v>3516.68574</v>
      </c>
      <c r="C33" s="35">
        <f>IF(OR(3597.5074="",3516.68574=""),"-",3516.68574/3597.5074*100)</f>
        <v>97.75339836688035</v>
      </c>
      <c r="D33" s="35">
        <f>IF(3597.5074="","-",3597.5074/4177554.78501*100)</f>
        <v>0.08611514594395411</v>
      </c>
      <c r="E33" s="35">
        <f>IF(3516.68574="","-",3516.68574/4272305.71982*100)</f>
        <v>0.08231353209779575</v>
      </c>
      <c r="F33" s="50">
        <f>IF(OR(3438760.41277="",3701.36246="",3597.5074=""),"-",(3597.5074-3701.36246)/3438760.41277*100)</f>
        <v>-0.0030201307312463285</v>
      </c>
      <c r="G33" s="50">
        <f>IF(OR(4177554.78501="",3516.68574="",3597.5074=""),"-",(3516.68574-3597.5074)/4177554.78501*100)</f>
        <v>-0.0019346642751402383</v>
      </c>
    </row>
    <row r="34" spans="1:7" s="9" customFormat="1" ht="15.75">
      <c r="A34" s="34" t="s">
        <v>55</v>
      </c>
      <c r="B34" s="35">
        <f>IF(1339.19158="","-",1339.19158)</f>
        <v>1339.19158</v>
      </c>
      <c r="C34" s="35" t="s">
        <v>178</v>
      </c>
      <c r="D34" s="35">
        <f>IF(694.62834="","-",694.62834/4177554.78501*100)</f>
        <v>0.016627629696024136</v>
      </c>
      <c r="E34" s="35">
        <f>IF(1339.19158="","-",1339.19158/4272305.71982*100)</f>
        <v>0.031345874284867944</v>
      </c>
      <c r="F34" s="50">
        <f>IF(OR(3438760.41277="",1814.11825="",694.62834=""),"-",(694.62834-1814.11825)/3438760.41277*100)</f>
        <v>-0.032555042388028</v>
      </c>
      <c r="G34" s="50">
        <f>IF(OR(4177554.78501="",1339.19158="",694.62834=""),"-",(1339.19158-694.62834)/4177554.78501*100)</f>
        <v>0.015429198973352471</v>
      </c>
    </row>
    <row r="35" spans="1:7" s="9" customFormat="1" ht="15.75">
      <c r="A35" s="34" t="s">
        <v>48</v>
      </c>
      <c r="B35" s="35">
        <f>IF(547.25374="","-",547.25374)</f>
        <v>547.25374</v>
      </c>
      <c r="C35" s="35">
        <f>IF(OR(678.33749="",547.25374=""),"-",547.25374/678.33749*100)</f>
        <v>80.67573266516642</v>
      </c>
      <c r="D35" s="35">
        <f>IF(678.33749="","-",678.33749/4177554.78501*100)</f>
        <v>0.016237668322963146</v>
      </c>
      <c r="E35" s="35">
        <f>IF(547.25374="","-",547.25374/4272305.71982*100)</f>
        <v>0.012809330040712929</v>
      </c>
      <c r="F35" s="50">
        <f>IF(OR(3438760.41277="",685.37187="",678.33749=""),"-",(678.33749-685.37187)/3438760.41277*100)</f>
        <v>-0.00020456150343819938</v>
      </c>
      <c r="G35" s="50">
        <f>IF(OR(4177554.78501="",547.25374="",678.33749=""),"-",(547.25374-678.33749)/4177554.78501*100)</f>
        <v>-0.0031378104356729873</v>
      </c>
    </row>
    <row r="36" spans="1:7" s="9" customFormat="1" ht="15.75">
      <c r="A36" s="34" t="s">
        <v>56</v>
      </c>
      <c r="B36" s="35">
        <f>IF(76.96804="","-",76.96804)</f>
        <v>76.96804</v>
      </c>
      <c r="C36" s="35">
        <f>IF(OR(62.24006="",76.96804=""),"-",76.96804/62.24006*100)</f>
        <v>123.66318412932122</v>
      </c>
      <c r="D36" s="35">
        <f>IF(62.24006="","-",62.24006/4177554.78501*100)</f>
        <v>0.001489868193310863</v>
      </c>
      <c r="E36" s="35">
        <f>IF(76.96804="","-",76.96804/4272305.71982*100)</f>
        <v>0.0018015574036036634</v>
      </c>
      <c r="F36" s="50">
        <f>IF(OR(3438760.41277="",235.10551="",62.24006=""),"-",(62.24006-235.10551)/3438760.41277*100)</f>
        <v>-0.005026969874320292</v>
      </c>
      <c r="G36" s="50">
        <f>IF(OR(4177554.78501="",76.96804="",62.24006=""),"-",(76.96804-62.24006)/4177554.78501*100)</f>
        <v>0.00035255025386734086</v>
      </c>
    </row>
    <row r="37" spans="1:7" s="9" customFormat="1" ht="15.75">
      <c r="A37" s="32" t="s">
        <v>177</v>
      </c>
      <c r="B37" s="33">
        <f>IF(1030722.81575="","-",1030722.81575)</f>
        <v>1030722.81575</v>
      </c>
      <c r="C37" s="33">
        <f>IF(1013934.49779="","-",1030722.81575/1013934.49779*100)</f>
        <v>101.65575961727234</v>
      </c>
      <c r="D37" s="33">
        <f>IF(1013934.49779="","-",1013934.49779/4177554.78501*100)</f>
        <v>24.27100421108117</v>
      </c>
      <c r="E37" s="33">
        <f>IF(1030722.81575="","-",1030722.81575/4272305.71982*100)</f>
        <v>24.12568021451017</v>
      </c>
      <c r="F37" s="49">
        <f>IF(3438760.41277="","-",(1013934.49779-850565.89736)/3438760.41277*100)</f>
        <v>4.750799149115567</v>
      </c>
      <c r="G37" s="49">
        <f>IF(4177554.78501="","-",(1030722.81575-1013934.49779)/4177554.78501*100)</f>
        <v>0.4018694864335504</v>
      </c>
    </row>
    <row r="38" spans="1:7" s="9" customFormat="1" ht="15.75">
      <c r="A38" s="34" t="s">
        <v>159</v>
      </c>
      <c r="B38" s="35">
        <f>IF(491893.75119="","-",491893.75119)</f>
        <v>491893.75119</v>
      </c>
      <c r="C38" s="35">
        <f>IF(OR(486189.7718="",491893.75119=""),"-",491893.75119/486189.7718*100)</f>
        <v>101.17320020305701</v>
      </c>
      <c r="D38" s="35">
        <f>IF(486189.7718="","-",486189.7718/4177554.78501*100)</f>
        <v>11.63814233016303</v>
      </c>
      <c r="E38" s="35">
        <f>IF(491893.75119="","-",491893.75119/4272305.71982*100)</f>
        <v>11.5135428840688</v>
      </c>
      <c r="F38" s="50">
        <f>IF(OR(3438760.41277="",385450.38549="",486189.7718=""),"-",(486189.7718-385450.38549)/3438760.41277*100)</f>
        <v>2.929526172742349</v>
      </c>
      <c r="G38" s="50">
        <f>IF(OR(4177554.78501="",491893.75119="",486189.7718=""),"-",(491893.75119-486189.7718)/4177554.78501*100)</f>
        <v>0.136538709449536</v>
      </c>
    </row>
    <row r="39" spans="1:7" s="9" customFormat="1" ht="15.75">
      <c r="A39" s="34" t="s">
        <v>12</v>
      </c>
      <c r="B39" s="35">
        <f>IF(425172.75363="","-",425172.75363)</f>
        <v>425172.75363</v>
      </c>
      <c r="C39" s="35">
        <f>IF(OR(419405.89098="",425172.75363=""),"-",425172.75363/419405.89098*100)</f>
        <v>101.37500754615651</v>
      </c>
      <c r="D39" s="35">
        <f>IF(419405.89098="","-",419405.89098/4177554.78501*100)</f>
        <v>10.03950666272342</v>
      </c>
      <c r="E39" s="35">
        <f>IF(425172.75363="","-",425172.75363/4272305.71982*100)</f>
        <v>9.951833541723069</v>
      </c>
      <c r="F39" s="50">
        <f>IF(OR(3438760.41277="",375091.50435="",419405.89098=""),"-",(419405.89098-375091.50435)/3438760.41277*100)</f>
        <v>1.2886732807972443</v>
      </c>
      <c r="G39" s="50">
        <f>IF(OR(4177554.78501="",425172.75363="",419405.89098=""),"-",(425172.75363-419405.89098)/4177554.78501*100)</f>
        <v>0.13804397420933312</v>
      </c>
    </row>
    <row r="40" spans="1:7" s="9" customFormat="1" ht="15.75">
      <c r="A40" s="34" t="s">
        <v>11</v>
      </c>
      <c r="B40" s="35">
        <f>IF(97158.23602="","-",97158.23602)</f>
        <v>97158.23602</v>
      </c>
      <c r="C40" s="35">
        <f>IF(OR(89227.6623="",97158.23602=""),"-",97158.23602/89227.6623*100)</f>
        <v>108.88802140006307</v>
      </c>
      <c r="D40" s="35">
        <f>IF(89227.6623="","-",89227.6623/4177554.78501*100)</f>
        <v>2.135882517212432</v>
      </c>
      <c r="E40" s="35">
        <f>IF(97158.23602="","-",97158.23602/4272305.71982*100)</f>
        <v>2.2741405318740493</v>
      </c>
      <c r="F40" s="50">
        <f>IF(OR(3438760.41277="",84160.14197="",89227.6623=""),"-",(89227.6623-84160.14197)/3438760.41277*100)</f>
        <v>0.14736473966553534</v>
      </c>
      <c r="G40" s="50">
        <f>IF(OR(4177554.78501="",97158.23602="",89227.6623=""),"-",(97158.23602-89227.6623)/4177554.78501*100)</f>
        <v>0.18983769521004656</v>
      </c>
    </row>
    <row r="41" spans="1:7" s="9" customFormat="1" ht="15.75">
      <c r="A41" s="34" t="s">
        <v>13</v>
      </c>
      <c r="B41" s="35">
        <f>IF(7254.91154="","-",7254.91154)</f>
        <v>7254.91154</v>
      </c>
      <c r="C41" s="35" t="s">
        <v>105</v>
      </c>
      <c r="D41" s="35">
        <f>IF(3922.91334="","-",3922.91334/4177554.78501*100)</f>
        <v>0.09390453367784163</v>
      </c>
      <c r="E41" s="35">
        <f>IF(7254.91154="","-",7254.91154/4272305.71982*100)</f>
        <v>0.1698125559307039</v>
      </c>
      <c r="F41" s="50">
        <f>IF(OR(3438760.41277="",1353.49878="",3922.91334=""),"-",(3922.91334-1353.49878)/3438760.41277*100)</f>
        <v>0.07471920842342948</v>
      </c>
      <c r="G41" s="50">
        <f>IF(OR(4177554.78501="",7254.91154="",3922.91334=""),"-",(7254.91154-3922.91334)/4177554.78501*100)</f>
        <v>0.07975953330297317</v>
      </c>
    </row>
    <row r="42" spans="1:7" s="9" customFormat="1" ht="15.75">
      <c r="A42" s="34" t="s">
        <v>15</v>
      </c>
      <c r="B42" s="35">
        <f>IF(5732.56656="","-",5732.56656)</f>
        <v>5732.56656</v>
      </c>
      <c r="C42" s="35" t="s">
        <v>20</v>
      </c>
      <c r="D42" s="35">
        <f>IF(2850.80607="","-",2850.80607/4177554.78501*100)</f>
        <v>0.06824102176300187</v>
      </c>
      <c r="E42" s="35">
        <f>IF(5732.56656="","-",5732.56656/4272305.71982*100)</f>
        <v>0.1341796897493919</v>
      </c>
      <c r="F42" s="50">
        <f>IF(OR(3438760.41277="",3855.10651="",2850.80607=""),"-",(2850.80607-3855.10651)/3438760.41277*100)</f>
        <v>-0.029205304221558523</v>
      </c>
      <c r="G42" s="50">
        <f>IF(OR(4177554.78501="",5732.56656="",2850.80607=""),"-",(5732.56656-2850.80607)/4177554.78501*100)</f>
        <v>0.0689819915789112</v>
      </c>
    </row>
    <row r="43" spans="1:7" s="9" customFormat="1" ht="15.75">
      <c r="A43" s="34" t="s">
        <v>16</v>
      </c>
      <c r="B43" s="35">
        <f>IF(1971.42881="","-",1971.42881)</f>
        <v>1971.42881</v>
      </c>
      <c r="C43" s="35">
        <f>IF(OR(10947.54223="",1971.42881=""),"-",1971.42881/10947.54223*100)</f>
        <v>18.007958029132904</v>
      </c>
      <c r="D43" s="35">
        <f>IF(10947.54223="","-",10947.54223/4177554.78501*100)</f>
        <v>0.26205622172286586</v>
      </c>
      <c r="E43" s="35">
        <f>IF(1971.42881="","-",1971.42881/4272305.71982*100)</f>
        <v>0.04614437587774172</v>
      </c>
      <c r="F43" s="50">
        <f>IF(OR(3438760.41277="",4.47522="",10947.54223=""),"-",(10947.54223-4.47522)/3438760.41277*100)</f>
        <v>0.3182270846599955</v>
      </c>
      <c r="G43" s="50">
        <f>IF(OR(4177554.78501="",1971.42881="",10947.54223=""),"-",(1971.42881-10947.54223)/4177554.78501*100)</f>
        <v>-0.21486524730228077</v>
      </c>
    </row>
    <row r="44" spans="1:7" s="9" customFormat="1" ht="15.75">
      <c r="A44" s="34" t="s">
        <v>17</v>
      </c>
      <c r="B44" s="35">
        <f>IF(881.91173="","-",881.91173)</f>
        <v>881.91173</v>
      </c>
      <c r="C44" s="35">
        <f>IF(OR(800.15601="",881.91173=""),"-",881.91173/800.15601*100)</f>
        <v>110.21747246515088</v>
      </c>
      <c r="D44" s="35">
        <f>IF(800.15601="","-",800.15601/4177554.78501*100)</f>
        <v>0.019153692798264156</v>
      </c>
      <c r="E44" s="35">
        <f>IF(881.91173="","-",881.91173/4272305.71982*100)</f>
        <v>0.02064252391650372</v>
      </c>
      <c r="F44" s="50">
        <f>IF(OR(3438760.41277="",463.2007="",800.15601=""),"-",(800.15601-463.2007)/3438760.41277*100)</f>
        <v>0.009798743429425922</v>
      </c>
      <c r="G44" s="50">
        <f>IF(OR(4177554.78501="",881.91173="",800.15601=""),"-",(881.91173-800.15601)/4177554.78501*100)</f>
        <v>0.001957023287722229</v>
      </c>
    </row>
    <row r="45" spans="1:7" s="9" customFormat="1" ht="15.75">
      <c r="A45" s="34" t="s">
        <v>14</v>
      </c>
      <c r="B45" s="35">
        <f>IF(496.347="","-",496.347)</f>
        <v>496.347</v>
      </c>
      <c r="C45" s="35">
        <f>IF(OR(386.97092="",496.347=""),"-",496.347/386.97092*100)</f>
        <v>128.2646768392829</v>
      </c>
      <c r="D45" s="35">
        <f>IF(386.97092="","-",386.97092/4177554.78501*100)</f>
        <v>0.009263096234872564</v>
      </c>
      <c r="E45" s="35">
        <f>IF(496.347="","-",496.347/4272305.71982*100)</f>
        <v>0.011617778140205565</v>
      </c>
      <c r="F45" s="50">
        <f>IF(OR(3438760.41277="",139.72369="",386.97092=""),"-",(386.97092-139.72369)/3438760.41277*100)</f>
        <v>0.0071900103619268055</v>
      </c>
      <c r="G45" s="50">
        <f>IF(OR(4177554.78501="",496.347="",386.97092=""),"-",(496.347-386.97092)/4177554.78501*100)</f>
        <v>0.002618184216098513</v>
      </c>
    </row>
    <row r="46" spans="1:7" s="9" customFormat="1" ht="15.75">
      <c r="A46" s="34" t="s">
        <v>136</v>
      </c>
      <c r="B46" s="35">
        <f>IF(160.80703="","-",160.80703)</f>
        <v>160.80703</v>
      </c>
      <c r="C46" s="35">
        <f>IF(OR(202.54423="",160.80703=""),"-",160.80703/202.54423*100)</f>
        <v>79.3935378954019</v>
      </c>
      <c r="D46" s="35">
        <f>IF(202.54423="","-",202.54423/4177554.78501*100)</f>
        <v>0.0048483919523155975</v>
      </c>
      <c r="E46" s="35">
        <f>IF(160.80703="","-",160.80703/4272305.71982*100)</f>
        <v>0.0037639401425321006</v>
      </c>
      <c r="F46" s="50">
        <f>IF(OR(3438760.41277="",45.27001="",202.54423=""),"-",(202.54423-45.27001)/3438760.41277*100)</f>
        <v>0.0045735730647577175</v>
      </c>
      <c r="G46" s="50">
        <f>IF(OR(4177554.78501="",160.80703="",202.54423=""),"-",(160.80703-202.54423)/4177554.78501*100)</f>
        <v>-0.0009990820503362973</v>
      </c>
    </row>
    <row r="47" spans="1:7" s="9" customFormat="1" ht="15.75">
      <c r="A47" s="34" t="s">
        <v>18</v>
      </c>
      <c r="B47" s="35">
        <f>IF(0.10224="","-",0.10224)</f>
        <v>0.10224</v>
      </c>
      <c r="C47" s="35">
        <f>IF(OR(0.23991="",0.10224=""),"-",0.10224/0.23991*100)</f>
        <v>42.61598099287232</v>
      </c>
      <c r="D47" s="35">
        <f>IF(0.23991="","-",0.23991/4177554.78501*100)</f>
        <v>5.742833124794693E-06</v>
      </c>
      <c r="E47" s="35">
        <f>IF(0.10224="","-",0.10224/4272305.71982*100)</f>
        <v>2.3930871689656972E-06</v>
      </c>
      <c r="F47" s="50">
        <f>IF(OR(3438760.41277="",2.59064="",0.23991=""),"-",(0.23991-2.59064)/3438760.41277*100)</f>
        <v>-6.835980754199835E-05</v>
      </c>
      <c r="G47" s="50">
        <f>IF(OR(4177554.78501="",0.10224="",0.23991=""),"-",(0.10224-0.23991)/4177554.78501*100)</f>
        <v>-3.295468451879811E-06</v>
      </c>
    </row>
    <row r="48" spans="1:7" s="9" customFormat="1" ht="15.75">
      <c r="A48" s="32" t="s">
        <v>172</v>
      </c>
      <c r="B48" s="33">
        <f>IF(1106855.68554="","-",1106855.68554)</f>
        <v>1106855.68554</v>
      </c>
      <c r="C48" s="33">
        <f>IF(1056502.54246="","-",1106855.68554/1056502.54246*100)</f>
        <v>104.76602195038318</v>
      </c>
      <c r="D48" s="33">
        <f>IF(1056502.54246="","-",1056502.54246/4177554.78501*100)</f>
        <v>25.289974562415484</v>
      </c>
      <c r="E48" s="33">
        <f>IF(1106855.68554="","-",1106855.68554/4272305.71982*100)</f>
        <v>25.907689152606654</v>
      </c>
      <c r="F48" s="49">
        <f>IF(3438760.41277="","-",(1056502.54246-874492.52385)/3438760.41277*100)</f>
        <v>5.292896182417858</v>
      </c>
      <c r="G48" s="49">
        <f>IF(4177554.78501="","-",(1106855.68554-1056502.54246)/4177554.78501*100)</f>
        <v>1.2053257388910468</v>
      </c>
    </row>
    <row r="49" spans="1:7" s="9" customFormat="1" ht="15.75">
      <c r="A49" s="34" t="s">
        <v>60</v>
      </c>
      <c r="B49" s="35">
        <f>IF(436813.28284="","-",436813.28284)</f>
        <v>436813.28284</v>
      </c>
      <c r="C49" s="35">
        <f>IF(OR(438064.24196="",436813.28284=""),"-",436813.28284/438064.24196*100)</f>
        <v>99.71443477915409</v>
      </c>
      <c r="D49" s="35">
        <f>IF(438064.24196="","-",438064.24196/4177554.78501*100)</f>
        <v>10.48613996713753</v>
      </c>
      <c r="E49" s="35">
        <f>IF(436813.28284="","-",436813.28284/4272305.71982*100)</f>
        <v>10.224298341140337</v>
      </c>
      <c r="F49" s="50">
        <f>IF(OR(3438760.41277="",353218.24608="",438064.24196=""),"-",(438064.24196-353218.24608)/3438760.41277*100)</f>
        <v>2.467342463433055</v>
      </c>
      <c r="G49" s="50">
        <f>IF(OR(4177554.78501="",436813.28284="",438064.24196=""),"-",(436813.28284-438064.24196)/4177554.78501*100)</f>
        <v>-0.029944768755367012</v>
      </c>
    </row>
    <row r="50" spans="1:7" s="9" customFormat="1" ht="15.75">
      <c r="A50" s="34" t="s">
        <v>57</v>
      </c>
      <c r="B50" s="35">
        <f>IF(281392.97532="","-",281392.97532)</f>
        <v>281392.97532</v>
      </c>
      <c r="C50" s="35">
        <f>IF(OR(239051.49964="",281392.97532=""),"-",281392.97532/239051.49964*100)</f>
        <v>117.71228197428765</v>
      </c>
      <c r="D50" s="35">
        <f>IF(239051.49964="","-",239051.49964/4177554.78501*100)</f>
        <v>5.722282817158261</v>
      </c>
      <c r="E50" s="35">
        <f>IF(281392.97532="","-",281392.97532/4272305.71982*100)</f>
        <v>6.586442866543166</v>
      </c>
      <c r="F50" s="50">
        <f>IF(OR(3438760.41277="",215774.66477="",239051.49964=""),"-",(239051.49964-215774.66477)/3438760.41277*100)</f>
        <v>0.6768960926606099</v>
      </c>
      <c r="G50" s="50">
        <f>IF(OR(4177554.78501="",281392.97532="",239051.49964=""),"-",(281392.97532-239051.49964)/4177554.78501*100)</f>
        <v>1.0135468679412825</v>
      </c>
    </row>
    <row r="51" spans="1:7" s="9" customFormat="1" ht="15.75">
      <c r="A51" s="34" t="s">
        <v>19</v>
      </c>
      <c r="B51" s="35">
        <f>IF(56239.69306="","-",56239.69306)</f>
        <v>56239.69306</v>
      </c>
      <c r="C51" s="35">
        <f>IF(OR(53965.88521="",56239.69306=""),"-",56239.69306/53965.88521*100)</f>
        <v>104.21341712667515</v>
      </c>
      <c r="D51" s="35">
        <f>IF(53965.88521="","-",53965.88521/4177554.78501*100)</f>
        <v>1.291805565390588</v>
      </c>
      <c r="E51" s="35">
        <f>IF(56239.69306="","-",56239.69306/4272305.71982*100)</f>
        <v>1.3163780110373158</v>
      </c>
      <c r="F51" s="50">
        <f>IF(OR(3438760.41277="",55302.33507="",53965.88521=""),"-",(53965.88521-55302.33507)/3438760.41277*100)</f>
        <v>-0.038864291185772365</v>
      </c>
      <c r="G51" s="50">
        <f>IF(OR(4177554.78501="",56239.69306="",53965.88521=""),"-",(56239.69306-53965.88521)/4177554.78501*100)</f>
        <v>0.05442915693550993</v>
      </c>
    </row>
    <row r="52" spans="1:7" s="9" customFormat="1" ht="15.75">
      <c r="A52" s="34" t="s">
        <v>77</v>
      </c>
      <c r="B52" s="35">
        <f>IF(36761.14527="","-",36761.14527)</f>
        <v>36761.14527</v>
      </c>
      <c r="C52" s="35">
        <f>IF(OR(40478.58439="",36761.14527=""),"-",36761.14527/40478.58439*100)</f>
        <v>90.81628180426593</v>
      </c>
      <c r="D52" s="35">
        <f>IF(40478.58439="","-",40478.58439/4177554.78501*100)</f>
        <v>0.9689540047504872</v>
      </c>
      <c r="E52" s="35">
        <f>IF(36761.14527="","-",36761.14527/4272305.71982*100)</f>
        <v>0.8604521230645642</v>
      </c>
      <c r="F52" s="50">
        <f>IF(OR(3438760.41277="",24695.60404="",40478.58439=""),"-",(40478.58439-24695.60404)/3438760.41277*100)</f>
        <v>0.4589729569815088</v>
      </c>
      <c r="G52" s="50">
        <f>IF(OR(4177554.78501="",36761.14527="",40478.58439=""),"-",(36761.14527-40478.58439)/4177554.78501*100)</f>
        <v>-0.08898600524256449</v>
      </c>
    </row>
    <row r="53" spans="1:7" s="9" customFormat="1" ht="15.75">
      <c r="A53" s="34" t="s">
        <v>73</v>
      </c>
      <c r="B53" s="35">
        <f>IF(36006.14687="","-",36006.14687)</f>
        <v>36006.14687</v>
      </c>
      <c r="C53" s="35">
        <f>IF(OR(26831.47203="",36006.14687=""),"-",36006.14687/26831.47203*100)</f>
        <v>134.19370666559735</v>
      </c>
      <c r="D53" s="35">
        <f>IF(26831.47203="","-",26831.47203/4177554.78501*100)</f>
        <v>0.6422769636984131</v>
      </c>
      <c r="E53" s="35">
        <f>IF(36006.14687="","-",36006.14687/4272305.71982*100)</f>
        <v>0.8427802042105966</v>
      </c>
      <c r="F53" s="50">
        <f>IF(OR(3438760.41277="",26375.37692="",26831.47203=""),"-",(26831.47203-26375.37692)/3438760.41277*100)</f>
        <v>0.013263358165525903</v>
      </c>
      <c r="G53" s="50">
        <f>IF(OR(4177554.78501="",36006.14687="",26831.47203=""),"-",(36006.14687-26831.47203)/4177554.78501*100)</f>
        <v>0.21961830094774049</v>
      </c>
    </row>
    <row r="54" spans="1:7" s="9" customFormat="1" ht="15.75">
      <c r="A54" s="34" t="s">
        <v>37</v>
      </c>
      <c r="B54" s="35">
        <f>IF(28945.69969="","-",28945.69969)</f>
        <v>28945.69969</v>
      </c>
      <c r="C54" s="35">
        <f>IF(OR(28958.89871="",28945.69969=""),"-",28945.69969/28958.89871*100)</f>
        <v>99.95442154022439</v>
      </c>
      <c r="D54" s="35">
        <f>IF(28958.89871="","-",28958.89871/4177554.78501*100)</f>
        <v>0.6932021290040528</v>
      </c>
      <c r="E54" s="35">
        <f>IF(28945.69969="","-",28945.69969/4272305.71982*100)</f>
        <v>0.6775193908927364</v>
      </c>
      <c r="F54" s="50">
        <f>IF(OR(3438760.41277="",19904.49424="",28958.89871=""),"-",(28958.89871-19904.49424)/3438760.41277*100)</f>
        <v>0.26330431269291227</v>
      </c>
      <c r="G54" s="50">
        <f>IF(OR(4177554.78501="",28945.69969="",28958.89871=""),"-",(28945.69969-28958.89871)/4177554.78501*100)</f>
        <v>-0.00031595085353185675</v>
      </c>
    </row>
    <row r="55" spans="1:7" s="9" customFormat="1" ht="15.75">
      <c r="A55" s="34" t="s">
        <v>70</v>
      </c>
      <c r="B55" s="35">
        <f>IF(26586.59352="","-",26586.59352)</f>
        <v>26586.59352</v>
      </c>
      <c r="C55" s="35">
        <f>IF(OR(21984.8977799999="",26586.59352=""),"-",26586.59352/21984.8977799999*100)</f>
        <v>120.9311673224442</v>
      </c>
      <c r="D55" s="35">
        <f>IF(21984.8977799999="","-",21984.8977799999/4177554.78501*100)</f>
        <v>0.5262623451136207</v>
      </c>
      <c r="E55" s="35">
        <f>IF(26586.59352="","-",26586.59352/4272305.71982*100)</f>
        <v>0.6223008198280374</v>
      </c>
      <c r="F55" s="50">
        <f>IF(OR(3438760.41277="",19763.94353="",21984.8977799999=""),"-",(21984.8977799999-19763.94353)/3438760.41277*100)</f>
        <v>0.0645858967595498</v>
      </c>
      <c r="G55" s="50">
        <f>IF(OR(4177554.78501="",26586.59352="",21984.8977799999=""),"-",(26586.59352-21984.8977799999)/4177554.78501*100)</f>
        <v>0.11015285201075063</v>
      </c>
    </row>
    <row r="56" spans="1:7" s="9" customFormat="1" ht="15.75">
      <c r="A56" s="34" t="s">
        <v>161</v>
      </c>
      <c r="B56" s="35">
        <f>IF(25772.39267="","-",25772.39267)</f>
        <v>25772.39267</v>
      </c>
      <c r="C56" s="35">
        <f>IF(OR(24667.73295="",25772.39267=""),"-",25772.39267/24667.73295*100)</f>
        <v>104.4781566357925</v>
      </c>
      <c r="D56" s="35">
        <f>IF(24667.73295="","-",24667.73295/4177554.78501*100)</f>
        <v>0.590482572209785</v>
      </c>
      <c r="E56" s="35">
        <f>IF(25772.39267="","-",25772.39267/4272305.71982*100)</f>
        <v>0.6032431750011991</v>
      </c>
      <c r="F56" s="50">
        <f>IF(OR(3438760.41277="",22220.51489="",24667.73295=""),"-",(24667.73295-22220.51489)/3438760.41277*100)</f>
        <v>0.07116570409826002</v>
      </c>
      <c r="G56" s="50">
        <f>IF(OR(4177554.78501="",25772.39267="",24667.73295=""),"-",(25772.39267-24667.73295)/4177554.78501*100)</f>
        <v>0.026442734490610766</v>
      </c>
    </row>
    <row r="57" spans="1:7" s="9" customFormat="1" ht="15.75">
      <c r="A57" s="34" t="s">
        <v>71</v>
      </c>
      <c r="B57" s="35">
        <f>IF(16548.79976="","-",16548.79976)</f>
        <v>16548.79976</v>
      </c>
      <c r="C57" s="35">
        <f>IF(OR(15404.07157="",16548.79976=""),"-",16548.79976/15404.07157*100)</f>
        <v>107.4313351817282</v>
      </c>
      <c r="D57" s="35">
        <f>IF(15404.07157="","-",15404.07157/4177554.78501*100)</f>
        <v>0.3687341605973248</v>
      </c>
      <c r="E57" s="35">
        <f>IF(16548.79976="","-",16548.79976/4272305.71982*100)</f>
        <v>0.3873505513247126</v>
      </c>
      <c r="F57" s="50">
        <f>IF(OR(3438760.41277="",13425.00762="",15404.07157=""),"-",(15404.07157-13425.00762)/3438760.41277*100)</f>
        <v>0.05755166724179596</v>
      </c>
      <c r="G57" s="50">
        <f>IF(OR(4177554.78501="",16548.79976="",15404.07157=""),"-",(16548.79976-15404.07157)/4177554.78501*100)</f>
        <v>0.02740187140351916</v>
      </c>
    </row>
    <row r="58" spans="1:7" s="9" customFormat="1" ht="15.75">
      <c r="A58" s="34" t="s">
        <v>67</v>
      </c>
      <c r="B58" s="35">
        <f>IF(16402.02033="","-",16402.02033)</f>
        <v>16402.02033</v>
      </c>
      <c r="C58" s="35">
        <f>IF(OR(21618.49974="",16402.02033=""),"-",16402.02033/21618.49974*100)</f>
        <v>75.87029871296703</v>
      </c>
      <c r="D58" s="35">
        <f>IF(21618.49974="","-",21618.49974/4177554.78501*100)</f>
        <v>0.5174917111218268</v>
      </c>
      <c r="E58" s="35">
        <f>IF(16402.02033="","-",16402.02033/4272305.71982*100)</f>
        <v>0.3839149491083481</v>
      </c>
      <c r="F58" s="50">
        <f>IF(OR(3438760.41277="",12284.12874="",21618.49974=""),"-",(21618.49974-12284.12874)/3438760.41277*100)</f>
        <v>0.27144580835979065</v>
      </c>
      <c r="G58" s="50">
        <f>IF(OR(4177554.78501="",16402.02033="",21618.49974=""),"-",(16402.02033-21618.49974)/4177554.78501*100)</f>
        <v>-0.12486920407885238</v>
      </c>
    </row>
    <row r="59" spans="1:7" s="9" customFormat="1" ht="15.75">
      <c r="A59" s="34" t="s">
        <v>81</v>
      </c>
      <c r="B59" s="35">
        <f>IF(12157.66723="","-",12157.66723)</f>
        <v>12157.66723</v>
      </c>
      <c r="C59" s="35">
        <f>IF(OR(10681.97675="",12157.66723=""),"-",12157.66723/10681.97675*100)</f>
        <v>113.81476963053679</v>
      </c>
      <c r="D59" s="35">
        <f>IF(10681.97675="","-",10681.97675/4177554.78501*100)</f>
        <v>0.25569926188231734</v>
      </c>
      <c r="E59" s="35">
        <f>IF(12157.66723="","-",12157.66723/4272305.71982*100)</f>
        <v>0.2845692239110693</v>
      </c>
      <c r="F59" s="50">
        <f>IF(OR(3438760.41277="",8816.79595="",10681.97675=""),"-",(10681.97675-8816.79595)/3438760.41277*100)</f>
        <v>0.05423991718276047</v>
      </c>
      <c r="G59" s="50">
        <f>IF(OR(4177554.78501="",12157.66723="",10681.97675=""),"-",(12157.66723-10681.97675)/4177554.78501*100)</f>
        <v>0.035324263976025075</v>
      </c>
    </row>
    <row r="60" spans="1:7" s="9" customFormat="1" ht="15.75">
      <c r="A60" s="34" t="s">
        <v>62</v>
      </c>
      <c r="B60" s="35">
        <f>IF(8909.05297="","-",8909.05297)</f>
        <v>8909.05297</v>
      </c>
      <c r="C60" s="35">
        <f>IF(OR(7047.92868="",8909.05297=""),"-",8909.05297/7047.92868*100)</f>
        <v>126.40668449556445</v>
      </c>
      <c r="D60" s="35">
        <f>IF(7047.92868="","-",7047.92868/4177554.78501*100)</f>
        <v>0.16870942555414337</v>
      </c>
      <c r="E60" s="35">
        <f>IF(8909.05297="","-",8909.05297/4272305.71982*100)</f>
        <v>0.20853032423848533</v>
      </c>
      <c r="F60" s="50">
        <f>IF(OR(3438760.41277="",6429.62398="",7047.92868=""),"-",(7047.92868-6429.62398)/3438760.41277*100)</f>
        <v>0.017980453005795226</v>
      </c>
      <c r="G60" s="50">
        <f>IF(OR(4177554.78501="",8909.05297="",7047.92868=""),"-",(8909.05297-7047.92868)/4177554.78501*100)</f>
        <v>0.04455056572036183</v>
      </c>
    </row>
    <row r="61" spans="1:7" s="9" customFormat="1" ht="15.75">
      <c r="A61" s="34" t="s">
        <v>63</v>
      </c>
      <c r="B61" s="35">
        <f>IF(7989.67892="","-",7989.67892)</f>
        <v>7989.67892</v>
      </c>
      <c r="C61" s="35">
        <f>IF(OR(10581.5056="",7989.67892=""),"-",7989.67892/10581.5056*100)</f>
        <v>75.50606900401773</v>
      </c>
      <c r="D61" s="35">
        <f>IF(10581.5056="","-",10581.5056/4177554.78501*100)</f>
        <v>0.2532942389641138</v>
      </c>
      <c r="E61" s="35">
        <f>IF(7989.67892="","-",7989.67892/4272305.71982*100)</f>
        <v>0.18701093610727415</v>
      </c>
      <c r="F61" s="50">
        <f>IF(OR(3438760.41277="",6745.21408="",10581.5056=""),"-",(10581.5056-6745.21408)/3438760.41277*100)</f>
        <v>0.11156030253674405</v>
      </c>
      <c r="G61" s="50">
        <f>IF(OR(4177554.78501="",7989.67892="",10581.5056=""),"-",(7989.67892-10581.5056)/4177554.78501*100)</f>
        <v>-0.062041716108668474</v>
      </c>
    </row>
    <row r="62" spans="1:7" s="9" customFormat="1" ht="15.75">
      <c r="A62" s="34" t="s">
        <v>72</v>
      </c>
      <c r="B62" s="35">
        <f>IF(7537.18585="","-",7537.18585)</f>
        <v>7537.18585</v>
      </c>
      <c r="C62" s="35">
        <f>IF(OR(8492.69921="",7537.18585=""),"-",7537.18585/8492.69921*100)</f>
        <v>88.74900268603766</v>
      </c>
      <c r="D62" s="35">
        <f>IF(8492.69921="","-",8492.69921/4177554.78501*100)</f>
        <v>0.20329354483808812</v>
      </c>
      <c r="E62" s="35">
        <f>IF(7537.18585="","-",7537.18585/4272305.71982*100)</f>
        <v>0.17641962781440546</v>
      </c>
      <c r="F62" s="50">
        <f>IF(OR(3438760.41277="",6520.40826="",8492.69921=""),"-",(8492.69921-6520.40826)/3438760.41277*100)</f>
        <v>0.05735470673315316</v>
      </c>
      <c r="G62" s="50">
        <f>IF(OR(4177554.78501="",7537.18585="",8492.69921=""),"-",(7537.18585-8492.69921)/4177554.78501*100)</f>
        <v>-0.022872551269192114</v>
      </c>
    </row>
    <row r="63" spans="1:7" s="9" customFormat="1" ht="15.75">
      <c r="A63" s="34" t="s">
        <v>85</v>
      </c>
      <c r="B63" s="35">
        <f>IF(7487.02015="","-",7487.02015)</f>
        <v>7487.02015</v>
      </c>
      <c r="C63" s="35">
        <f>IF(OR(8165.6605="",7487.02015=""),"-",7487.02015/8165.6605*100)</f>
        <v>91.68909422575186</v>
      </c>
      <c r="D63" s="35">
        <f>IF(8165.6605="","-",8165.6605/4177554.78501*100)</f>
        <v>0.195465072757399</v>
      </c>
      <c r="E63" s="35">
        <f>IF(7487.02015="","-",7487.02015/4272305.71982*100)</f>
        <v>0.17524542111456018</v>
      </c>
      <c r="F63" s="50">
        <f>IF(OR(3438760.41277="",3847.41678="",8165.6605=""),"-",(8165.6605-3847.41678)/3438760.41277*100)</f>
        <v>0.1255755912498003</v>
      </c>
      <c r="G63" s="50">
        <f>IF(OR(4177554.78501="",7487.02015="",8165.6605=""),"-",(7487.02015-8165.6605)/4177554.78501*100)</f>
        <v>-0.016244918018433006</v>
      </c>
    </row>
    <row r="64" spans="1:7" s="9" customFormat="1" ht="15.75">
      <c r="A64" s="34" t="s">
        <v>84</v>
      </c>
      <c r="B64" s="35">
        <f>IF(7212.62771="","-",7212.62771)</f>
        <v>7212.62771</v>
      </c>
      <c r="C64" s="35">
        <f>IF(OR(7001.12868="",7212.62771=""),"-",7212.62771/7001.12868*100)</f>
        <v>103.02092761991628</v>
      </c>
      <c r="D64" s="35">
        <f>IF(7001.12868="","-",7001.12868/4177554.78501*100)</f>
        <v>0.16758915299259783</v>
      </c>
      <c r="E64" s="35">
        <f>IF(7212.62771="","-",7212.62771/4272305.71982*100)</f>
        <v>0.16882283673051093</v>
      </c>
      <c r="F64" s="50">
        <f>IF(OR(3438760.41277="",5165.75836="",7001.12868=""),"-",(7001.12868-5165.75836)/3438760.41277*100)</f>
        <v>0.05337302108004574</v>
      </c>
      <c r="G64" s="50">
        <f>IF(OR(4177554.78501="",7212.62771="",7001.12868=""),"-",(7212.62771-7001.12868)/4177554.78501*100)</f>
        <v>0.005062747010737135</v>
      </c>
    </row>
    <row r="65" spans="1:7" s="9" customFormat="1" ht="15.75">
      <c r="A65" s="34" t="s">
        <v>64</v>
      </c>
      <c r="B65" s="35">
        <f>IF(6411.65153="","-",6411.65153)</f>
        <v>6411.65153</v>
      </c>
      <c r="C65" s="35">
        <f>IF(OR(5656.62126="",6411.65153=""),"-",6411.65153/5656.62126*100)</f>
        <v>113.34772535221849</v>
      </c>
      <c r="D65" s="35">
        <f>IF(5656.62126="","-",5656.62126/4177554.78501*100)</f>
        <v>0.1354050766801963</v>
      </c>
      <c r="E65" s="35">
        <f>IF(6411.65153="","-",6411.65153/4272305.71982*100)</f>
        <v>0.15007473599689242</v>
      </c>
      <c r="F65" s="50">
        <f>IF(OR(3438760.41277="",6846.94399="",5656.62126=""),"-",(5656.62126-6846.94399)/3438760.41277*100)</f>
        <v>-0.034614878244488334</v>
      </c>
      <c r="G65" s="50">
        <f>IF(OR(4177554.78501="",6411.65153="",5656.62126=""),"-",(6411.65153-5656.62126)/4177554.78501*100)</f>
        <v>0.018073497748233427</v>
      </c>
    </row>
    <row r="66" spans="1:7" s="9" customFormat="1" ht="15.75">
      <c r="A66" s="34" t="s">
        <v>87</v>
      </c>
      <c r="B66" s="35">
        <f>IF(6372.94861="","-",6372.94861)</f>
        <v>6372.94861</v>
      </c>
      <c r="C66" s="35">
        <f>IF(OR(4422.77259="",6372.94861=""),"-",6372.94861/4422.77259*100)</f>
        <v>144.09397002254644</v>
      </c>
      <c r="D66" s="35">
        <f>IF(4422.77259="","-",4422.77259/4177554.78501*100)</f>
        <v>0.10586988843018638</v>
      </c>
      <c r="E66" s="35">
        <f>IF(6372.94861="","-",6372.94861/4272305.71982*100)</f>
        <v>0.14916883359809052</v>
      </c>
      <c r="F66" s="50">
        <f>IF(OR(3438760.41277="",2686.20434="",4422.77259=""),"-",(4422.77259-2686.20434)/3438760.41277*100)</f>
        <v>0.05049983254288875</v>
      </c>
      <c r="G66" s="50">
        <f>IF(OR(4177554.78501="",6372.94861="",4422.77259=""),"-",(6372.94861-4422.77259)/4177554.78501*100)</f>
        <v>0.04668223686730975</v>
      </c>
    </row>
    <row r="67" spans="1:7" s="9" customFormat="1" ht="15.75">
      <c r="A67" s="34" t="s">
        <v>79</v>
      </c>
      <c r="B67" s="35">
        <f>IF(6184.70243="","-",6184.70243)</f>
        <v>6184.70243</v>
      </c>
      <c r="C67" s="35">
        <f>IF(OR(5917.75942="",6184.70243=""),"-",6184.70243/5917.75942*100)</f>
        <v>104.51087972751687</v>
      </c>
      <c r="D67" s="35">
        <f>IF(5917.75942="","-",5917.75942/4177554.78501*100)</f>
        <v>0.14165605777892473</v>
      </c>
      <c r="E67" s="35">
        <f>IF(6184.70243="","-",6184.70243/4272305.71982*100)</f>
        <v>0.1447626372173706</v>
      </c>
      <c r="F67" s="50">
        <f>IF(OR(3438760.41277="",5336.56736="",5917.75942=""),"-",(5917.75942-5336.56736)/3438760.41277*100)</f>
        <v>0.016901208291270193</v>
      </c>
      <c r="G67" s="50">
        <f>IF(OR(4177554.78501="",6184.70243="",5917.75942=""),"-",(6184.70243-5917.75942)/4177554.78501*100)</f>
        <v>0.0063899343931491</v>
      </c>
    </row>
    <row r="68" spans="1:7" s="9" customFormat="1" ht="15.75">
      <c r="A68" s="34" t="s">
        <v>86</v>
      </c>
      <c r="B68" s="35">
        <f>IF(5304.50527="","-",5304.50527)</f>
        <v>5304.50527</v>
      </c>
      <c r="C68" s="35">
        <f>IF(OR(4474.2832="",5304.50527=""),"-",5304.50527/4474.2832*100)</f>
        <v>118.55542067609845</v>
      </c>
      <c r="D68" s="35">
        <f>IF(4474.2832="","-",4474.2832/4177554.78501*100)</f>
        <v>0.1071029209731666</v>
      </c>
      <c r="E68" s="35">
        <f>IF(5304.50527="","-",5304.50527/4272305.71982*100)</f>
        <v>0.12416024549440453</v>
      </c>
      <c r="F68" s="50">
        <f>IF(OR(3438760.41277="",2977.00458="",4474.2832=""),"-",(4474.2832-2977.00458)/3438760.41277*100)</f>
        <v>0.04354123114945097</v>
      </c>
      <c r="G68" s="50">
        <f>IF(OR(4177554.78501="",5304.50527="",4474.2832=""),"-",(5304.50527-4474.2832)/4177554.78501*100)</f>
        <v>0.019873397542960348</v>
      </c>
    </row>
    <row r="69" spans="1:7" s="9" customFormat="1" ht="15.75">
      <c r="A69" s="34" t="s">
        <v>75</v>
      </c>
      <c r="B69" s="35">
        <f>IF(4830.65903="","-",4830.65903)</f>
        <v>4830.65903</v>
      </c>
      <c r="C69" s="35">
        <f>IF(OR(3449.81933="",4830.65903=""),"-",4830.65903/3449.81933*100)</f>
        <v>140.02643523943615</v>
      </c>
      <c r="D69" s="35">
        <f>IF(3449.81933="","-",3449.81933/4177554.78501*100)</f>
        <v>0.08257987046342809</v>
      </c>
      <c r="E69" s="35">
        <f>IF(4830.65903="","-",4830.65903/4272305.71982*100)</f>
        <v>0.113069132847626</v>
      </c>
      <c r="F69" s="50">
        <f>IF(OR(3438760.41277="",2077.22059="",3449.81933=""),"-",(3449.81933-2077.22059)/3438760.41277*100)</f>
        <v>0.03991550952205886</v>
      </c>
      <c r="G69" s="50">
        <f>IF(OR(4177554.78501="",4830.65903="",3449.81933=""),"-",(4830.65903-3449.81933)/4177554.78501*100)</f>
        <v>0.0330537783718543</v>
      </c>
    </row>
    <row r="70" spans="1:7" s="9" customFormat="1" ht="15.75">
      <c r="A70" s="34" t="s">
        <v>69</v>
      </c>
      <c r="B70" s="35">
        <f>IF(4509.9408="","-",4509.9408)</f>
        <v>4509.9408</v>
      </c>
      <c r="C70" s="35">
        <f>IF(OR(6112.76968="",4509.9408=""),"-",4509.9408/6112.76968*100)</f>
        <v>73.77900748912235</v>
      </c>
      <c r="D70" s="35">
        <f>IF(6112.76968="","-",6112.76968/4177554.78501*100)</f>
        <v>0.14632410571691323</v>
      </c>
      <c r="E70" s="35">
        <f>IF(4509.9408="","-",4509.9408/4272305.71982*100)</f>
        <v>0.10556222086536475</v>
      </c>
      <c r="F70" s="50">
        <f>IF(OR(3438760.41277="",4227.45676="",6112.76968=""),"-",(6112.76968-4227.45676)/3438760.41277*100)</f>
        <v>0.05482536419224792</v>
      </c>
      <c r="G70" s="50">
        <f>IF(OR(4177554.78501="",4509.9408="",6112.76968=""),"-",(4509.9408-6112.76968)/4177554.78501*100)</f>
        <v>-0.038367632801640524</v>
      </c>
    </row>
    <row r="71" spans="1:7" s="9" customFormat="1" ht="15.75">
      <c r="A71" s="34" t="s">
        <v>66</v>
      </c>
      <c r="B71" s="35">
        <f>IF(4352.18158="","-",4352.18158)</f>
        <v>4352.18158</v>
      </c>
      <c r="C71" s="35">
        <f>IF(OR(3908.20245="",4352.18158=""),"-",4352.18158/3908.20245*100)</f>
        <v>111.3601875972418</v>
      </c>
      <c r="D71" s="35">
        <f>IF(3908.20245="","-",3908.20245/4177554.78501*100)</f>
        <v>0.09355239251495884</v>
      </c>
      <c r="E71" s="35">
        <f>IF(4352.18158="","-",4352.18158/4272305.71982*100)</f>
        <v>0.10186961948461322</v>
      </c>
      <c r="F71" s="50">
        <f>IF(OR(3438760.41277="",3949.67139="",3908.20245=""),"-",(3908.20245-3949.67139)/3438760.41277*100)</f>
        <v>-0.001205926991773049</v>
      </c>
      <c r="G71" s="50">
        <f>IF(OR(4177554.78501="",4352.18158="",3908.20245=""),"-",(4352.18158-3908.20245)/4177554.78501*100)</f>
        <v>0.010627727291407318</v>
      </c>
    </row>
    <row r="72" spans="1:7" s="9" customFormat="1" ht="15.75">
      <c r="A72" s="34" t="s">
        <v>76</v>
      </c>
      <c r="B72" s="35">
        <f>IF(3693.95149="","-",3693.95149)</f>
        <v>3693.95149</v>
      </c>
      <c r="C72" s="35">
        <f>IF(OR(3546.65203="",3693.95149=""),"-",3693.95149/3546.65203*100)</f>
        <v>104.15319740290394</v>
      </c>
      <c r="D72" s="35">
        <f>IF(3546.65203="","-",3546.65203/4177554.78501*100)</f>
        <v>0.08489779817433346</v>
      </c>
      <c r="E72" s="35">
        <f>IF(3693.95149="","-",3693.95149/4272305.71982*100)</f>
        <v>0.08646271433392722</v>
      </c>
      <c r="F72" s="50">
        <f>IF(OR(3438760.41277="",1200.67475="",3546.65203=""),"-",(3546.65203-1200.67475)/3438760.41277*100)</f>
        <v>0.06822159727348559</v>
      </c>
      <c r="G72" s="50">
        <f>IF(OR(4177554.78501="",3693.95149="",3546.65203=""),"-",(3693.95149-3546.65203)/4177554.78501*100)</f>
        <v>0.0035259731488990424</v>
      </c>
    </row>
    <row r="73" spans="1:7" s="9" customFormat="1" ht="15.75">
      <c r="A73" s="34" t="s">
        <v>166</v>
      </c>
      <c r="B73" s="35">
        <f>IF(3631.2559="","-",3631.2559)</f>
        <v>3631.2559</v>
      </c>
      <c r="C73" s="35">
        <f>IF(OR(3486.76391="",3631.2559=""),"-",3631.2559/3486.76391*100)</f>
        <v>104.14401415552108</v>
      </c>
      <c r="D73" s="35">
        <f>IF(3486.76391="","-",3486.76391/4177554.78501*100)</f>
        <v>0.08346422942222775</v>
      </c>
      <c r="E73" s="35">
        <f>IF(3631.2559="","-",3631.2559/4272305.71982*100)</f>
        <v>0.08499522595384376</v>
      </c>
      <c r="F73" s="50">
        <f>IF(OR(3438760.41277="",6205.87069="",3486.76391=""),"-",(3486.76391-6205.87069)/3438760.41277*100)</f>
        <v>-0.07907229506023356</v>
      </c>
      <c r="G73" s="50">
        <f>IF(OR(4177554.78501="",3631.2559="",3486.76391=""),"-",(3631.2559-3486.76391)/4177554.78501*100)</f>
        <v>0.0034587694820537008</v>
      </c>
    </row>
    <row r="74" spans="1:7" s="9" customFormat="1" ht="15.75">
      <c r="A74" s="34" t="s">
        <v>82</v>
      </c>
      <c r="B74" s="35">
        <f>IF(3344.57664="","-",3344.57664)</f>
        <v>3344.57664</v>
      </c>
      <c r="C74" s="35">
        <f>IF(OR(4465.70827="",3344.57664=""),"-",3344.57664/4465.70827*100)</f>
        <v>74.89465136960234</v>
      </c>
      <c r="D74" s="35">
        <f>IF(4465.70827="","-",4465.70827/4177554.78501*100)</f>
        <v>0.10689765903307742</v>
      </c>
      <c r="E74" s="35">
        <f>IF(3344.57664="","-",3344.57664/4272305.71982*100)</f>
        <v>0.07828504932322383</v>
      </c>
      <c r="F74" s="50">
        <f>IF(OR(3438760.41277="",4881.26929="",4465.70827=""),"-",(4465.70827-4881.26929)/3438760.41277*100)</f>
        <v>-0.012084616842068862</v>
      </c>
      <c r="G74" s="50">
        <f>IF(OR(4177554.78501="",3344.57664="",4465.70827=""),"-",(3344.57664-4465.70827)/4177554.78501*100)</f>
        <v>-0.026837029977987852</v>
      </c>
    </row>
    <row r="75" spans="1:7" s="9" customFormat="1" ht="15.75">
      <c r="A75" s="34" t="s">
        <v>83</v>
      </c>
      <c r="B75" s="35">
        <f>IF(3064.53179="","-",3064.53179)</f>
        <v>3064.53179</v>
      </c>
      <c r="C75" s="35">
        <f>IF(OR(3914.96349="",3064.53179=""),"-",3064.53179/3914.96349*100)</f>
        <v>78.27740406335181</v>
      </c>
      <c r="D75" s="35">
        <f>IF(3914.96349="","-",3914.96349/4177554.78501*100)</f>
        <v>0.09371423455768345</v>
      </c>
      <c r="E75" s="35">
        <f>IF(3064.53179="","-",3064.53179/4272305.71982*100)</f>
        <v>0.07173016143912833</v>
      </c>
      <c r="F75" s="50">
        <f>IF(OR(3438760.41277="",4213.66389="",3914.96349=""),"-",(3914.96349-4213.66389)/3438760.41277*100)</f>
        <v>-0.008686281221883375</v>
      </c>
      <c r="G75" s="50">
        <f>IF(OR(4177554.78501="",3064.53179="",3914.96349=""),"-",(3064.53179-3914.96349)/4177554.78501*100)</f>
        <v>-0.020357164508088298</v>
      </c>
    </row>
    <row r="76" spans="1:7" s="9" customFormat="1" ht="15.75">
      <c r="A76" s="34" t="s">
        <v>40</v>
      </c>
      <c r="B76" s="35">
        <f>IF(2909.8371="","-",2909.8371)</f>
        <v>2909.8371</v>
      </c>
      <c r="C76" s="35">
        <f>IF(OR(3570.37342="",2909.8371=""),"-",2909.8371/3570.37342*100)</f>
        <v>81.49951721296425</v>
      </c>
      <c r="D76" s="35">
        <f>IF(3570.37342="","-",3570.37342/4177554.78501*100)</f>
        <v>0.08546562771148561</v>
      </c>
      <c r="E76" s="35">
        <f>IF(2909.8371="","-",2909.8371/4272305.71982*100)</f>
        <v>0.06810929017791818</v>
      </c>
      <c r="F76" s="50">
        <f>IF(OR(3438760.41277="",2053.50215="",3570.37342=""),"-",(3570.37342-2053.50215)/3438760.41277*100)</f>
        <v>0.04411099023843088</v>
      </c>
      <c r="G76" s="50">
        <f>IF(OR(4177554.78501="",2909.8371="",3570.37342=""),"-",(2909.8371-3570.37342)/4177554.78501*100)</f>
        <v>-0.01581155374359545</v>
      </c>
    </row>
    <row r="77" spans="1:7" s="9" customFormat="1" ht="15.75">
      <c r="A77" s="34" t="s">
        <v>88</v>
      </c>
      <c r="B77" s="35">
        <f>IF(2828.03669="","-",2828.03669)</f>
        <v>2828.03669</v>
      </c>
      <c r="C77" s="35" t="s">
        <v>195</v>
      </c>
      <c r="D77" s="35">
        <f>IF(1318.14294="","-",1318.14294/4177554.78501*100)</f>
        <v>0.03155297794608921</v>
      </c>
      <c r="E77" s="35">
        <f>IF(2828.03669="","-",2828.03669/4272305.71982*100)</f>
        <v>0.06619462359353698</v>
      </c>
      <c r="F77" s="50">
        <f>IF(OR(3438760.41277="",1173.21863="",1318.14294=""),"-",(1318.14294-1173.21863)/3438760.41277*100)</f>
        <v>0.00421443463934901</v>
      </c>
      <c r="G77" s="50">
        <f>IF(OR(4177554.78501="",2828.03669="",1318.14294=""),"-",(2828.03669-1318.14294)/4177554.78501*100)</f>
        <v>0.036143002969532226</v>
      </c>
    </row>
    <row r="78" spans="1:7" s="9" customFormat="1" ht="15.75">
      <c r="A78" s="34" t="s">
        <v>59</v>
      </c>
      <c r="B78" s="35">
        <f>IF(2225.47644="","-",2225.47644)</f>
        <v>2225.47644</v>
      </c>
      <c r="C78" s="35">
        <f>IF(OR(2168.54234="",2225.47644=""),"-",2225.47644/2168.54234*100)</f>
        <v>102.62545484816312</v>
      </c>
      <c r="D78" s="35">
        <f>IF(2168.54234="","-",2168.54234/4177554.78501*100)</f>
        <v>0.05190936927461046</v>
      </c>
      <c r="E78" s="35">
        <f>IF(2225.47644="","-",2225.47644/4272305.71982*100)</f>
        <v>0.052090758151403155</v>
      </c>
      <c r="F78" s="50">
        <f>IF(OR(3438760.41277="",1563.97611="",2168.54234=""),"-",(2168.54234-1563.97611)/3438760.41277*100)</f>
        <v>0.01758093491349134</v>
      </c>
      <c r="G78" s="50">
        <f>IF(OR(4177554.78501="",2225.47644="",2168.54234=""),"-",(2225.47644-2168.54234)/4177554.78501*100)</f>
        <v>0.0013628570522711567</v>
      </c>
    </row>
    <row r="79" spans="1:7" s="9" customFormat="1" ht="15.75">
      <c r="A79" s="34" t="s">
        <v>38</v>
      </c>
      <c r="B79" s="35">
        <f>IF(2190.54262="","-",2190.54262)</f>
        <v>2190.54262</v>
      </c>
      <c r="C79" s="35" t="s">
        <v>178</v>
      </c>
      <c r="D79" s="35">
        <f>IF(1152.84551="","-",1152.84551/4177554.78501*100)</f>
        <v>0.027596179328076495</v>
      </c>
      <c r="E79" s="35">
        <f>IF(2190.54262="","-",2190.54262/4272305.71982*100)</f>
        <v>0.05127307743539223</v>
      </c>
      <c r="F79" s="50">
        <f>IF(OR(3438760.41277="",543.50045="",1152.84551=""),"-",(1152.84551-543.50045)/3438760.41277*100)</f>
        <v>0.01771990446723675</v>
      </c>
      <c r="G79" s="50">
        <f>IF(OR(4177554.78501="",2190.54262="",1152.84551=""),"-",(2190.54262-1152.84551)/4177554.78501*100)</f>
        <v>0.02483982050273737</v>
      </c>
    </row>
    <row r="80" spans="1:7" s="9" customFormat="1" ht="15.75">
      <c r="A80" s="34" t="s">
        <v>144</v>
      </c>
      <c r="B80" s="35">
        <f>IF(2171.16507="","-",2171.16507)</f>
        <v>2171.16507</v>
      </c>
      <c r="C80" s="35" t="s">
        <v>214</v>
      </c>
      <c r="D80" s="35">
        <f>IF(791.38275="","-",791.38275/4177554.78501*100)</f>
        <v>0.018943683344133704</v>
      </c>
      <c r="E80" s="35">
        <f>IF(2171.16507="","-",2171.16507/4272305.71982*100)</f>
        <v>0.050819515558719774</v>
      </c>
      <c r="F80" s="50">
        <f>IF(OR(3438760.41277="",481.91293="",791.38275=""),"-",(791.38275-481.91293)/3438760.41277*100)</f>
        <v>0.008999458608711706</v>
      </c>
      <c r="G80" s="50">
        <f>IF(OR(4177554.78501="",2171.16507="",791.38275=""),"-",(2171.16507-791.38275)/4177554.78501*100)</f>
        <v>0.033028467393197744</v>
      </c>
    </row>
    <row r="81" spans="1:7" s="9" customFormat="1" ht="15.75">
      <c r="A81" s="34" t="s">
        <v>39</v>
      </c>
      <c r="B81" s="35">
        <f>IF(2161.88203="","-",2161.88203)</f>
        <v>2161.88203</v>
      </c>
      <c r="C81" s="35" t="s">
        <v>135</v>
      </c>
      <c r="D81" s="35">
        <f>IF(1434.67608="","-",1434.67608/4177554.78501*100)</f>
        <v>0.034342483913028216</v>
      </c>
      <c r="E81" s="35">
        <f>IF(2161.88203="","-",2161.88203/4272305.71982*100)</f>
        <v>0.05060223148288845</v>
      </c>
      <c r="F81" s="50">
        <f>IF(OR(3438760.41277="",678.7114="",1434.67608=""),"-",(1434.67608-678.7114)/3438760.41277*100)</f>
        <v>0.021983639139053983</v>
      </c>
      <c r="G81" s="50">
        <f>IF(OR(4177554.78501="",2161.88203="",1434.67608=""),"-",(2161.88203-1434.67608)/4177554.78501*100)</f>
        <v>0.01740745453798422</v>
      </c>
    </row>
    <row r="82" spans="1:7" s="9" customFormat="1" ht="15.75">
      <c r="A82" s="34" t="s">
        <v>89</v>
      </c>
      <c r="B82" s="35">
        <f>IF(2018.21889="","-",2018.21889)</f>
        <v>2018.21889</v>
      </c>
      <c r="C82" s="35">
        <f>IF(OR(2041.65317="",2018.21889=""),"-",2018.21889/2041.65317*100)</f>
        <v>98.85219094289164</v>
      </c>
      <c r="D82" s="35">
        <f>IF(2041.65317="","-",2041.65317/4177554.78501*100)</f>
        <v>0.04887196637913422</v>
      </c>
      <c r="E82" s="35">
        <f>IF(2018.21889="","-",2018.21889/4272305.71982*100)</f>
        <v>0.04723957090985126</v>
      </c>
      <c r="F82" s="50">
        <f>IF(OR(3438760.41277="",2749.5368="",2041.65317=""),"-",(2041.65317-2749.5368)/3438760.41277*100)</f>
        <v>-0.020585430359476062</v>
      </c>
      <c r="G82" s="50">
        <f>IF(OR(4177554.78501="",2018.21889="",2041.65317=""),"-",(2018.21889-2041.65317)/4177554.78501*100)</f>
        <v>-0.0005609568564866552</v>
      </c>
    </row>
    <row r="83" spans="1:7" s="9" customFormat="1" ht="15.75">
      <c r="A83" s="34" t="s">
        <v>90</v>
      </c>
      <c r="B83" s="35">
        <f>IF(2013.67748="","-",2013.67748)</f>
        <v>2013.67748</v>
      </c>
      <c r="C83" s="35">
        <f>IF(OR(3729.83188="",2013.67748=""),"-",2013.67748/3729.83188*100)</f>
        <v>53.988424808037195</v>
      </c>
      <c r="D83" s="35">
        <f>IF(3729.83188="","-",3729.83188/4177554.78501*100)</f>
        <v>0.08928265628935544</v>
      </c>
      <c r="E83" s="35">
        <f>IF(2013.67748="","-",2013.67748/4272305.71982*100)</f>
        <v>0.04713327210312186</v>
      </c>
      <c r="F83" s="50">
        <f>IF(OR(3438760.41277="",1573.44881="",3729.83188=""),"-",(3729.83188-1573.44881)/3438760.41277*100)</f>
        <v>0.062708150936953</v>
      </c>
      <c r="G83" s="50">
        <f>IF(OR(4177554.78501="",2013.67748="",3729.83188=""),"-",(2013.67748-3729.83188)/4177554.78501*100)</f>
        <v>-0.04108035653195849</v>
      </c>
    </row>
    <row r="84" spans="1:7" s="9" customFormat="1" ht="15.75">
      <c r="A84" s="34" t="s">
        <v>93</v>
      </c>
      <c r="B84" s="35">
        <f>IF(1929.67627="","-",1929.67627)</f>
        <v>1929.67627</v>
      </c>
      <c r="C84" s="35">
        <f>IF(OR(1416.81719="",1929.67627=""),"-",1929.67627/1416.81719*100)</f>
        <v>136.19797131343387</v>
      </c>
      <c r="D84" s="35">
        <f>IF(1416.81719="","-",1416.81719/4177554.78501*100)</f>
        <v>0.033914987664167964</v>
      </c>
      <c r="E84" s="35">
        <f>IF(1929.67627="","-",1929.67627/4272305.71982*100)</f>
        <v>0.045167092351277256</v>
      </c>
      <c r="F84" s="50">
        <f>IF(OR(3438760.41277="",1459.98467="",1416.81719=""),"-",(1416.81719-1459.98467)/3438760.41277*100)</f>
        <v>-0.0012553209534370462</v>
      </c>
      <c r="G84" s="50">
        <f>IF(OR(4177554.78501="",1929.67627="",1416.81719=""),"-",(1929.67627-1416.81719)/4177554.78501*100)</f>
        <v>0.012276537505630158</v>
      </c>
    </row>
    <row r="85" spans="1:7" s="9" customFormat="1" ht="15.75">
      <c r="A85" s="34" t="s">
        <v>163</v>
      </c>
      <c r="B85" s="35">
        <f>IF(1766.99925="","-",1766.99925)</f>
        <v>1766.99925</v>
      </c>
      <c r="C85" s="35">
        <f>IF(OR(1423.83042="",1766.99925=""),"-",1766.99925/1423.83042*100)</f>
        <v>124.10180490454756</v>
      </c>
      <c r="D85" s="35">
        <f>IF(1423.83042="","-",1423.83042/4177554.78501*100)</f>
        <v>0.034082866491877535</v>
      </c>
      <c r="E85" s="35">
        <f>IF(1766.99925="","-",1766.99925/4272305.71982*100)</f>
        <v>0.04135938216693086</v>
      </c>
      <c r="F85" s="50">
        <f>IF(OR(3438760.41277="",864.11014="",1423.83042=""),"-",(1423.83042-864.11014)/3438760.41277*100)</f>
        <v>0.016276803638934894</v>
      </c>
      <c r="G85" s="50">
        <f>IF(OR(4177554.78501="",1766.99925="",1423.83042=""),"-",(1766.99925-1423.83042)/4177554.78501*100)</f>
        <v>0.008214585987749734</v>
      </c>
    </row>
    <row r="86" spans="1:7" s="9" customFormat="1" ht="15.75">
      <c r="A86" s="34" t="s">
        <v>68</v>
      </c>
      <c r="B86" s="35">
        <f>IF(1297.58842="","-",1297.58842)</f>
        <v>1297.58842</v>
      </c>
      <c r="C86" s="35">
        <f>IF(OR(1310.50586="",1297.58842=""),"-",1297.58842/1310.50586*100)</f>
        <v>99.01431650217879</v>
      </c>
      <c r="D86" s="35">
        <f>IF(1310.50586="","-",1310.50586/4177554.78501*100)</f>
        <v>0.031370165741509554</v>
      </c>
      <c r="E86" s="35">
        <f>IF(1297.58842="","-",1297.58842/4272305.71982*100)</f>
        <v>0.03037208723102966</v>
      </c>
      <c r="F86" s="50">
        <f>IF(OR(3438760.41277="",1062.52261="",1310.50586=""),"-",(1310.50586-1062.52261)/3438760.41277*100)</f>
        <v>0.007211414004857752</v>
      </c>
      <c r="G86" s="50">
        <f>IF(OR(4177554.78501="",1297.58842="",1310.50586=""),"-",(1297.58842-1310.50586)/4177554.78501*100)</f>
        <v>-0.00030921054695322254</v>
      </c>
    </row>
    <row r="87" spans="1:7" s="9" customFormat="1" ht="15.75">
      <c r="A87" s="34" t="s">
        <v>74</v>
      </c>
      <c r="B87" s="35">
        <f>IF(1098.10668="","-",1098.10668)</f>
        <v>1098.10668</v>
      </c>
      <c r="C87" s="35">
        <f>IF(OR(1761.96461="",1098.10668=""),"-",1098.10668/1761.96461*100)</f>
        <v>62.322856757037826</v>
      </c>
      <c r="D87" s="35">
        <f>IF(1761.96461="","-",1761.96461/4177554.78501*100)</f>
        <v>0.04217693604695078</v>
      </c>
      <c r="E87" s="35">
        <f>IF(1098.10668="","-",1098.10668/4272305.71982*100)</f>
        <v>0.025702904988884206</v>
      </c>
      <c r="F87" s="50">
        <f>IF(OR(3438760.41277="",1289.85186="",1761.96461=""),"-",(1761.96461-1289.85186)/3438760.41277*100)</f>
        <v>0.013729155082941718</v>
      </c>
      <c r="G87" s="50">
        <f>IF(OR(4177554.78501="",1098.10668="",1761.96461=""),"-",(1098.10668-1761.96461)/4177554.78501*100)</f>
        <v>-0.015891064609902195</v>
      </c>
    </row>
    <row r="88" spans="1:7" s="9" customFormat="1" ht="15.75">
      <c r="A88" s="34" t="s">
        <v>91</v>
      </c>
      <c r="B88" s="35">
        <f>IF(960.80737="","-",960.80737)</f>
        <v>960.80737</v>
      </c>
      <c r="C88" s="35">
        <f>IF(OR(973.72006="",960.80737=""),"-",960.80737/973.72006*100)</f>
        <v>98.67388066340135</v>
      </c>
      <c r="D88" s="35">
        <f>IF(973.72006="","-",973.72006/4177554.78501*100)</f>
        <v>0.02330837320180516</v>
      </c>
      <c r="E88" s="35">
        <f>IF(960.80737="","-",960.80737/4272305.71982*100)</f>
        <v>0.02248919981411069</v>
      </c>
      <c r="F88" s="50">
        <f>IF(OR(3438760.41277="",787.94297="",973.72006=""),"-",(973.72006-787.94297)/3438760.41277*100)</f>
        <v>0.005402443546520659</v>
      </c>
      <c r="G88" s="50">
        <f>IF(OR(4177554.78501="",960.80737="",973.72006=""),"-",(960.80737-973.72006)/4177554.78501*100)</f>
        <v>-0.00030909684407571657</v>
      </c>
    </row>
    <row r="89" spans="1:7" s="9" customFormat="1" ht="15.75">
      <c r="A89" s="34" t="s">
        <v>102</v>
      </c>
      <c r="B89" s="35">
        <f>IF(924.08708="","-",924.08708)</f>
        <v>924.08708</v>
      </c>
      <c r="C89" s="35">
        <f>IF(OR(874.95651="",924.08708=""),"-",924.08708/874.95651*100)</f>
        <v>105.61520137726616</v>
      </c>
      <c r="D89" s="35">
        <f>IF(874.95651="","-",874.95651/4177554.78501*100)</f>
        <v>0.02094422586962927</v>
      </c>
      <c r="E89" s="35">
        <f>IF(924.08708="","-",924.08708/4272305.71982*100)</f>
        <v>0.021629703972564338</v>
      </c>
      <c r="F89" s="50">
        <f>IF(OR(3438760.41277="",89.98773="",874.95651=""),"-",(874.95651-89.98773)/3438760.41277*100)</f>
        <v>0.02282708551270339</v>
      </c>
      <c r="G89" s="50">
        <f>IF(OR(4177554.78501="",924.08708="",874.95651=""),"-",(924.08708-874.95651)/4177554.78501*100)</f>
        <v>0.0011760604594891607</v>
      </c>
    </row>
    <row r="90" spans="1:7" s="9" customFormat="1" ht="15.75">
      <c r="A90" s="34" t="s">
        <v>98</v>
      </c>
      <c r="B90" s="35">
        <f>IF(885.15063="","-",885.15063)</f>
        <v>885.15063</v>
      </c>
      <c r="C90" s="35">
        <f>IF(OR(948.33138="",885.15063=""),"-",885.15063/948.33138*100)</f>
        <v>93.33769277992256</v>
      </c>
      <c r="D90" s="35">
        <f>IF(948.33138="","-",948.33138/4177554.78501*100)</f>
        <v>0.022700632997150028</v>
      </c>
      <c r="E90" s="35">
        <f>IF(885.15063="","-",885.15063/4272305.71982*100)</f>
        <v>0.020718335438721668</v>
      </c>
      <c r="F90" s="50">
        <f>IF(OR(3438760.41277="",528.95583="",948.33138=""),"-",(948.33138-528.95583)/3438760.41277*100)</f>
        <v>0.012195544314242685</v>
      </c>
      <c r="G90" s="50">
        <f>IF(OR(4177554.78501="",885.15063="",948.33138=""),"-",(885.15063-948.33138)/4177554.78501*100)</f>
        <v>-0.001512385911172407</v>
      </c>
    </row>
    <row r="91" spans="1:7" s="9" customFormat="1" ht="15.75">
      <c r="A91" s="34" t="s">
        <v>80</v>
      </c>
      <c r="B91" s="35">
        <f>IF(841.75996="","-",841.75996)</f>
        <v>841.75996</v>
      </c>
      <c r="C91" s="35">
        <f>IF(OR(829.93938="",841.75996=""),"-",841.75996/829.93938*100)</f>
        <v>101.42427028827092</v>
      </c>
      <c r="D91" s="35">
        <f>IF(829.93938="","-",829.93938/4177554.78501*100)</f>
        <v>0.019866630665814556</v>
      </c>
      <c r="E91" s="35">
        <f>IF(841.75996="","-",841.75996/4272305.71982*100)</f>
        <v>0.01970270891652072</v>
      </c>
      <c r="F91" s="50">
        <f>IF(OR(3438760.41277="",547.33885="",829.93938=""),"-",(829.93938-547.33885)/3438760.41277*100)</f>
        <v>0.008218093035808763</v>
      </c>
      <c r="G91" s="50">
        <f>IF(OR(4177554.78501="",841.75996="",829.93938=""),"-",(841.75996-829.93938)/4177554.78501*100)</f>
        <v>0.00028295451785371746</v>
      </c>
    </row>
    <row r="92" spans="1:7" s="9" customFormat="1" ht="15.75">
      <c r="A92" s="34" t="s">
        <v>160</v>
      </c>
      <c r="B92" s="35">
        <f>IF(707.95516="","-",707.95516)</f>
        <v>707.95516</v>
      </c>
      <c r="C92" s="35" t="s">
        <v>107</v>
      </c>
      <c r="D92" s="35">
        <f>IF(455.87154="","-",455.87154/4177554.78501*100)</f>
        <v>0.010912401236143423</v>
      </c>
      <c r="E92" s="35">
        <f>IF(707.95516="","-",707.95516/4272305.71982*100)</f>
        <v>0.01657079821595322</v>
      </c>
      <c r="F92" s="50">
        <f>IF(OR(3438760.41277="",613.41641="",455.87154=""),"-",(455.87154-613.41641)/3438760.41277*100)</f>
        <v>-0.0045814436334369124</v>
      </c>
      <c r="G92" s="50">
        <f>IF(OR(4177554.78501="",707.95516="",455.87154=""),"-",(707.95516-455.87154)/4177554.78501*100)</f>
        <v>0.006034238519253711</v>
      </c>
    </row>
    <row r="93" spans="1:7" s="9" customFormat="1" ht="15.75">
      <c r="A93" s="34" t="s">
        <v>95</v>
      </c>
      <c r="B93" s="35">
        <f>IF(667.33789="","-",667.33789)</f>
        <v>667.33789</v>
      </c>
      <c r="C93" s="35">
        <f>IF(OR(653.51461="",667.33789=""),"-",667.33789/653.51461*100)</f>
        <v>102.11522126490793</v>
      </c>
      <c r="D93" s="35">
        <f>IF(653.51461="","-",653.51461/4177554.78501*100)</f>
        <v>0.015643471926327725</v>
      </c>
      <c r="E93" s="35">
        <f>IF(667.33789="","-",667.33789/4272305.71982*100)</f>
        <v>0.015620087460129519</v>
      </c>
      <c r="F93" s="50">
        <f>IF(OR(3438760.41277="",693.88397="",653.51461=""),"-",(653.51461-693.88397)/3438760.41277*100)</f>
        <v>-0.0011739509344729717</v>
      </c>
      <c r="G93" s="50">
        <f>IF(OR(4177554.78501="",667.33789="",653.51461=""),"-",(667.33789-653.51461)/4177554.78501*100)</f>
        <v>0.0003308940447555849</v>
      </c>
    </row>
    <row r="94" spans="1:7" ht="15.75">
      <c r="A94" s="34" t="s">
        <v>99</v>
      </c>
      <c r="B94" s="35">
        <f>IF(608.21249="","-",608.21249)</f>
        <v>608.21249</v>
      </c>
      <c r="C94" s="35">
        <f>IF(OR(564.34018="",608.21249=""),"-",608.21249/564.34018*100)</f>
        <v>107.77408937991974</v>
      </c>
      <c r="D94" s="35">
        <f>IF(564.34018="","-",564.34018/4177554.78501*100)</f>
        <v>0.013508863654522942</v>
      </c>
      <c r="E94" s="35">
        <f>IF(608.21249="","-",608.21249/4272305.71982*100)</f>
        <v>0.014236164963064138</v>
      </c>
      <c r="F94" s="50">
        <f>IF(OR(3438760.41277="",203.70247="",564.34018=""),"-",(564.34018-203.70247)/3438760.41277*100)</f>
        <v>0.010487433455984744</v>
      </c>
      <c r="G94" s="50">
        <f>IF(OR(4177554.78501="",608.21249="",564.34018=""),"-",(608.21249-564.34018)/4177554.78501*100)</f>
        <v>0.0010501911347141064</v>
      </c>
    </row>
    <row r="95" spans="1:7" ht="15.75">
      <c r="A95" s="34" t="s">
        <v>94</v>
      </c>
      <c r="B95" s="35">
        <f>IF(475.08717="","-",475.08717)</f>
        <v>475.08717</v>
      </c>
      <c r="C95" s="35">
        <f>IF(OR(906.65954="",475.08717=""),"-",475.08717/906.65954*100)</f>
        <v>52.399732097894216</v>
      </c>
      <c r="D95" s="35">
        <f>IF(906.65954="","-",906.65954/4177554.78501*100)</f>
        <v>0.02170311549840823</v>
      </c>
      <c r="E95" s="35">
        <f>IF(475.08717="","-",475.08717/4272305.71982*100)</f>
        <v>0.011120158555039368</v>
      </c>
      <c r="F95" s="50">
        <f>IF(OR(3438760.41277="",779.66186="",906.65954=""),"-",(906.65954-779.66186)/3438760.41277*100)</f>
        <v>0.0036931238224212435</v>
      </c>
      <c r="G95" s="50">
        <f>IF(OR(4177554.78501="",475.08717="",906.65954=""),"-",(475.08717-906.65954)/4177554.78501*100)</f>
        <v>-0.010330741120345759</v>
      </c>
    </row>
    <row r="96" spans="1:7" ht="15.75">
      <c r="A96" s="34" t="s">
        <v>92</v>
      </c>
      <c r="B96" s="35">
        <f>IF(456.59416="","-",456.59416)</f>
        <v>456.59416</v>
      </c>
      <c r="C96" s="35">
        <f>IF(OR(1031.97892="",456.59416=""),"-",456.59416/1031.97892*100)</f>
        <v>44.24452390946125</v>
      </c>
      <c r="D96" s="35">
        <f>IF(1031.97892="","-",1031.97892/4177554.78501*100)</f>
        <v>0.024702941627551385</v>
      </c>
      <c r="E96" s="35">
        <f>IF(456.59416="","-",456.59416/4272305.71982*100)</f>
        <v>0.010687300721055072</v>
      </c>
      <c r="F96" s="50">
        <f>IF(OR(3438760.41277="",467.9361="",1031.97892=""),"-",(1031.97892-467.9361)/3438760.41277*100)</f>
        <v>0.016402504167065558</v>
      </c>
      <c r="G96" s="50">
        <f>IF(OR(4177554.78501="",456.59416="",1031.97892=""),"-",(456.59416-1031.97892)/4177554.78501*100)</f>
        <v>-0.013773242712809155</v>
      </c>
    </row>
    <row r="97" spans="1:7" ht="15.75">
      <c r="A97" s="34" t="s">
        <v>65</v>
      </c>
      <c r="B97" s="35">
        <f>IF(442.76241="","-",442.76241)</f>
        <v>442.76241</v>
      </c>
      <c r="C97" s="35">
        <f>IF(OR(331.28756="",442.76241=""),"-",442.76241/331.28756*100)</f>
        <v>133.64896949345155</v>
      </c>
      <c r="D97" s="35">
        <f>IF(331.28756="","-",331.28756/4177554.78501*100)</f>
        <v>0.007930178706183191</v>
      </c>
      <c r="E97" s="35">
        <f>IF(442.76241="","-",442.76241/4272305.71982*100)</f>
        <v>0.01036354697057247</v>
      </c>
      <c r="F97" s="50">
        <f>IF(OR(3438760.41277="",112.59902="",331.28756=""),"-",(331.28756-112.59902)/3438760.41277*100)</f>
        <v>0.006359516620811667</v>
      </c>
      <c r="G97" s="50">
        <f>IF(OR(4177554.78501="",442.76241="",331.28756=""),"-",(442.76241-331.28756)/4177554.78501*100)</f>
        <v>0.002668423413619773</v>
      </c>
    </row>
    <row r="98" spans="1:7" ht="15.75">
      <c r="A98" s="34" t="s">
        <v>114</v>
      </c>
      <c r="B98" s="35">
        <f>IF(407.93866="","-",407.93866)</f>
        <v>407.93866</v>
      </c>
      <c r="C98" s="35" t="s">
        <v>182</v>
      </c>
      <c r="D98" s="35">
        <f>IF(41.85625="","-",41.85625/4177554.78501*100)</f>
        <v>0.0010019318035083486</v>
      </c>
      <c r="E98" s="35">
        <f>IF(407.93866="","-",407.93866/4272305.71982*100)</f>
        <v>0.009548442615131653</v>
      </c>
      <c r="F98" s="50" t="str">
        <f>IF(OR(3438760.41277="",""="",41.85625=""),"-",(41.85625-"")/3438760.41277*100)</f>
        <v>-</v>
      </c>
      <c r="G98" s="50">
        <f>IF(OR(4177554.78501="",407.93866="",41.85625=""),"-",(407.93866-41.85625)/4177554.78501*100)</f>
        <v>0.008763078615116802</v>
      </c>
    </row>
    <row r="99" spans="1:7" ht="15.75">
      <c r="A99" s="34" t="s">
        <v>145</v>
      </c>
      <c r="B99" s="35">
        <f>IF(353.61115="","-",353.61115)</f>
        <v>353.61115</v>
      </c>
      <c r="C99" s="35">
        <f>IF(OR(1290.91291="",353.61115=""),"-",353.61115/1290.91291*100)</f>
        <v>27.392331989305152</v>
      </c>
      <c r="D99" s="35">
        <f>IF(1290.91291="","-",1290.91291/4177554.78501*100)</f>
        <v>0.030901160521750282</v>
      </c>
      <c r="E99" s="35">
        <f>IF(353.61115="","-",353.61115/4272305.71982*100)</f>
        <v>0.008276822240494959</v>
      </c>
      <c r="F99" s="50">
        <f>IF(OR(3438760.41277="",877.64584="",1290.91291=""),"-",(1290.91291-877.64584)/3438760.41277*100)</f>
        <v>0.01201790821091557</v>
      </c>
      <c r="G99" s="50">
        <f>IF(OR(4177554.78501="",353.61115="",1290.91291=""),"-",(353.61115-1290.91291)/4177554.78501*100)</f>
        <v>-0.022436612043084347</v>
      </c>
    </row>
    <row r="100" spans="1:7" ht="15.75">
      <c r="A100" s="34" t="s">
        <v>187</v>
      </c>
      <c r="B100" s="35">
        <f>IF(333.76677="","-",333.76677)</f>
        <v>333.76677</v>
      </c>
      <c r="C100" s="35" t="s">
        <v>215</v>
      </c>
      <c r="D100" s="35">
        <f>IF(80.35185="","-",80.35185/4177554.78501*100)</f>
        <v>0.0019234182227440889</v>
      </c>
      <c r="E100" s="35">
        <f>IF(333.76677="","-",333.76677/4272305.71982*100)</f>
        <v>0.007812333477250832</v>
      </c>
      <c r="F100" s="50">
        <f>IF(OR(3438760.41277="",6.04121="",80.35185=""),"-",(80.35185-6.04121)/3438760.41277*100)</f>
        <v>0.0021609717188799753</v>
      </c>
      <c r="G100" s="50">
        <f>IF(OR(4177554.78501="",333.76677="",80.35185=""),"-",(333.76677-80.35185)/4177554.78501*100)</f>
        <v>0.006066106443638019</v>
      </c>
    </row>
    <row r="101" spans="1:7" ht="15.75">
      <c r="A101" s="34" t="s">
        <v>96</v>
      </c>
      <c r="B101" s="35">
        <f>IF(316.07255="","-",316.07255)</f>
        <v>316.07255</v>
      </c>
      <c r="C101" s="35">
        <f>IF(OR(396.58404="",316.07255=""),"-",316.07255/396.58404*100)</f>
        <v>79.69875691417133</v>
      </c>
      <c r="D101" s="35">
        <f>IF(396.58404="","-",396.58404/4177554.78501*100)</f>
        <v>0.00949320979399318</v>
      </c>
      <c r="E101" s="35">
        <f>IF(316.07255="","-",316.07255/4272305.71982*100)</f>
        <v>0.0073981725730366665</v>
      </c>
      <c r="F101" s="50">
        <f>IF(OR(3438760.41277="",455.93075="",396.58404=""),"-",(396.58404-455.93075)/3438760.41277*100)</f>
        <v>-0.001725816947863339</v>
      </c>
      <c r="G101" s="50">
        <f>IF(OR(4177554.78501="",316.07255="",396.58404=""),"-",(316.07255-396.58404)/4177554.78501*100)</f>
        <v>-0.0019272395969262511</v>
      </c>
    </row>
    <row r="102" spans="1:7" ht="15.75">
      <c r="A102" s="34" t="s">
        <v>61</v>
      </c>
      <c r="B102" s="35">
        <f>IF(306.11471="","-",306.11471)</f>
        <v>306.11471</v>
      </c>
      <c r="C102" s="35">
        <f>IF(OR(388.18269="",306.11471=""),"-",306.11471/388.18269*100)</f>
        <v>78.85841328988678</v>
      </c>
      <c r="D102" s="35">
        <f>IF(388.18269="","-",388.18269/4177554.78501*100)</f>
        <v>0.00929210291610983</v>
      </c>
      <c r="E102" s="35">
        <f>IF(306.11471="","-",306.11471/4272305.71982*100)</f>
        <v>0.007165093747385128</v>
      </c>
      <c r="F102" s="50">
        <f>IF(OR(3438760.41277="",570.71835="",388.18269=""),"-",(388.18269-570.71835)/3438760.41277*100)</f>
        <v>-0.005308181963539687</v>
      </c>
      <c r="G102" s="50">
        <f>IF(OR(4177554.78501="",306.11471="",388.18269=""),"-",(306.11471-388.18269)/4177554.78501*100)</f>
        <v>-0.0019644979952023185</v>
      </c>
    </row>
    <row r="103" spans="1:7" ht="15.75">
      <c r="A103" s="34" t="s">
        <v>104</v>
      </c>
      <c r="B103" s="35">
        <f>IF(281.91136="","-",281.91136)</f>
        <v>281.91136</v>
      </c>
      <c r="C103" s="35">
        <f>IF(OR(516.92383="",281.91136=""),"-",281.91136/516.92383*100)</f>
        <v>54.536344358510235</v>
      </c>
      <c r="D103" s="35">
        <f>IF(516.92383="","-",516.92383/4177554.78501*100)</f>
        <v>0.01237383724696653</v>
      </c>
      <c r="E103" s="35">
        <f>IF(281.91136="","-",281.91136/4272305.71982*100)</f>
        <v>0.006598576471064843</v>
      </c>
      <c r="F103" s="50">
        <f>IF(OR(3438760.41277="",322.27573="",516.92383=""),"-",(516.92383-322.27573)/3438760.41277*100)</f>
        <v>0.005660414702843647</v>
      </c>
      <c r="G103" s="50">
        <f>IF(OR(4177554.78501="",281.91136="",516.92383=""),"-",(281.91136-516.92383)/4177554.78501*100)</f>
        <v>-0.005625598755599261</v>
      </c>
    </row>
    <row r="104" spans="1:7" ht="15.75">
      <c r="A104" s="34" t="s">
        <v>153</v>
      </c>
      <c r="B104" s="35">
        <f>IF(246.69986="","-",246.69986)</f>
        <v>246.69986</v>
      </c>
      <c r="C104" s="35">
        <f>IF(OR(168.02877="",246.69986=""),"-",246.69986/168.02877*100)</f>
        <v>146.82001183487802</v>
      </c>
      <c r="D104" s="35">
        <f>IF(168.02877="","-",168.02877/4177554.78501*100)</f>
        <v>0.004022179926949726</v>
      </c>
      <c r="E104" s="35">
        <f>IF(246.69986="","-",246.69986/4272305.71982*100)</f>
        <v>0.005774396220184212</v>
      </c>
      <c r="F104" s="50">
        <f>IF(OR(3438760.41277="",486.91967="",168.02877=""),"-",(168.02877-486.91967)/3438760.41277*100)</f>
        <v>-0.009273425936153724</v>
      </c>
      <c r="G104" s="50">
        <f>IF(OR(4177554.78501="",246.69986="",168.02877=""),"-",(246.69986-168.02877)/4177554.78501*100)</f>
        <v>0.0018831851178179504</v>
      </c>
    </row>
    <row r="105" spans="1:7" ht="15.75">
      <c r="A105" s="34" t="s">
        <v>109</v>
      </c>
      <c r="B105" s="35">
        <f>IF(220.79027="","-",220.79027)</f>
        <v>220.79027</v>
      </c>
      <c r="C105" s="35" t="s">
        <v>183</v>
      </c>
      <c r="D105" s="35">
        <f>IF(56.54058="","-",56.54058/4177554.78501*100)</f>
        <v>0.0013534371877750168</v>
      </c>
      <c r="E105" s="35">
        <f>IF(220.79027="","-",220.79027/4272305.71982*100)</f>
        <v>0.005167941727009702</v>
      </c>
      <c r="F105" s="50">
        <f>IF(OR(3438760.41277="",63.43256="",56.54058=""),"-",(56.54058-63.43256)/3438760.41277*100)</f>
        <v>-0.00020042047635555852</v>
      </c>
      <c r="G105" s="50">
        <f>IF(OR(4177554.78501="",220.79027="",56.54058=""),"-",(220.79027-56.54058)/4177554.78501*100)</f>
        <v>0.003931718396353881</v>
      </c>
    </row>
    <row r="106" spans="1:7" ht="15.75">
      <c r="A106" s="34" t="s">
        <v>147</v>
      </c>
      <c r="B106" s="35">
        <f>IF(162.73502="","-",162.73502)</f>
        <v>162.73502</v>
      </c>
      <c r="C106" s="35">
        <f>IF(OR(143.15746="",162.73502=""),"-",162.73502/143.15746*100)</f>
        <v>113.67554299999456</v>
      </c>
      <c r="D106" s="35">
        <f>IF(143.15746="","-",143.15746/4177554.78501*100)</f>
        <v>0.0034268242397126883</v>
      </c>
      <c r="E106" s="35">
        <f>IF(162.73502="","-",162.73502/4272305.71982*100)</f>
        <v>0.003809067765095619</v>
      </c>
      <c r="F106" s="50">
        <f>IF(OR(3438760.41277="",86.52611="",143.15746=""),"-",(143.15746-86.52611)/3438760.41277*100)</f>
        <v>0.0016468536100885884</v>
      </c>
      <c r="G106" s="50">
        <f>IF(OR(4177554.78501="",162.73502="",143.15746=""),"-",(162.73502-143.15746)/4177554.78501*100)</f>
        <v>0.0004686368224361453</v>
      </c>
    </row>
    <row r="107" spans="1:7" ht="15.75">
      <c r="A107" s="34" t="s">
        <v>146</v>
      </c>
      <c r="B107" s="35">
        <f>IF(148.25974="","-",148.25974)</f>
        <v>148.25974</v>
      </c>
      <c r="C107" s="35" t="s">
        <v>193</v>
      </c>
      <c r="D107" s="35">
        <f>IF(17.97761="","-",17.97761/4177554.78501*100)</f>
        <v>0.0004303381026745042</v>
      </c>
      <c r="E107" s="35">
        <f>IF(148.25974="","-",148.25974/4272305.71982*100)</f>
        <v>0.003470251188069154</v>
      </c>
      <c r="F107" s="50">
        <f>IF(OR(3438760.41277="",11.55316="",17.97761=""),"-",(17.97761-11.55316)/3438760.41277*100)</f>
        <v>0.0001868245887716544</v>
      </c>
      <c r="G107" s="50">
        <f>IF(OR(4177554.78501="",148.25974="",17.97761=""),"-",(148.25974-17.97761)/4177554.78501*100)</f>
        <v>0.003118621698690377</v>
      </c>
    </row>
    <row r="108" spans="1:7" ht="15.75">
      <c r="A108" s="34" t="s">
        <v>154</v>
      </c>
      <c r="B108" s="35">
        <f>IF(141.76597="","-",141.76597)</f>
        <v>141.76597</v>
      </c>
      <c r="C108" s="35">
        <f>IF(OR(95.82366="",141.76597=""),"-",141.76597/95.82366*100)</f>
        <v>147.94464122952516</v>
      </c>
      <c r="D108" s="35">
        <f>IF(95.82366="","-",95.82366/4177554.78501*100)</f>
        <v>0.0022937738684801145</v>
      </c>
      <c r="E108" s="35">
        <f>IF(141.76597="","-",141.76597/4272305.71982*100)</f>
        <v>0.003318254340795931</v>
      </c>
      <c r="F108" s="50">
        <f>IF(OR(3438760.41277="",221.24834="",95.82366=""),"-",(95.82366-221.24834)/3438760.41277*100)</f>
        <v>-0.003647380594886154</v>
      </c>
      <c r="G108" s="50">
        <f>IF(OR(4177554.78501="",141.76597="",95.82366=""),"-",(141.76597-95.82366)/4177554.78501*100)</f>
        <v>0.0010997416518593911</v>
      </c>
    </row>
    <row r="109" spans="1:7" ht="15.75">
      <c r="A109" s="34" t="s">
        <v>173</v>
      </c>
      <c r="B109" s="35">
        <f>IF(122.74016="","-",122.74016)</f>
        <v>122.74016</v>
      </c>
      <c r="C109" s="35">
        <f>IF(OR(314.62829="",122.74016=""),"-",122.74016/314.62829*100)</f>
        <v>39.01116457137405</v>
      </c>
      <c r="D109" s="35">
        <f>IF(314.62829="","-",314.62829/4177554.78501*100)</f>
        <v>0.007531398298568257</v>
      </c>
      <c r="E109" s="35">
        <f>IF(122.74016="","-",122.74016/4272305.71982*100)</f>
        <v>0.002872925489170547</v>
      </c>
      <c r="F109" s="50">
        <f>IF(OR(3438760.41277="",34.10485="",314.62829=""),"-",(314.62829-34.10485)/3438760.41277*100)</f>
        <v>0.008157690746882594</v>
      </c>
      <c r="G109" s="50">
        <f>IF(OR(4177554.78501="",122.74016="",314.62829=""),"-",(122.74016-314.62829)/4177554.78501*100)</f>
        <v>-0.0045933121137881295</v>
      </c>
    </row>
    <row r="110" spans="1:7" ht="15.75">
      <c r="A110" s="34" t="s">
        <v>191</v>
      </c>
      <c r="B110" s="35">
        <f>IF(106.55042="","-",106.55042)</f>
        <v>106.55042</v>
      </c>
      <c r="C110" s="35" t="s">
        <v>216</v>
      </c>
      <c r="D110" s="35">
        <f>IF(18.16148="","-",18.16148/4177554.78501*100)</f>
        <v>0.00043473948121919184</v>
      </c>
      <c r="E110" s="35">
        <f>IF(106.55042="","-",106.55042/4272305.71982*100)</f>
        <v>0.0024939792933285016</v>
      </c>
      <c r="F110" s="50">
        <f>IF(OR(3438760.41277="",158.40701="",18.16148=""),"-",(18.16148-158.40701)/3438760.41277*100)</f>
        <v>-0.004078374564252618</v>
      </c>
      <c r="G110" s="50">
        <f>IF(OR(4177554.78501="",106.55042="",18.16148=""),"-",(106.55042-18.16148)/4177554.78501*100)</f>
        <v>0.0021158056458567406</v>
      </c>
    </row>
    <row r="111" spans="1:7" ht="15.75">
      <c r="A111" s="34" t="s">
        <v>190</v>
      </c>
      <c r="B111" s="35">
        <f>IF(103.9303="","-",103.9303)</f>
        <v>103.9303</v>
      </c>
      <c r="C111" s="35" t="s">
        <v>135</v>
      </c>
      <c r="D111" s="35">
        <f>IF(68.61178="","-",68.61178/4177554.78501*100)</f>
        <v>0.0016423909088204992</v>
      </c>
      <c r="E111" s="35">
        <f>IF(103.9303="","-",103.9303/4272305.71982*100)</f>
        <v>0.0024326512851795346</v>
      </c>
      <c r="F111" s="50">
        <f>IF(OR(3438760.41277="",48.02256="",68.61178=""),"-",(68.61178-48.02256)/3438760.41277*100)</f>
        <v>0.00059873959010174</v>
      </c>
      <c r="G111" s="50">
        <f>IF(OR(4177554.78501="",103.9303="",68.61178=""),"-",(103.9303-68.61178)/4177554.78501*100)</f>
        <v>0.0008454352322734521</v>
      </c>
    </row>
    <row r="112" spans="1:7" ht="15.75">
      <c r="A112" s="34" t="s">
        <v>196</v>
      </c>
      <c r="B112" s="35">
        <f>IF(101.60686="","-",101.60686)</f>
        <v>101.60686</v>
      </c>
      <c r="C112" s="35">
        <f>IF(OR(149.87745="",101.60686=""),"-",101.60686/149.87745*100)</f>
        <v>67.7932937876912</v>
      </c>
      <c r="D112" s="35">
        <f>IF(149.87745="","-",149.87745/4177554.78501*100)</f>
        <v>0.0035876836502011598</v>
      </c>
      <c r="E112" s="35">
        <f>IF(101.60686="","-",101.60686/4272305.71982*100)</f>
        <v>0.002378267536628462</v>
      </c>
      <c r="F112" s="50">
        <f>IF(OR(3438760.41277="",32.86405="",149.87745=""),"-",(149.87745-32.86405)/3438760.41277*100)</f>
        <v>0.0034027785002254066</v>
      </c>
      <c r="G112" s="50">
        <f>IF(OR(4177554.78501="",101.60686="",149.87745=""),"-",(101.60686-149.87745)/4177554.78501*100)</f>
        <v>-0.0011554747330473239</v>
      </c>
    </row>
    <row r="113" spans="1:7" ht="15.75">
      <c r="A113" s="34" t="s">
        <v>189</v>
      </c>
      <c r="B113" s="35">
        <f>IF(95.27193="","-",95.27193)</f>
        <v>95.27193</v>
      </c>
      <c r="C113" s="35">
        <f>IF(OR(65.52906="",95.27193=""),"-",95.27193/65.52906*100)</f>
        <v>145.38882443911143</v>
      </c>
      <c r="D113" s="35">
        <f>IF(65.52906="","-",65.52906/4177554.78501*100)</f>
        <v>0.0015685984594417028</v>
      </c>
      <c r="E113" s="35">
        <f>IF(95.27193="","-",95.27193/4272305.71982*100)</f>
        <v>0.002229988588082923</v>
      </c>
      <c r="F113" s="50">
        <f>IF(OR(3438760.41277="",44.05938="",65.52906=""),"-",(65.52906-44.05938)/3438760.41277*100)</f>
        <v>0.0006243435838179168</v>
      </c>
      <c r="G113" s="50">
        <f>IF(OR(4177554.78501="",95.27193="",65.52906=""),"-",(95.27193-65.52906)/4177554.78501*100)</f>
        <v>0.000711968400910601</v>
      </c>
    </row>
    <row r="114" spans="1:7" ht="15.75">
      <c r="A114" s="34" t="s">
        <v>192</v>
      </c>
      <c r="B114" s="35">
        <f>IF(94.94833="","-",94.94833)</f>
        <v>94.94833</v>
      </c>
      <c r="C114" s="35">
        <f>IF(OR(85.80175="",94.94833=""),"-",94.94833/85.80175*100)</f>
        <v>110.66013222341036</v>
      </c>
      <c r="D114" s="35">
        <f>IF(85.80175="","-",85.80175/4177554.78501*100)</f>
        <v>0.0020538749200339837</v>
      </c>
      <c r="E114" s="35">
        <f>IF(94.94833="","-",94.94833/4272305.71982*100)</f>
        <v>0.0022224142237648745</v>
      </c>
      <c r="F114" s="50">
        <f>IF(OR(3438760.41277="",61.81179="",85.80175=""),"-",(85.80175-61.81179)/3438760.41277*100)</f>
        <v>0.0006976339471314181</v>
      </c>
      <c r="G114" s="50">
        <f>IF(OR(4177554.78501="",94.94833="",85.80175=""),"-",(94.94833-85.80175)/4177554.78501*100)</f>
        <v>0.0002189457821790865</v>
      </c>
    </row>
    <row r="115" spans="1:7" ht="15.75">
      <c r="A115" s="34" t="s">
        <v>188</v>
      </c>
      <c r="B115" s="35">
        <f>IF(94.73302="","-",94.73302)</f>
        <v>94.73302</v>
      </c>
      <c r="C115" s="35">
        <f>IF(OR(82.93388="",94.73302=""),"-",94.73302/82.93388*100)</f>
        <v>114.22716506209525</v>
      </c>
      <c r="D115" s="35">
        <f>IF(82.93388="","-",82.93388/4177554.78501*100)</f>
        <v>0.0019852254313357013</v>
      </c>
      <c r="E115" s="35">
        <f>IF(94.73302="","-",94.73302/4272305.71982*100)</f>
        <v>0.0022173745563318736</v>
      </c>
      <c r="F115" s="50">
        <f>IF(OR(3438760.41277="",81.46663="",82.93388=""),"-",(82.93388-81.46663)/3438760.41277*100)</f>
        <v>4.266799148179398E-05</v>
      </c>
      <c r="G115" s="50">
        <f>IF(OR(4177554.78501="",94.73302="",82.93388=""),"-",(94.73302-82.93388)/4177554.78501*100)</f>
        <v>0.00028244129897082247</v>
      </c>
    </row>
    <row r="116" spans="1:7" ht="15.75">
      <c r="A116" s="36" t="s">
        <v>204</v>
      </c>
      <c r="B116" s="37">
        <f>IF(77.22873="","-",77.22873)</f>
        <v>77.22873</v>
      </c>
      <c r="C116" s="37" t="s">
        <v>170</v>
      </c>
      <c r="D116" s="37">
        <f>IF(35.18952="","-",35.18952/4177554.78501*100)</f>
        <v>0.0008423473014948328</v>
      </c>
      <c r="E116" s="37">
        <f>IF(77.22873="","-",77.22873/4272305.71982*100)</f>
        <v>0.0018076592609401038</v>
      </c>
      <c r="F116" s="52">
        <f>IF(OR(3438760.41277="",5.29614="",35.18952=""),"-",(35.18952-5.29614)/3438760.41277*100)</f>
        <v>0.0008693068551385412</v>
      </c>
      <c r="G116" s="52">
        <f>IF(OR(4177554.78501="",77.22873="",35.18952=""),"-",(77.22873-35.18952)/4177554.78501*100)</f>
        <v>0.0010063113989754503</v>
      </c>
    </row>
    <row r="117" ht="15.75">
      <c r="A117" s="4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6"/>
  <sheetViews>
    <sheetView zoomScale="95" zoomScaleNormal="95" zoomScalePageLayoutView="0" workbookViewId="0" topLeftCell="A1">
      <selection activeCell="G67" sqref="G67"/>
    </sheetView>
  </sheetViews>
  <sheetFormatPr defaultColWidth="9.00390625" defaultRowHeight="15.75"/>
  <cols>
    <col min="1" max="1" width="41.625" style="0" customWidth="1"/>
    <col min="2" max="2" width="15.375" style="0" customWidth="1"/>
    <col min="3" max="3" width="15.125" style="0" customWidth="1"/>
    <col min="4" max="4" width="17.25390625" style="0" customWidth="1"/>
  </cols>
  <sheetData>
    <row r="1" spans="1:4" ht="15.75">
      <c r="A1" s="77" t="s">
        <v>125</v>
      </c>
      <c r="B1" s="77"/>
      <c r="C1" s="77"/>
      <c r="D1" s="77"/>
    </row>
    <row r="2" ht="15.75">
      <c r="A2" s="4"/>
    </row>
    <row r="3" spans="1:4" ht="36" customHeight="1">
      <c r="A3" s="78"/>
      <c r="B3" s="76" t="s">
        <v>200</v>
      </c>
      <c r="C3" s="76"/>
      <c r="D3" s="80" t="s">
        <v>201</v>
      </c>
    </row>
    <row r="4" spans="1:4" ht="21" customHeight="1">
      <c r="A4" s="79"/>
      <c r="B4" s="19">
        <v>2018</v>
      </c>
      <c r="C4" s="18">
        <v>2019</v>
      </c>
      <c r="D4" s="81"/>
    </row>
    <row r="5" spans="1:4" ht="17.25" customHeight="1">
      <c r="A5" s="41" t="s">
        <v>152</v>
      </c>
      <c r="B5" s="31">
        <f>IF(-2218018.57618="","-",-2218018.57618)</f>
        <v>-2218018.57618</v>
      </c>
      <c r="C5" s="31">
        <f>IF(-2246057.99733="","-",-2246057.99733)</f>
        <v>-2246057.99733</v>
      </c>
      <c r="D5" s="48">
        <f>IF(-2218018.57618="","-",-2246057.99733/-2218018.57618*100)</f>
        <v>101.26416529830382</v>
      </c>
    </row>
    <row r="6" spans="1:4" ht="15.75">
      <c r="A6" s="42" t="s">
        <v>155</v>
      </c>
      <c r="B6" s="24"/>
      <c r="C6" s="24"/>
      <c r="D6" s="53"/>
    </row>
    <row r="7" spans="1:4" ht="15.75">
      <c r="A7" s="32" t="s">
        <v>203</v>
      </c>
      <c r="B7" s="33">
        <f>IF(-743498.52894="","-",-743498.52894)</f>
        <v>-743498.52894</v>
      </c>
      <c r="C7" s="33">
        <f>IF(-806068.77901="","-",-806068.77901)</f>
        <v>-806068.77901</v>
      </c>
      <c r="D7" s="49">
        <f>IF(-743498.52894="","-",-806068.77901/-743498.52894*100)</f>
        <v>108.41565216802861</v>
      </c>
    </row>
    <row r="8" spans="1:4" ht="15.75">
      <c r="A8" s="34" t="s">
        <v>4</v>
      </c>
      <c r="B8" s="35">
        <f>IF(-190436.24585="","-",-190436.24585)</f>
        <v>-190436.24585</v>
      </c>
      <c r="C8" s="35">
        <f>IF(-176013.58003="","-",-176013.58003)</f>
        <v>-176013.58003</v>
      </c>
      <c r="D8" s="50">
        <f>IF(OR(-190436.24585="",-176013.58003="",-190436.24585=0),"-",-176013.58003/-190436.24585*100)</f>
        <v>92.42651221377245</v>
      </c>
    </row>
    <row r="9" spans="1:4" ht="15.75">
      <c r="A9" s="34" t="s">
        <v>3</v>
      </c>
      <c r="B9" s="35">
        <f>IF(-59819.47347="","-",-59819.47347)</f>
        <v>-59819.47347</v>
      </c>
      <c r="C9" s="35">
        <f>IF(-87167.17139="","-",-87167.17139)</f>
        <v>-87167.17139</v>
      </c>
      <c r="D9" s="50">
        <f>IF(OR(-59819.47347="",-87167.17139="",-59819.47347=0),"-",-87167.17139/-59819.47347*100)</f>
        <v>145.71704886990543</v>
      </c>
    </row>
    <row r="10" spans="1:4" ht="15.75">
      <c r="A10" s="34" t="s">
        <v>156</v>
      </c>
      <c r="B10" s="35">
        <f>IF(-65088.92621="","-",-65088.92621)</f>
        <v>-65088.92621</v>
      </c>
      <c r="C10" s="35">
        <f>IF(-81574.03564="","-",-81574.03564)</f>
        <v>-81574.03564</v>
      </c>
      <c r="D10" s="50">
        <f>IF(OR(-65088.92621="",-81574.03564="",-65088.92621=0),"-",-81574.03564/-65088.92621*100)</f>
        <v>125.32705698172558</v>
      </c>
    </row>
    <row r="11" spans="1:4" ht="15.75">
      <c r="A11" s="34" t="s">
        <v>43</v>
      </c>
      <c r="B11" s="35">
        <f>IF(-80087.84721="","-",-80087.84721)</f>
        <v>-80087.84721</v>
      </c>
      <c r="C11" s="35">
        <f>IF(-77549.5566="","-",-77549.5566)</f>
        <v>-77549.5566</v>
      </c>
      <c r="D11" s="50">
        <f>IF(OR(-80087.84721="",-77549.5566="",-80087.84721=0),"-",-77549.5566/-80087.84721*100)</f>
        <v>96.8306170056684</v>
      </c>
    </row>
    <row r="12" spans="1:4" ht="15.75">
      <c r="A12" s="34" t="s">
        <v>5</v>
      </c>
      <c r="B12" s="35">
        <f>IF(-76641.32922="","-",-76641.32922)</f>
        <v>-76641.32922</v>
      </c>
      <c r="C12" s="35">
        <f>IF(-66180.99909="","-",-66180.99909)</f>
        <v>-66180.99909</v>
      </c>
      <c r="D12" s="50">
        <f>IF(OR(-76641.32922="",-66180.99909="",-76641.32922=0),"-",-66180.99909/-76641.32922*100)</f>
        <v>86.35158048998149</v>
      </c>
    </row>
    <row r="13" spans="1:4" ht="15.75">
      <c r="A13" s="34" t="s">
        <v>2</v>
      </c>
      <c r="B13" s="35">
        <f>IF(-59409.57382="","-",-59409.57382)</f>
        <v>-59409.57382</v>
      </c>
      <c r="C13" s="35">
        <f>IF(-53164.93719="","-",-53164.93719)</f>
        <v>-53164.93719</v>
      </c>
      <c r="D13" s="50">
        <f>IF(OR(-59409.57382="",-53164.93719="",-59409.57382=0),"-",-53164.93719/-59409.57382*100)</f>
        <v>89.48883786152028</v>
      </c>
    </row>
    <row r="14" spans="1:4" ht="15.75">
      <c r="A14" s="34" t="s">
        <v>8</v>
      </c>
      <c r="B14" s="35">
        <f>IF(-46051.98643="","-",-46051.98643)</f>
        <v>-46051.98643</v>
      </c>
      <c r="C14" s="35">
        <f>IF(-50268.59395="","-",-50268.59395)</f>
        <v>-50268.59395</v>
      </c>
      <c r="D14" s="50">
        <f>IF(OR(-46051.98643="",-50268.59395="",-46051.98643=0),"-",-50268.59395/-46051.98643*100)</f>
        <v>109.15619031202777</v>
      </c>
    </row>
    <row r="15" spans="1:4" ht="15.75">
      <c r="A15" s="34" t="s">
        <v>7</v>
      </c>
      <c r="B15" s="35">
        <f>IF(-31221.72758="","-",-31221.72758)</f>
        <v>-31221.72758</v>
      </c>
      <c r="C15" s="35">
        <f>IF(-40814.45732="","-",-40814.45732)</f>
        <v>-40814.45732</v>
      </c>
      <c r="D15" s="50">
        <f>IF(OR(-31221.72758="",-40814.45732="",-31221.72758=0),"-",-40814.45732/-31221.72758*100)</f>
        <v>130.72453218810642</v>
      </c>
    </row>
    <row r="16" spans="1:4" ht="15.75">
      <c r="A16" s="34" t="s">
        <v>41</v>
      </c>
      <c r="B16" s="35">
        <f>IF(-36655.82649="","-",-36655.82649)</f>
        <v>-36655.82649</v>
      </c>
      <c r="C16" s="35">
        <f>IF(-37440.4782="","-",-37440.4782)</f>
        <v>-37440.4782</v>
      </c>
      <c r="D16" s="50">
        <f>IF(OR(-36655.82649="",-37440.4782="",-36655.82649=0),"-",-37440.4782/-36655.82649*100)</f>
        <v>102.14059205625621</v>
      </c>
    </row>
    <row r="17" spans="1:4" ht="15.75">
      <c r="A17" s="34" t="s">
        <v>42</v>
      </c>
      <c r="B17" s="35">
        <f>IF(-24256.21223="","-",-24256.21223)</f>
        <v>-24256.21223</v>
      </c>
      <c r="C17" s="35">
        <f>IF(-20548.87031="","-",-20548.87031)</f>
        <v>-20548.87031</v>
      </c>
      <c r="D17" s="50">
        <f>IF(OR(-24256.21223="",-20548.87031="",-24256.21223=0),"-",-20548.87031/-24256.21223*100)</f>
        <v>84.71590747621026</v>
      </c>
    </row>
    <row r="18" spans="1:4" ht="15.75">
      <c r="A18" s="34" t="s">
        <v>10</v>
      </c>
      <c r="B18" s="35">
        <f>IF(-16845.87189="","-",-16845.87189)</f>
        <v>-16845.87189</v>
      </c>
      <c r="C18" s="35">
        <f>IF(-17796.52869="","-",-17796.52869)</f>
        <v>-17796.52869</v>
      </c>
      <c r="D18" s="50">
        <f>IF(OR(-16845.87189="",-17796.52869="",-16845.87189=0),"-",-17796.52869/-16845.87189*100)</f>
        <v>105.64326267116115</v>
      </c>
    </row>
    <row r="19" spans="1:4" ht="15.75">
      <c r="A19" s="34" t="s">
        <v>51</v>
      </c>
      <c r="B19" s="35">
        <f>IF(-17239.84458="","-",-17239.84458)</f>
        <v>-17239.84458</v>
      </c>
      <c r="C19" s="35">
        <f>IF(-17588.61773="","-",-17588.61773)</f>
        <v>-17588.61773</v>
      </c>
      <c r="D19" s="50">
        <f>IF(OR(-17239.84458="",-17588.61773="",-17239.84458=0),"-",-17588.61773/-17239.84458*100)</f>
        <v>102.02306435177853</v>
      </c>
    </row>
    <row r="20" spans="1:4" ht="15.75">
      <c r="A20" s="34" t="s">
        <v>53</v>
      </c>
      <c r="B20" s="35">
        <f>IF(-16208.57842="","-",-16208.57842)</f>
        <v>-16208.57842</v>
      </c>
      <c r="C20" s="35">
        <f>IF(-16345.62374="","-",-16345.62374)</f>
        <v>-16345.62374</v>
      </c>
      <c r="D20" s="50">
        <f>IF(OR(-16208.57842="",-16345.62374="",-16208.57842=0),"-",-16345.62374/-16208.57842*100)</f>
        <v>100.84551104019646</v>
      </c>
    </row>
    <row r="21" spans="1:4" ht="15.75">
      <c r="A21" s="34" t="s">
        <v>45</v>
      </c>
      <c r="B21" s="35">
        <f>IF(-7613.6381="","-",-7613.6381)</f>
        <v>-7613.6381</v>
      </c>
      <c r="C21" s="35">
        <f>IF(-14545.90744="","-",-14545.90744)</f>
        <v>-14545.90744</v>
      </c>
      <c r="D21" s="50" t="s">
        <v>178</v>
      </c>
    </row>
    <row r="22" spans="1:4" ht="15.75">
      <c r="A22" s="34" t="s">
        <v>52</v>
      </c>
      <c r="B22" s="35">
        <f>IF(-3253.77365="","-",-3253.77365)</f>
        <v>-3253.77365</v>
      </c>
      <c r="C22" s="35">
        <f>IF(-13927.17809="","-",-13927.17809)</f>
        <v>-13927.17809</v>
      </c>
      <c r="D22" s="50" t="s">
        <v>219</v>
      </c>
    </row>
    <row r="23" spans="1:4" ht="15.75">
      <c r="A23" s="34" t="s">
        <v>50</v>
      </c>
      <c r="B23" s="35">
        <f>IF(-9984.83686999999="","-",-9984.83686999999)</f>
        <v>-9984.83686999999</v>
      </c>
      <c r="C23" s="35">
        <f>IF(-9538.07601="","-",-9538.07601)</f>
        <v>-9538.07601</v>
      </c>
      <c r="D23" s="50">
        <f>IF(OR(-9984.83686999999="",-9538.07601="",-9984.83686999999=0),"-",-9538.07601/-9984.83686999999*100)</f>
        <v>95.52560681945333</v>
      </c>
    </row>
    <row r="24" spans="1:4" ht="15.75">
      <c r="A24" s="34" t="s">
        <v>49</v>
      </c>
      <c r="B24" s="35">
        <f>IF(-10773.42854="","-",-10773.42854)</f>
        <v>-10773.42854</v>
      </c>
      <c r="C24" s="35">
        <f>IF(-8708.81265="","-",-8708.81265)</f>
        <v>-8708.81265</v>
      </c>
      <c r="D24" s="50">
        <f>IF(OR(-10773.42854="",-8708.81265="",-10773.42854=0),"-",-8708.81265/-10773.42854*100)</f>
        <v>80.83603671445523</v>
      </c>
    </row>
    <row r="25" spans="1:4" ht="15.75">
      <c r="A25" s="34" t="s">
        <v>6</v>
      </c>
      <c r="B25" s="35">
        <f>IF(-10160.03603="","-",-10160.03603)</f>
        <v>-10160.03603</v>
      </c>
      <c r="C25" s="35">
        <f>IF(-8117.43365="","-",-8117.43365)</f>
        <v>-8117.43365</v>
      </c>
      <c r="D25" s="50">
        <f>IF(OR(-10160.03603="",-8117.43365="",-10160.03603=0),"-",-8117.43365/-10160.03603*100)</f>
        <v>79.89571716115263</v>
      </c>
    </row>
    <row r="26" spans="1:4" ht="15.75">
      <c r="A26" s="34" t="s">
        <v>44</v>
      </c>
      <c r="B26" s="35">
        <f>IF(-3488.48823="","-",-3488.48823)</f>
        <v>-3488.48823</v>
      </c>
      <c r="C26" s="35">
        <f>IF(-6075.11803="","-",-6075.11803)</f>
        <v>-6075.11803</v>
      </c>
      <c r="D26" s="50" t="s">
        <v>106</v>
      </c>
    </row>
    <row r="27" spans="1:4" ht="15.75">
      <c r="A27" s="34" t="s">
        <v>54</v>
      </c>
      <c r="B27" s="35">
        <f>IF(-4539.77225="","-",-4539.77225)</f>
        <v>-4539.77225</v>
      </c>
      <c r="C27" s="35">
        <f>IF(-5271.51442="","-",-5271.51442)</f>
        <v>-5271.51442</v>
      </c>
      <c r="D27" s="50">
        <f>IF(OR(-4539.77225="",-5271.51442="",-4539.77225=0),"-",-5271.51442/-4539.77225*100)</f>
        <v>116.11847752935185</v>
      </c>
    </row>
    <row r="28" spans="1:4" ht="15.75">
      <c r="A28" s="34" t="s">
        <v>157</v>
      </c>
      <c r="B28" s="35">
        <f>IF(19549.53793="","-",19549.53793)</f>
        <v>19549.53793</v>
      </c>
      <c r="C28" s="35">
        <f>IF(-4022.27777="","-",-4022.27777)</f>
        <v>-4022.27777</v>
      </c>
      <c r="D28" s="50" t="s">
        <v>22</v>
      </c>
    </row>
    <row r="29" spans="1:4" ht="15.75">
      <c r="A29" s="34" t="s">
        <v>158</v>
      </c>
      <c r="B29" s="35">
        <f>IF(-1762.56604="","-",-1762.56604)</f>
        <v>-1762.56604</v>
      </c>
      <c r="C29" s="35">
        <f>IF(-3380.52714="","-",-3380.52714)</f>
        <v>-3380.52714</v>
      </c>
      <c r="D29" s="50" t="s">
        <v>178</v>
      </c>
    </row>
    <row r="30" spans="1:4" ht="15.75">
      <c r="A30" s="34" t="s">
        <v>46</v>
      </c>
      <c r="B30" s="35">
        <f>IF(-4144.25594="","-",-4144.25594)</f>
        <v>-4144.25594</v>
      </c>
      <c r="C30" s="35">
        <f>IF(-2097.8178="","-",-2097.8178)</f>
        <v>-2097.8178</v>
      </c>
      <c r="D30" s="50">
        <f>IF(OR(-4144.25594="",-2097.8178="",-4144.25594=0),"-",-2097.8178/-4144.25594*100)</f>
        <v>50.619890044725366</v>
      </c>
    </row>
    <row r="31" spans="1:4" ht="15.75">
      <c r="A31" s="34" t="s">
        <v>55</v>
      </c>
      <c r="B31" s="35">
        <f>IF(-666.87213="","-",-666.87213)</f>
        <v>-666.87213</v>
      </c>
      <c r="C31" s="35">
        <f>IF(-1277.50691="","-",-1277.50691)</f>
        <v>-1277.50691</v>
      </c>
      <c r="D31" s="50" t="s">
        <v>178</v>
      </c>
    </row>
    <row r="32" spans="1:4" ht="15.75">
      <c r="A32" s="34" t="s">
        <v>47</v>
      </c>
      <c r="B32" s="35">
        <f>IF(-1134.25206="","-",-1134.25206)</f>
        <v>-1134.25206</v>
      </c>
      <c r="C32" s="35">
        <f>IF(-897.98877="","-",-897.98877)</f>
        <v>-897.98877</v>
      </c>
      <c r="D32" s="50">
        <f>IF(OR(-1134.25206="",-897.98877="",-1134.25206=0),"-",-897.98877/-1134.25206*100)</f>
        <v>79.17012467228845</v>
      </c>
    </row>
    <row r="33" spans="1:4" ht="15.75">
      <c r="A33" s="34" t="s">
        <v>56</v>
      </c>
      <c r="B33" s="35">
        <f>IF(511.44418="","-",511.44418)</f>
        <v>511.44418</v>
      </c>
      <c r="C33" s="35">
        <f>IF(384.12115="","-",384.12115)</f>
        <v>384.12115</v>
      </c>
      <c r="D33" s="50">
        <f>IF(OR(511.44418="",384.12115="",511.44418=0),"-",384.12115/511.44418*100)</f>
        <v>75.10519525317504</v>
      </c>
    </row>
    <row r="34" spans="1:4" ht="15.75">
      <c r="A34" s="34" t="s">
        <v>9</v>
      </c>
      <c r="B34" s="35">
        <f>IF(8545.34261="","-",8545.34261)</f>
        <v>8545.34261</v>
      </c>
      <c r="C34" s="35">
        <f>IF(6113.73579="","-",6113.73579)</f>
        <v>6113.73579</v>
      </c>
      <c r="D34" s="50">
        <f>IF(OR(8545.34261="",6113.73579="",8545.34261=0),"-",6113.73579/8545.34261*100)</f>
        <v>71.54465384273223</v>
      </c>
    </row>
    <row r="35" spans="1:4" ht="15.75">
      <c r="A35" s="34" t="s">
        <v>48</v>
      </c>
      <c r="B35" s="35">
        <f>IF(5380.50958="","-",5380.50958)</f>
        <v>5380.50958</v>
      </c>
      <c r="C35" s="35">
        <f>IF(7746.97261="","-",7746.97261)</f>
        <v>7746.97261</v>
      </c>
      <c r="D35" s="50">
        <f>IF(OR(5380.50958="",7746.97261="",5380.50958=0),"-",7746.97261/5380.50958*100)</f>
        <v>143.98213579614145</v>
      </c>
    </row>
    <row r="36" spans="1:4" ht="15.75">
      <c r="A36" s="32" t="s">
        <v>177</v>
      </c>
      <c r="B36" s="33">
        <f>IF(-707089.45044="","-",-707089.45044)</f>
        <v>-707089.45044</v>
      </c>
      <c r="C36" s="33">
        <f>IF(-728879.44753="","-",-728879.44753)</f>
        <v>-728879.44753</v>
      </c>
      <c r="D36" s="49">
        <f>IF(-707089.45044="","-",-728879.44753/-707089.45044*100)</f>
        <v>103.08164647010936</v>
      </c>
    </row>
    <row r="37" spans="1:4" ht="15.75">
      <c r="A37" s="34" t="s">
        <v>12</v>
      </c>
      <c r="B37" s="35">
        <f>IF(-360878.50921="","-",-360878.50921)</f>
        <v>-360878.50921</v>
      </c>
      <c r="C37" s="35">
        <f>IF(-371382.3221="","-",-371382.3221)</f>
        <v>-371382.3221</v>
      </c>
      <c r="D37" s="50">
        <f>IF(OR(-360878.50921="",-371382.3221="",-360878.50921=0),"-",-371382.3221/-360878.50921*100)</f>
        <v>102.91062299968871</v>
      </c>
    </row>
    <row r="38" spans="1:4" ht="15.75">
      <c r="A38" s="34" t="s">
        <v>159</v>
      </c>
      <c r="B38" s="35">
        <f>IF(-326682.27128="","-",-326682.27128)</f>
        <v>-326682.27128</v>
      </c>
      <c r="C38" s="35">
        <f>IF(-320159.59291="","-",-320159.59291)</f>
        <v>-320159.59291</v>
      </c>
      <c r="D38" s="50">
        <f>IF(OR(-326682.27128="",-320159.59291="",-326682.27128=0),"-",-320159.59291/-326682.27128*100)</f>
        <v>98.00335710155224</v>
      </c>
    </row>
    <row r="39" spans="1:4" ht="15.75">
      <c r="A39" s="34" t="s">
        <v>11</v>
      </c>
      <c r="B39" s="35">
        <f>IF(-21071.19117="","-",-21071.19117)</f>
        <v>-21071.19117</v>
      </c>
      <c r="C39" s="35">
        <f>IF(-37133.89973="","-",-37133.89973)</f>
        <v>-37133.89973</v>
      </c>
      <c r="D39" s="50" t="s">
        <v>105</v>
      </c>
    </row>
    <row r="40" spans="1:4" ht="15.75">
      <c r="A40" s="34" t="s">
        <v>15</v>
      </c>
      <c r="B40" s="35">
        <f>IF(-519.4092="","-",-519.4092)</f>
        <v>-519.4092</v>
      </c>
      <c r="C40" s="35">
        <f>IF(-3655.37486="","-",-3655.37486)</f>
        <v>-3655.37486</v>
      </c>
      <c r="D40" s="50" t="s">
        <v>220</v>
      </c>
    </row>
    <row r="41" spans="1:4" ht="15.75">
      <c r="A41" s="34" t="s">
        <v>16</v>
      </c>
      <c r="B41" s="35">
        <f>IF(-10734.25248="","-",-10734.25248)</f>
        <v>-10734.25248</v>
      </c>
      <c r="C41" s="35">
        <f>IF(-1484.85878="","-",-1484.85878)</f>
        <v>-1484.85878</v>
      </c>
      <c r="D41" s="50">
        <f>IF(OR(-10734.25248="",-1484.85878="",-10734.25248=0),"-",-1484.85878/-10734.25248*100)</f>
        <v>13.832903434743878</v>
      </c>
    </row>
    <row r="42" spans="1:4" ht="15.75">
      <c r="A42" s="34" t="s">
        <v>13</v>
      </c>
      <c r="B42" s="35">
        <f>IF(8588.95914="","-",8588.95914)</f>
        <v>8588.95914</v>
      </c>
      <c r="C42" s="35">
        <f>IF(-596.04029="","-",-596.04029)</f>
        <v>-596.04029</v>
      </c>
      <c r="D42" s="50" t="s">
        <v>22</v>
      </c>
    </row>
    <row r="43" spans="1:4" ht="15.75">
      <c r="A43" s="34" t="s">
        <v>18</v>
      </c>
      <c r="B43" s="35">
        <f>IF(294.87214="","-",294.87214)</f>
        <v>294.87214</v>
      </c>
      <c r="C43" s="35">
        <f>IF(140.93687="","-",140.93687)</f>
        <v>140.93687</v>
      </c>
      <c r="D43" s="50">
        <f>IF(OR(294.87214="",140.93687="",294.87214=0),"-",140.93687/294.87214*100)</f>
        <v>47.795926057985675</v>
      </c>
    </row>
    <row r="44" spans="1:4" ht="15.75">
      <c r="A44" s="34" t="s">
        <v>136</v>
      </c>
      <c r="B44" s="35">
        <f>IF(573.16195="","-",573.16195)</f>
        <v>573.16195</v>
      </c>
      <c r="C44" s="35">
        <f>IF(509.02847="","-",509.02847)</f>
        <v>509.02847</v>
      </c>
      <c r="D44" s="50">
        <f>IF(OR(573.16195="",509.02847="",573.16195=0),"-",509.02847/573.16195*100)</f>
        <v>88.81058311704048</v>
      </c>
    </row>
    <row r="45" spans="1:4" ht="15.75">
      <c r="A45" s="34" t="s">
        <v>17</v>
      </c>
      <c r="B45" s="35">
        <f>IF(589.64074="","-",589.64074)</f>
        <v>589.64074</v>
      </c>
      <c r="C45" s="35">
        <f>IF(1903.54575="","-",1903.54575)</f>
        <v>1903.54575</v>
      </c>
      <c r="D45" s="50" t="s">
        <v>221</v>
      </c>
    </row>
    <row r="46" spans="1:4" ht="15.75">
      <c r="A46" s="34" t="s">
        <v>14</v>
      </c>
      <c r="B46" s="35">
        <f>IF(2749.54893="","-",2749.54893)</f>
        <v>2749.54893</v>
      </c>
      <c r="C46" s="35">
        <f>IF(2979.13005="","-",2979.13005)</f>
        <v>2979.13005</v>
      </c>
      <c r="D46" s="50">
        <f>IF(OR(2749.54893="",2979.13005="",2749.54893=0),"-",2979.13005/2749.54893*100)</f>
        <v>108.34977393910208</v>
      </c>
    </row>
    <row r="47" spans="1:4" ht="15.75">
      <c r="A47" s="32" t="s">
        <v>172</v>
      </c>
      <c r="B47" s="33">
        <f>IF(-767430.5968="","-",-767430.5968)</f>
        <v>-767430.5968</v>
      </c>
      <c r="C47" s="33">
        <f>IF(-711109.77079="","-",-711109.77079)</f>
        <v>-711109.77079</v>
      </c>
      <c r="D47" s="49">
        <f>IF(-767430.5968="","-",-711109.77079/-767430.5968*100)</f>
        <v>92.66111798971212</v>
      </c>
    </row>
    <row r="48" spans="1:4" ht="15.75">
      <c r="A48" s="34" t="s">
        <v>60</v>
      </c>
      <c r="B48" s="35">
        <f>IF(-424899.27092="","-",-424899.27092)</f>
        <v>-424899.27092</v>
      </c>
      <c r="C48" s="35">
        <f>IF(-423792.35877="","-",-423792.35877)</f>
        <v>-423792.35877</v>
      </c>
      <c r="D48" s="50">
        <f>IF(OR(-424899.27092="",-423792.35877="",-424899.27092=0),"-",-423792.35877/-424899.27092*100)</f>
        <v>99.73948833858827</v>
      </c>
    </row>
    <row r="49" spans="1:4" ht="15.75">
      <c r="A49" s="34" t="s">
        <v>57</v>
      </c>
      <c r="B49" s="35">
        <f>IF(-178534.10007="","-",-178534.10007)</f>
        <v>-178534.10007</v>
      </c>
      <c r="C49" s="35">
        <f>IF(-131550.58581="","-",-131550.58581)</f>
        <v>-131550.58581</v>
      </c>
      <c r="D49" s="50">
        <f>IF(OR(-178534.10007="",-131550.58581="",-178534.10007=0),"-",-131550.58581/-178534.10007*100)</f>
        <v>73.68373087181742</v>
      </c>
    </row>
    <row r="50" spans="1:4" ht="15.75">
      <c r="A50" s="34" t="s">
        <v>19</v>
      </c>
      <c r="B50" s="35">
        <f>IF(-37728.46858="","-",-37728.46858)</f>
        <v>-37728.46858</v>
      </c>
      <c r="C50" s="35">
        <f>IF(-39912.36573="","-",-39912.36573)</f>
        <v>-39912.36573</v>
      </c>
      <c r="D50" s="50">
        <f>IF(OR(-37728.46858="",-39912.36573="",-37728.46858=0),"-",-39912.36573/-37728.46858*100)</f>
        <v>105.78845956964626</v>
      </c>
    </row>
    <row r="51" spans="1:4" ht="15.75">
      <c r="A51" s="34" t="s">
        <v>77</v>
      </c>
      <c r="B51" s="35">
        <f>IF(-39228.29801="","-",-39228.29801)</f>
        <v>-39228.29801</v>
      </c>
      <c r="C51" s="35">
        <f>IF(-35436.6637="","-",-35436.6637)</f>
        <v>-35436.6637</v>
      </c>
      <c r="D51" s="50">
        <f>IF(OR(-39228.29801="",-35436.6637="",-39228.29801=0),"-",-35436.6637/-39228.29801*100)</f>
        <v>90.3344409460909</v>
      </c>
    </row>
    <row r="52" spans="1:4" ht="15.75">
      <c r="A52" s="34" t="s">
        <v>73</v>
      </c>
      <c r="B52" s="35">
        <f>IF(-26196.72429="","-",-26196.72429)</f>
        <v>-26196.72429</v>
      </c>
      <c r="C52" s="35">
        <f>IF(-34985.26449="","-",-34985.26449)</f>
        <v>-34985.26449</v>
      </c>
      <c r="D52" s="50">
        <f>IF(OR(-26196.72429="",-34985.26449="",-26196.72429=0),"-",-34985.26449/-26196.72429*100)</f>
        <v>133.54824100414277</v>
      </c>
    </row>
    <row r="53" spans="1:4" ht="15.75">
      <c r="A53" s="34" t="s">
        <v>37</v>
      </c>
      <c r="B53" s="35">
        <f>IF(-28668.02243="","-",-28668.02243)</f>
        <v>-28668.02243</v>
      </c>
      <c r="C53" s="35">
        <f>IF(-28661.29817="","-",-28661.29817)</f>
        <v>-28661.29817</v>
      </c>
      <c r="D53" s="50">
        <f>IF(OR(-28668.02243="",-28661.29817="",-28668.02243=0),"-",-28661.29817/-28668.02243*100)</f>
        <v>99.9765443883811</v>
      </c>
    </row>
    <row r="54" spans="1:4" ht="15.75">
      <c r="A54" s="34" t="s">
        <v>70</v>
      </c>
      <c r="B54" s="35">
        <f>IF(-21932.35498="","-",-21932.35498)</f>
        <v>-21932.35498</v>
      </c>
      <c r="C54" s="35">
        <f>IF(-26350.29944="","-",-26350.29944)</f>
        <v>-26350.29944</v>
      </c>
      <c r="D54" s="50">
        <f>IF(OR(-21932.35498="",-26350.29944="",-21932.35498=0),"-",-26350.29944/-21932.35498*100)</f>
        <v>120.14350243751161</v>
      </c>
    </row>
    <row r="55" spans="1:4" ht="15.75">
      <c r="A55" s="34" t="s">
        <v>71</v>
      </c>
      <c r="B55" s="35">
        <f>IF(-14269.54569="","-",-14269.54569)</f>
        <v>-14269.54569</v>
      </c>
      <c r="C55" s="35">
        <f>IF(-14288.89902="","-",-14288.89902)</f>
        <v>-14288.89902</v>
      </c>
      <c r="D55" s="50">
        <f>IF(OR(-14269.54569="",-14288.89902="",-14269.54569=0),"-",-14288.89902/-14269.54569*100)</f>
        <v>100.13562681265714</v>
      </c>
    </row>
    <row r="56" spans="1:4" ht="15.75">
      <c r="A56" s="34" t="s">
        <v>81</v>
      </c>
      <c r="B56" s="35">
        <f>IF(-10675.67675="","-",-10675.67675)</f>
        <v>-10675.67675</v>
      </c>
      <c r="C56" s="35">
        <f>IF(-12157.66723="","-",-12157.66723)</f>
        <v>-12157.66723</v>
      </c>
      <c r="D56" s="50">
        <f>IF(OR(-10675.67675="",-12157.66723="",-10675.67675=0),"-",-12157.66723/-10675.67675*100)</f>
        <v>113.88193474479263</v>
      </c>
    </row>
    <row r="57" spans="1:4" ht="15.75">
      <c r="A57" s="34" t="s">
        <v>67</v>
      </c>
      <c r="B57" s="35">
        <f>IF(-4986.32248="","-",-4986.32248)</f>
        <v>-4986.32248</v>
      </c>
      <c r="C57" s="35">
        <f>IF(-9776.32739="","-",-9776.32739)</f>
        <v>-9776.32739</v>
      </c>
      <c r="D57" s="50" t="s">
        <v>20</v>
      </c>
    </row>
    <row r="58" spans="1:4" ht="15.75">
      <c r="A58" s="34" t="s">
        <v>85</v>
      </c>
      <c r="B58" s="35">
        <f>IF(-8165.46579="","-",-8165.46579)</f>
        <v>-8165.46579</v>
      </c>
      <c r="C58" s="35">
        <f>IF(-6815.94991="","-",-6815.94991)</f>
        <v>-6815.94991</v>
      </c>
      <c r="D58" s="50">
        <f>IF(OR(-8165.46579="",-6815.94991="",-8165.46579=0),"-",-6815.94991/-8165.46579*100)</f>
        <v>83.47288550700057</v>
      </c>
    </row>
    <row r="59" spans="1:4" ht="15.75">
      <c r="A59" s="34" t="s">
        <v>84</v>
      </c>
      <c r="B59" s="35">
        <f>IF(-5523.80189="","-",-5523.80189)</f>
        <v>-5523.80189</v>
      </c>
      <c r="C59" s="35">
        <f>IF(-6795.96081="","-",-6795.96081)</f>
        <v>-6795.96081</v>
      </c>
      <c r="D59" s="50">
        <f>IF(OR(-5523.80189="",-6795.96081="",-5523.80189=0),"-",-6795.96081/-5523.80189*100)</f>
        <v>123.03049503464361</v>
      </c>
    </row>
    <row r="60" spans="1:4" ht="15.75">
      <c r="A60" s="34" t="s">
        <v>72</v>
      </c>
      <c r="B60" s="35">
        <f>IF(-6671.50748="","-",-6671.50748)</f>
        <v>-6671.50748</v>
      </c>
      <c r="C60" s="35">
        <f>IF(-6551.00896="","-",-6551.00896)</f>
        <v>-6551.00896</v>
      </c>
      <c r="D60" s="50">
        <f>IF(OR(-6671.50748="",-6551.00896="",-6671.50748=0),"-",-6551.00896/-6671.50748*100)</f>
        <v>98.19383369708821</v>
      </c>
    </row>
    <row r="61" spans="1:4" ht="15.75">
      <c r="A61" s="34" t="s">
        <v>79</v>
      </c>
      <c r="B61" s="35">
        <f>IF(-5629.14572="","-",-5629.14572)</f>
        <v>-5629.14572</v>
      </c>
      <c r="C61" s="35">
        <f>IF(-6086.33386="","-",-6086.33386)</f>
        <v>-6086.33386</v>
      </c>
      <c r="D61" s="50">
        <f>IF(OR(-5629.14572="",-6086.33386="",-5629.14572=0),"-",-6086.33386/-5629.14572*100)</f>
        <v>108.12180324939251</v>
      </c>
    </row>
    <row r="62" spans="1:4" ht="15.75">
      <c r="A62" s="34" t="s">
        <v>86</v>
      </c>
      <c r="B62" s="35">
        <f>IF(-4149.49037="","-",-4149.49037)</f>
        <v>-4149.49037</v>
      </c>
      <c r="C62" s="35">
        <f>IF(-5299.71461="","-",-5299.71461)</f>
        <v>-5299.71461</v>
      </c>
      <c r="D62" s="50">
        <f>IF(OR(-4149.49037="",-5299.71461="",-4149.49037=0),"-",-5299.71461/-4149.49037*100)</f>
        <v>127.71965078689891</v>
      </c>
    </row>
    <row r="63" spans="1:4" ht="15.75">
      <c r="A63" s="34" t="s">
        <v>87</v>
      </c>
      <c r="B63" s="35">
        <f>IF(-2923.82453="","-",-2923.82453)</f>
        <v>-2923.82453</v>
      </c>
      <c r="C63" s="35">
        <f>IF(-4486.35575="","-",-4486.35575)</f>
        <v>-4486.35575</v>
      </c>
      <c r="D63" s="50" t="s">
        <v>135</v>
      </c>
    </row>
    <row r="64" spans="1:4" ht="15.75">
      <c r="A64" s="34" t="s">
        <v>64</v>
      </c>
      <c r="B64" s="35">
        <f>IF(-4429.64117="","-",-4429.64117)</f>
        <v>-4429.64117</v>
      </c>
      <c r="C64" s="35">
        <f>IF(-4131.04205="","-",-4131.04205)</f>
        <v>-4131.04205</v>
      </c>
      <c r="D64" s="50">
        <f>IF(OR(-4429.64117="",-4131.04205="",-4429.64117=0),"-",-4131.04205/-4429.64117*100)</f>
        <v>93.25906752848788</v>
      </c>
    </row>
    <row r="65" spans="1:4" ht="15.75">
      <c r="A65" s="34" t="s">
        <v>75</v>
      </c>
      <c r="B65" s="35">
        <f>IF(-3052.98072="","-",-3052.98072)</f>
        <v>-3052.98072</v>
      </c>
      <c r="C65" s="35">
        <f>IF(-4113.64491="","-",-4113.64491)</f>
        <v>-4113.64491</v>
      </c>
      <c r="D65" s="50">
        <f>IF(OR(-3052.98072="",-4113.64491="",-3052.98072=0),"-",-4113.64491/-3052.98072*100)</f>
        <v>134.74192231387562</v>
      </c>
    </row>
    <row r="66" spans="1:4" ht="15.75">
      <c r="A66" s="34" t="s">
        <v>82</v>
      </c>
      <c r="B66" s="35">
        <f>IF(-4459.91971="","-",-4459.91971)</f>
        <v>-4459.91971</v>
      </c>
      <c r="C66" s="35">
        <f>IF(-3344.57664="","-",-3344.57664)</f>
        <v>-3344.57664</v>
      </c>
      <c r="D66" s="50">
        <f>IF(OR(-4459.91971="",-3344.57664="",-4459.91971=0),"-",-3344.57664/-4459.91971*100)</f>
        <v>74.99185764489917</v>
      </c>
    </row>
    <row r="67" spans="1:4" ht="15.75">
      <c r="A67" s="34" t="s">
        <v>83</v>
      </c>
      <c r="B67" s="35">
        <f>IF(-3914.93935="","-",-3914.93935)</f>
        <v>-3914.93935</v>
      </c>
      <c r="C67" s="35">
        <f>IF(-3064.53179="","-",-3064.53179)</f>
        <v>-3064.53179</v>
      </c>
      <c r="D67" s="50">
        <f>IF(OR(-3914.93935="",-3064.53179="",-3914.93935=0),"-",-3064.53179/-3914.93935*100)</f>
        <v>78.27788673150198</v>
      </c>
    </row>
    <row r="68" spans="1:4" ht="15.75">
      <c r="A68" s="34" t="s">
        <v>166</v>
      </c>
      <c r="B68" s="35">
        <f>IF(-1819.46557="","-",-1819.46557)</f>
        <v>-1819.46557</v>
      </c>
      <c r="C68" s="35">
        <f>IF(-2754.46114="","-",-2754.46114)</f>
        <v>-2754.46114</v>
      </c>
      <c r="D68" s="50" t="s">
        <v>135</v>
      </c>
    </row>
    <row r="69" spans="1:4" ht="15.75">
      <c r="A69" s="34" t="s">
        <v>63</v>
      </c>
      <c r="B69" s="35">
        <f>IF(-6913.54744="","-",-6913.54744)</f>
        <v>-6913.54744</v>
      </c>
      <c r="C69" s="35">
        <f>IF(-2750.65186="","-",-2750.65186)</f>
        <v>-2750.65186</v>
      </c>
      <c r="D69" s="50">
        <f>IF(OR(-6913.54744="",-2750.65186="",-6913.54744=0),"-",-2750.65186/-6913.54744*100)</f>
        <v>39.78640320142216</v>
      </c>
    </row>
    <row r="70" spans="1:4" ht="15.75">
      <c r="A70" s="34" t="s">
        <v>88</v>
      </c>
      <c r="B70" s="35">
        <f>IF(-1178.87674="","-",-1178.87674)</f>
        <v>-1178.87674</v>
      </c>
      <c r="C70" s="35">
        <f>IF(-2697.79081="","-",-2697.79081)</f>
        <v>-2697.79081</v>
      </c>
      <c r="D70" s="50" t="s">
        <v>167</v>
      </c>
    </row>
    <row r="71" spans="1:4" ht="15.75">
      <c r="A71" s="34" t="s">
        <v>144</v>
      </c>
      <c r="B71" s="35">
        <f>IF(-791.38275="","-",-791.38275)</f>
        <v>-791.38275</v>
      </c>
      <c r="C71" s="35">
        <f>IF(-2171.16507="","-",-2171.16507)</f>
        <v>-2171.16507</v>
      </c>
      <c r="D71" s="50" t="s">
        <v>214</v>
      </c>
    </row>
    <row r="72" spans="1:4" ht="15.75">
      <c r="A72" s="34" t="s">
        <v>62</v>
      </c>
      <c r="B72" s="35">
        <f>IF(-1414.36324="","-",-1414.36324)</f>
        <v>-1414.36324</v>
      </c>
      <c r="C72" s="35">
        <f>IF(-2104.18969="","-",-2104.18969)</f>
        <v>-2104.18969</v>
      </c>
      <c r="D72" s="50">
        <f>IF(OR(-1414.36324="",-2104.18969="",-1414.36324=0),"-",-2104.18969/-1414.36324*100)</f>
        <v>148.77293403072326</v>
      </c>
    </row>
    <row r="73" spans="1:4" ht="15.75">
      <c r="A73" s="34" t="s">
        <v>76</v>
      </c>
      <c r="B73" s="35">
        <f>IF(6493.96489="","-",6493.96489)</f>
        <v>6493.96489</v>
      </c>
      <c r="C73" s="35">
        <f>IF(-2045.93199="","-",-2045.93199)</f>
        <v>-2045.93199</v>
      </c>
      <c r="D73" s="50" t="s">
        <v>22</v>
      </c>
    </row>
    <row r="74" spans="1:4" ht="15.75">
      <c r="A74" s="34" t="s">
        <v>90</v>
      </c>
      <c r="B74" s="35">
        <f>IF(-3724.07488="","-",-3724.07488)</f>
        <v>-3724.07488</v>
      </c>
      <c r="C74" s="35">
        <f>IF(-2009.68112="","-",-2009.68112)</f>
        <v>-2009.68112</v>
      </c>
      <c r="D74" s="50">
        <f>IF(OR(-3724.07488="",-2009.68112="",-3724.07488=0),"-",-2009.68112/-3724.07488*100)</f>
        <v>53.96457334391729</v>
      </c>
    </row>
    <row r="75" spans="1:4" ht="15.75">
      <c r="A75" s="34" t="s">
        <v>89</v>
      </c>
      <c r="B75" s="35">
        <f>IF(-1794.12988="","-",-1794.12988)</f>
        <v>-1794.12988</v>
      </c>
      <c r="C75" s="35">
        <f>IF(-1677.66852="","-",-1677.66852)</f>
        <v>-1677.66852</v>
      </c>
      <c r="D75" s="50">
        <f>IF(OR(-1794.12988="",-1677.66852="",-1794.12988=0),"-",-1677.66852/-1794.12988*100)</f>
        <v>93.5087553416144</v>
      </c>
    </row>
    <row r="76" spans="1:4" ht="15.75">
      <c r="A76" s="34" t="s">
        <v>40</v>
      </c>
      <c r="B76" s="35">
        <f>IF(-2656.72398="","-",-2656.72398)</f>
        <v>-2656.72398</v>
      </c>
      <c r="C76" s="35">
        <f>IF(-1517.64225="","-",-1517.64225)</f>
        <v>-1517.64225</v>
      </c>
      <c r="D76" s="50">
        <f>IF(OR(-2656.72398="",-1517.64225="",-2656.72398=0),"-",-1517.64225/-2656.72398*100)</f>
        <v>57.124573776760954</v>
      </c>
    </row>
    <row r="77" spans="1:4" ht="15.75">
      <c r="A77" s="34" t="s">
        <v>39</v>
      </c>
      <c r="B77" s="35">
        <f>IF(-913.30369="","-",-913.30369)</f>
        <v>-913.30369</v>
      </c>
      <c r="C77" s="35">
        <f>IF(-1446.83114="","-",-1446.83114)</f>
        <v>-1446.83114</v>
      </c>
      <c r="D77" s="50" t="s">
        <v>107</v>
      </c>
    </row>
    <row r="78" spans="1:4" ht="15.75">
      <c r="A78" s="34" t="s">
        <v>68</v>
      </c>
      <c r="B78" s="35">
        <f>IF(-1286.04506="","-",-1286.04506)</f>
        <v>-1286.04506</v>
      </c>
      <c r="C78" s="35">
        <f>IF(-1275.3197="","-",-1275.3197)</f>
        <v>-1275.3197</v>
      </c>
      <c r="D78" s="50">
        <f>IF(OR(-1286.04506="",-1275.3197="",-1286.04506=0),"-",-1275.3197/-1286.04506*100)</f>
        <v>99.16601989046947</v>
      </c>
    </row>
    <row r="79" spans="1:4" ht="15.75">
      <c r="A79" s="34" t="s">
        <v>74</v>
      </c>
      <c r="B79" s="35">
        <f>IF(-1573.5381="","-",-1573.5381)</f>
        <v>-1573.5381</v>
      </c>
      <c r="C79" s="35">
        <f>IF(-1098.10668="","-",-1098.10668)</f>
        <v>-1098.10668</v>
      </c>
      <c r="D79" s="50">
        <f>IF(OR(-1573.5381="",-1098.10668="",-1573.5381=0),"-",-1098.10668/-1573.5381*100)</f>
        <v>69.78583359373377</v>
      </c>
    </row>
    <row r="80" spans="1:4" ht="15.75">
      <c r="A80" s="34" t="s">
        <v>91</v>
      </c>
      <c r="B80" s="35">
        <f>IF(-973.72006="","-",-973.72006)</f>
        <v>-973.72006</v>
      </c>
      <c r="C80" s="35">
        <f>IF(-959.70973="","-",-959.70973)</f>
        <v>-959.70973</v>
      </c>
      <c r="D80" s="50">
        <f>IF(OR(-973.72006="",-959.70973="",-973.72006=0),"-",-959.70973/-973.72006*100)</f>
        <v>98.56115421921163</v>
      </c>
    </row>
    <row r="81" spans="1:4" ht="15.75">
      <c r="A81" s="34" t="s">
        <v>98</v>
      </c>
      <c r="B81" s="35">
        <f>IF(-948.33138="","-",-948.33138)</f>
        <v>-948.33138</v>
      </c>
      <c r="C81" s="35">
        <f>IF(-885.15063="","-",-885.15063)</f>
        <v>-885.15063</v>
      </c>
      <c r="D81" s="50">
        <f>IF(OR(-948.33138="",-885.15063="",-948.33138=0),"-",-885.15063/-948.33138*100)</f>
        <v>93.33769277992256</v>
      </c>
    </row>
    <row r="82" spans="1:4" ht="15.75">
      <c r="A82" s="34" t="s">
        <v>218</v>
      </c>
      <c r="B82" s="35">
        <f>IF(-385.91171="","-",-385.91171)</f>
        <v>-385.91171</v>
      </c>
      <c r="C82" s="35">
        <f>IF(-788.28642="","-",-788.28642)</f>
        <v>-788.28642</v>
      </c>
      <c r="D82" s="50" t="s">
        <v>20</v>
      </c>
    </row>
    <row r="83" spans="1:4" ht="15.75">
      <c r="A83" s="34" t="s">
        <v>93</v>
      </c>
      <c r="B83" s="35">
        <f>IF(-293.44946="","-",-293.44946)</f>
        <v>-293.44946</v>
      </c>
      <c r="C83" s="35">
        <f>IF(-754.13951="","-",-754.13951)</f>
        <v>-754.13951</v>
      </c>
      <c r="D83" s="50" t="s">
        <v>186</v>
      </c>
    </row>
    <row r="84" spans="1:4" ht="15.75">
      <c r="A84" s="34" t="s">
        <v>160</v>
      </c>
      <c r="B84" s="35">
        <f>IF(-455.87154="","-",-455.87154)</f>
        <v>-455.87154</v>
      </c>
      <c r="C84" s="35">
        <f>IF(-707.95516="","-",-707.95516)</f>
        <v>-707.95516</v>
      </c>
      <c r="D84" s="50" t="s">
        <v>107</v>
      </c>
    </row>
    <row r="85" spans="1:4" ht="15.75">
      <c r="A85" s="34" t="s">
        <v>99</v>
      </c>
      <c r="B85" s="35">
        <f>IF(-478.65862="","-",-478.65862)</f>
        <v>-478.65862</v>
      </c>
      <c r="C85" s="35">
        <f>IF(-543.29313="","-",-543.29313)</f>
        <v>-543.29313</v>
      </c>
      <c r="D85" s="50">
        <f>IF(OR(-478.65862="",-543.29313="",-478.65862=0),"-",-543.29313/-478.65862*100)</f>
        <v>113.50325833471882</v>
      </c>
    </row>
    <row r="86" spans="1:4" ht="15.75">
      <c r="A86" s="34" t="s">
        <v>95</v>
      </c>
      <c r="B86" s="35">
        <f>IF(-456.00235="","-",-456.00235)</f>
        <v>-456.00235</v>
      </c>
      <c r="C86" s="35">
        <f>IF(-522.69036="","-",-522.69036)</f>
        <v>-522.69036</v>
      </c>
      <c r="D86" s="50">
        <f>IF(OR(-456.00235="",-522.69036="",-456.00235=0),"-",-522.69036/-456.00235*100)</f>
        <v>114.62448822906288</v>
      </c>
    </row>
    <row r="87" spans="1:4" ht="15.75">
      <c r="A87" s="34" t="s">
        <v>94</v>
      </c>
      <c r="B87" s="35">
        <f>IF(-906.3797="","-",-906.3797)</f>
        <v>-906.3797</v>
      </c>
      <c r="C87" s="35">
        <f>IF(-472.47217="","-",-472.47217)</f>
        <v>-472.47217</v>
      </c>
      <c r="D87" s="50">
        <f>IF(OR(-906.3797="",-472.47217="",-906.3797=0),"-",-472.47217/-906.3797*100)</f>
        <v>52.127399808270205</v>
      </c>
    </row>
    <row r="88" spans="1:4" ht="15.75">
      <c r="A88" s="34" t="s">
        <v>80</v>
      </c>
      <c r="B88" s="35">
        <f>IF(-829.93938="","-",-829.93938)</f>
        <v>-829.93938</v>
      </c>
      <c r="C88" s="35">
        <f>IF(-447.02936="","-",-447.02936)</f>
        <v>-447.02936</v>
      </c>
      <c r="D88" s="50">
        <f>IF(OR(-829.93938="",-447.02936="",-829.93938=0),"-",-447.02936/-829.93938*100)</f>
        <v>53.86289297418324</v>
      </c>
    </row>
    <row r="89" spans="1:4" ht="15.75">
      <c r="A89" s="34" t="s">
        <v>102</v>
      </c>
      <c r="B89" s="35">
        <f>IF(-523.48042="","-",-523.48042)</f>
        <v>-523.48042</v>
      </c>
      <c r="C89" s="35">
        <f>IF(-446.27663="","-",-446.27663)</f>
        <v>-446.27663</v>
      </c>
      <c r="D89" s="50">
        <f>IF(OR(-523.48042="",-446.27663="",-523.48042=0),"-",-446.27663/-523.48042*100)</f>
        <v>85.2518285211126</v>
      </c>
    </row>
    <row r="90" spans="1:4" ht="15.75">
      <c r="A90" s="34" t="s">
        <v>145</v>
      </c>
      <c r="B90" s="35">
        <f>IF(-1290.91291="","-",-1290.91291)</f>
        <v>-1290.91291</v>
      </c>
      <c r="C90" s="35">
        <f>IF(-353.61115="","-",-353.61115)</f>
        <v>-353.61115</v>
      </c>
      <c r="D90" s="50">
        <f>IF(OR(-1290.91291="",-353.61115="",-1290.91291=0),"-",-353.61115/-1290.91291*100)</f>
        <v>27.392331989305152</v>
      </c>
    </row>
    <row r="91" spans="1:4" ht="15.75">
      <c r="A91" s="34" t="s">
        <v>92</v>
      </c>
      <c r="B91" s="35">
        <f>IF(-935.35609="","-",-935.35609)</f>
        <v>-935.35609</v>
      </c>
      <c r="C91" s="35">
        <f>IF(-353.44357="","-",-353.44357)</f>
        <v>-353.44357</v>
      </c>
      <c r="D91" s="50">
        <f>IF(OR(-935.35609="",-353.44357="",-935.35609=0),"-",-353.44357/-935.35609*100)</f>
        <v>37.78706032693923</v>
      </c>
    </row>
    <row r="92" spans="1:4" ht="15.75">
      <c r="A92" s="34" t="s">
        <v>187</v>
      </c>
      <c r="B92" s="35">
        <f>IF(-80.35185="","-",-80.35185)</f>
        <v>-80.35185</v>
      </c>
      <c r="C92" s="35">
        <f>IF(-273.18329="","-",-273.18329)</f>
        <v>-273.18329</v>
      </c>
      <c r="D92" s="50" t="s">
        <v>222</v>
      </c>
    </row>
    <row r="93" spans="1:4" ht="15.75">
      <c r="A93" s="34" t="s">
        <v>96</v>
      </c>
      <c r="B93" s="35">
        <f>IF(-372.93404="","-",-372.93404)</f>
        <v>-372.93404</v>
      </c>
      <c r="C93" s="35">
        <f>IF(-234.19281="","-",-234.19281)</f>
        <v>-234.19281</v>
      </c>
      <c r="D93" s="50">
        <f>IF(OR(-372.93404="",-234.19281="",-372.93404=0),"-",-234.19281/-372.93404*100)</f>
        <v>62.79738100603528</v>
      </c>
    </row>
    <row r="94" spans="1:4" ht="15.75">
      <c r="A94" s="34" t="s">
        <v>104</v>
      </c>
      <c r="B94" s="35">
        <f>IF(-391.98947="","-",-391.98947)</f>
        <v>-391.98947</v>
      </c>
      <c r="C94" s="35">
        <f>IF(-180.92677="","-",-180.92677)</f>
        <v>-180.92677</v>
      </c>
      <c r="D94" s="50">
        <f>IF(OR(-391.98947="",-180.92677="",-391.98947=0),"-",-180.92677/-391.98947*100)</f>
        <v>46.156028119837</v>
      </c>
    </row>
    <row r="95" spans="1:4" ht="15.75">
      <c r="A95" s="34" t="s">
        <v>147</v>
      </c>
      <c r="B95" s="35">
        <f>IF(1595.92606="","-",1595.92606)</f>
        <v>1595.92606</v>
      </c>
      <c r="C95" s="35">
        <f>IF(-162.73502="","-",-162.73502)</f>
        <v>-162.73502</v>
      </c>
      <c r="D95" s="50" t="s">
        <v>22</v>
      </c>
    </row>
    <row r="96" spans="1:4" ht="15.75">
      <c r="A96" s="34" t="s">
        <v>114</v>
      </c>
      <c r="B96" s="35">
        <f>IF(368.75553="","-",368.75553)</f>
        <v>368.75553</v>
      </c>
      <c r="C96" s="35">
        <f>IF(-151.48672="","-",-151.48672)</f>
        <v>-151.48672</v>
      </c>
      <c r="D96" s="50" t="s">
        <v>22</v>
      </c>
    </row>
    <row r="97" spans="1:4" ht="15.75">
      <c r="A97" s="34" t="s">
        <v>146</v>
      </c>
      <c r="B97" s="35">
        <f>IF(-17.97761="","-",-17.97761)</f>
        <v>-17.97761</v>
      </c>
      <c r="C97" s="35">
        <f>IF(-147.7001="","-",-147.7001)</f>
        <v>-147.7001</v>
      </c>
      <c r="D97" s="50" t="s">
        <v>193</v>
      </c>
    </row>
    <row r="98" spans="1:4" ht="15.75">
      <c r="A98" s="34" t="s">
        <v>154</v>
      </c>
      <c r="B98" s="35">
        <f>IF(-95.82366="","-",-95.82366)</f>
        <v>-95.82366</v>
      </c>
      <c r="C98" s="35">
        <f>IF(-141.76597="","-",-141.76597)</f>
        <v>-141.76597</v>
      </c>
      <c r="D98" s="50">
        <f>IF(OR(-95.82366="",-141.76597="",-95.82366=0),"-",-141.76597/-95.82366*100)</f>
        <v>147.94464122952516</v>
      </c>
    </row>
    <row r="99" spans="1:4" ht="15.75">
      <c r="A99" s="34" t="s">
        <v>173</v>
      </c>
      <c r="B99" s="35">
        <f>IF(-314.62829="","-",-314.62829)</f>
        <v>-314.62829</v>
      </c>
      <c r="C99" s="35">
        <f>IF(-122.74016="","-",-122.74016)</f>
        <v>-122.74016</v>
      </c>
      <c r="D99" s="50">
        <f>IF(OR(-314.62829="",-122.74016="",-314.62829=0),"-",-122.74016/-314.62829*100)</f>
        <v>39.01116457137405</v>
      </c>
    </row>
    <row r="100" spans="1:4" ht="15.75">
      <c r="A100" s="34" t="s">
        <v>153</v>
      </c>
      <c r="B100" s="35">
        <f>IF(370.81858="","-",370.81858)</f>
        <v>370.81858</v>
      </c>
      <c r="C100" s="35">
        <f>IF(-113.22526="","-",-113.22526)</f>
        <v>-113.22526</v>
      </c>
      <c r="D100" s="50" t="s">
        <v>22</v>
      </c>
    </row>
    <row r="101" spans="1:4" ht="15.75">
      <c r="A101" s="34" t="s">
        <v>190</v>
      </c>
      <c r="B101" s="35">
        <f>IF(-67.30059="","-",-67.30059)</f>
        <v>-67.30059</v>
      </c>
      <c r="C101" s="35">
        <f>IF(-102.89232="","-",-102.89232)</f>
        <v>-102.89232</v>
      </c>
      <c r="D101" s="50" t="s">
        <v>135</v>
      </c>
    </row>
    <row r="102" spans="1:4" ht="15.75">
      <c r="A102" s="34" t="s">
        <v>196</v>
      </c>
      <c r="B102" s="35">
        <f>IF(-149.87745="","-",-149.87745)</f>
        <v>-149.87745</v>
      </c>
      <c r="C102" s="35">
        <f>IF(-101.60686="","-",-101.60686)</f>
        <v>-101.60686</v>
      </c>
      <c r="D102" s="50">
        <f>IF(OR(-149.87745="",-101.60686="",-149.87745=0),"-",-101.60686/-149.87745*100)</f>
        <v>67.7932937876912</v>
      </c>
    </row>
    <row r="103" spans="1:4" ht="15.75">
      <c r="A103" s="34" t="s">
        <v>189</v>
      </c>
      <c r="B103" s="35">
        <f>IF(-65.52906="","-",-65.52906)</f>
        <v>-65.52906</v>
      </c>
      <c r="C103" s="35">
        <f>IF(-95.27193="","-",-95.27193)</f>
        <v>-95.27193</v>
      </c>
      <c r="D103" s="50">
        <f>IF(OR(-65.52906="",-95.27193="",-65.52906=0),"-",-95.27193/-65.52906*100)</f>
        <v>145.38882443911143</v>
      </c>
    </row>
    <row r="104" spans="1:4" ht="15.75">
      <c r="A104" s="34" t="s">
        <v>192</v>
      </c>
      <c r="B104" s="35">
        <f>IF(-84.993="","-",-84.993)</f>
        <v>-84.993</v>
      </c>
      <c r="C104" s="35">
        <f>IF(-94.94833="","-",-94.94833)</f>
        <v>-94.94833</v>
      </c>
      <c r="D104" s="50">
        <f>IF(OR(-84.993="",-94.94833="",-84.993=0),"-",-94.94833/-84.993*100)</f>
        <v>111.71311755085713</v>
      </c>
    </row>
    <row r="105" spans="1:4" ht="15.75">
      <c r="A105" s="34" t="s">
        <v>188</v>
      </c>
      <c r="B105" s="35">
        <f>IF(-82.82238="","-",-82.82238)</f>
        <v>-82.82238</v>
      </c>
      <c r="C105" s="35">
        <f>IF(-94.73302="","-",-94.73302)</f>
        <v>-94.73302</v>
      </c>
      <c r="D105" s="50">
        <f>IF(OR(-82.82238="",-94.73302="",-82.82238=0),"-",-94.73302/-82.82238*100)</f>
        <v>114.38094389463332</v>
      </c>
    </row>
    <row r="106" spans="1:4" ht="15.75">
      <c r="A106" s="34" t="s">
        <v>217</v>
      </c>
      <c r="B106" s="35">
        <f>IF(965.38917="","-",965.38917)</f>
        <v>965.38917</v>
      </c>
      <c r="C106" s="35">
        <f>IF(-17.7966="","-",-17.7966)</f>
        <v>-17.7966</v>
      </c>
      <c r="D106" s="50" t="s">
        <v>22</v>
      </c>
    </row>
    <row r="107" spans="1:4" ht="15.75">
      <c r="A107" s="34" t="s">
        <v>185</v>
      </c>
      <c r="B107" s="35">
        <f>IF(77.69399="","-",77.69399)</f>
        <v>77.69399</v>
      </c>
      <c r="C107" s="35">
        <f>IF(80.80409="","-",80.80409)</f>
        <v>80.80409</v>
      </c>
      <c r="D107" s="50">
        <f>IF(OR(77.69399="",80.80409="",77.69399=0),"-",80.80409/77.69399*100)</f>
        <v>104.00301233081221</v>
      </c>
    </row>
    <row r="108" spans="1:4" ht="15.75">
      <c r="A108" s="34" t="s">
        <v>165</v>
      </c>
      <c r="B108" s="35">
        <f>IF(48.96218="","-",48.96218)</f>
        <v>48.96218</v>
      </c>
      <c r="C108" s="35">
        <f>IF(89.75482="","-",89.75482)</f>
        <v>89.75482</v>
      </c>
      <c r="D108" s="50" t="s">
        <v>105</v>
      </c>
    </row>
    <row r="109" spans="1:4" ht="15.75">
      <c r="A109" s="34" t="s">
        <v>184</v>
      </c>
      <c r="B109" s="35">
        <f>IF(55.6754="","-",55.6754)</f>
        <v>55.6754</v>
      </c>
      <c r="C109" s="35">
        <f>IF(97.79062="","-",97.79062)</f>
        <v>97.79062</v>
      </c>
      <c r="D109" s="50" t="s">
        <v>105</v>
      </c>
    </row>
    <row r="110" spans="1:4" ht="15.75">
      <c r="A110" s="34" t="s">
        <v>205</v>
      </c>
      <c r="B110" s="35">
        <f>IF(326.76673="","-",326.76673)</f>
        <v>326.76673</v>
      </c>
      <c r="C110" s="35">
        <f>IF(99.26525="","-",99.26525)</f>
        <v>99.26525</v>
      </c>
      <c r="D110" s="50">
        <f>IF(OR(326.76673="",99.26525="",326.76673=0),"-",99.26525/326.76673*100)</f>
        <v>30.37801614625822</v>
      </c>
    </row>
    <row r="111" spans="1:4" ht="15.75">
      <c r="A111" s="34" t="s">
        <v>176</v>
      </c>
      <c r="B111" s="35">
        <f>IF(106.766="","-",106.766)</f>
        <v>106.766</v>
      </c>
      <c r="C111" s="35">
        <f>IF(129.0535="","-",129.0535)</f>
        <v>129.0535</v>
      </c>
      <c r="D111" s="50">
        <f>IF(OR(106.766="",129.0535="",106.766=0),"-",129.0535/106.766*100)</f>
        <v>120.87509132120712</v>
      </c>
    </row>
    <row r="112" spans="1:4" ht="15.75">
      <c r="A112" s="34" t="s">
        <v>109</v>
      </c>
      <c r="B112" s="35">
        <f>IF(251.06133="","-",251.06133)</f>
        <v>251.06133</v>
      </c>
      <c r="C112" s="35">
        <f>IF(133.94691="","-",133.94691)</f>
        <v>133.94691</v>
      </c>
      <c r="D112" s="50">
        <f>IF(OR(251.06133="",133.94691="",251.06133=0),"-",133.94691/251.06133*100)</f>
        <v>53.352266555745565</v>
      </c>
    </row>
    <row r="113" spans="1:4" ht="15.75">
      <c r="A113" s="34" t="s">
        <v>38</v>
      </c>
      <c r="B113" s="35">
        <f>IF(4252.7582="","-",4252.7582)</f>
        <v>4252.7582</v>
      </c>
      <c r="C113" s="35">
        <f>IF(183.17512="","-",183.17512)</f>
        <v>183.17512</v>
      </c>
      <c r="D113" s="50">
        <f>IF(OR(4252.7582="",183.17512="",4252.7582=0),"-",183.17512/4252.7582*100)</f>
        <v>4.307207496537188</v>
      </c>
    </row>
    <row r="114" spans="1:4" ht="15.75">
      <c r="A114" s="34" t="s">
        <v>139</v>
      </c>
      <c r="B114" s="35">
        <f>IF(185.79915="","-",185.79915)</f>
        <v>185.79915</v>
      </c>
      <c r="C114" s="35">
        <f>IF(242.45679="","-",242.45679)</f>
        <v>242.45679</v>
      </c>
      <c r="D114" s="50">
        <f>IF(OR(185.79915="",242.45679="",185.79915=0),"-",242.45679/185.79915*100)</f>
        <v>130.49402540323786</v>
      </c>
    </row>
    <row r="115" spans="1:4" ht="15.75">
      <c r="A115" s="34" t="s">
        <v>164</v>
      </c>
      <c r="B115" s="35">
        <f>IF(262.26763="","-",262.26763)</f>
        <v>262.26763</v>
      </c>
      <c r="C115" s="35">
        <f>IF(315.46325="","-",315.46325)</f>
        <v>315.46325</v>
      </c>
      <c r="D115" s="50">
        <f>IF(OR(262.26763="",315.46325="",262.26763=0),"-",315.46325/262.26763*100)</f>
        <v>120.28295295153275</v>
      </c>
    </row>
    <row r="116" spans="1:4" ht="15.75">
      <c r="A116" s="34" t="s">
        <v>149</v>
      </c>
      <c r="B116" s="35">
        <f>IF(428.26662="","-",428.26662)</f>
        <v>428.26662</v>
      </c>
      <c r="C116" s="35">
        <f>IF(346.33276="","-",346.33276)</f>
        <v>346.33276</v>
      </c>
      <c r="D116" s="50">
        <f>IF(OR(428.26662="",346.33276="",428.26662=0),"-",346.33276/428.26662*100)</f>
        <v>80.86849262265642</v>
      </c>
    </row>
    <row r="117" spans="1:4" ht="15.75">
      <c r="A117" s="34" t="s">
        <v>148</v>
      </c>
      <c r="B117" s="35">
        <f>IF(7.147="","-",7.147)</f>
        <v>7.147</v>
      </c>
      <c r="C117" s="35">
        <f>IF(369.86913="","-",369.86913)</f>
        <v>369.86913</v>
      </c>
      <c r="D117" s="50" t="s">
        <v>223</v>
      </c>
    </row>
    <row r="118" spans="1:4" ht="15.75">
      <c r="A118" s="34" t="s">
        <v>141</v>
      </c>
      <c r="B118" s="35">
        <f>IF(35.0227="","-",35.0227)</f>
        <v>35.0227</v>
      </c>
      <c r="C118" s="35">
        <f>IF(382.85778="","-",382.85778)</f>
        <v>382.85778</v>
      </c>
      <c r="D118" s="50" t="s">
        <v>224</v>
      </c>
    </row>
    <row r="119" spans="1:4" ht="15.75">
      <c r="A119" s="34" t="s">
        <v>142</v>
      </c>
      <c r="B119" s="35">
        <f>IF(95.43029="","-",95.43029)</f>
        <v>95.43029</v>
      </c>
      <c r="C119" s="35">
        <f>IF(390.55589="","-",390.55589)</f>
        <v>390.55589</v>
      </c>
      <c r="D119" s="50" t="s">
        <v>180</v>
      </c>
    </row>
    <row r="120" spans="1:4" ht="15.75">
      <c r="A120" s="34" t="s">
        <v>97</v>
      </c>
      <c r="B120" s="35">
        <f>IF(408.68746="","-",408.68746)</f>
        <v>408.68746</v>
      </c>
      <c r="C120" s="35">
        <f>IF(584.64953="","-",584.64953)</f>
        <v>584.64953</v>
      </c>
      <c r="D120" s="50">
        <f>IF(OR(408.68746="",584.64953="",408.68746=0),"-",584.64953/408.68746*100)</f>
        <v>143.05541207454715</v>
      </c>
    </row>
    <row r="121" spans="1:4" ht="15.75">
      <c r="A121" s="34" t="s">
        <v>103</v>
      </c>
      <c r="B121" s="35">
        <f>IF(-456.62115="","-",-456.62115)</f>
        <v>-456.62115</v>
      </c>
      <c r="C121" s="35">
        <f>IF(680.47364="","-",680.47364)</f>
        <v>680.47364</v>
      </c>
      <c r="D121" s="50" t="s">
        <v>22</v>
      </c>
    </row>
    <row r="122" spans="1:4" ht="15.75">
      <c r="A122" s="34" t="s">
        <v>204</v>
      </c>
      <c r="B122" s="35">
        <f>IF(-35.18952="","-",-35.18952)</f>
        <v>-35.18952</v>
      </c>
      <c r="C122" s="35">
        <f>IF(765.40077="","-",765.40077)</f>
        <v>765.40077</v>
      </c>
      <c r="D122" s="50" t="s">
        <v>22</v>
      </c>
    </row>
    <row r="123" spans="1:4" ht="15.75">
      <c r="A123" s="34" t="s">
        <v>65</v>
      </c>
      <c r="B123" s="35">
        <f>IF(2104.38369="","-",2104.38369)</f>
        <v>2104.38369</v>
      </c>
      <c r="C123" s="35">
        <f>IF(860.17564="","-",860.17564)</f>
        <v>860.17564</v>
      </c>
      <c r="D123" s="50">
        <f>IF(OR(2104.38369="",860.17564="",2104.38369=0),"-",860.17564/2104.38369*100)</f>
        <v>40.87541849366833</v>
      </c>
    </row>
    <row r="124" spans="1:4" ht="15.75">
      <c r="A124" s="34" t="s">
        <v>111</v>
      </c>
      <c r="B124" s="35">
        <f>IF(344.29964="","-",344.29964)</f>
        <v>344.29964</v>
      </c>
      <c r="C124" s="35">
        <f>IF(915.81447="","-",915.81447)</f>
        <v>915.81447</v>
      </c>
      <c r="D124" s="50" t="s">
        <v>214</v>
      </c>
    </row>
    <row r="125" spans="1:4" ht="15.75">
      <c r="A125" s="34" t="s">
        <v>140</v>
      </c>
      <c r="B125" s="35" t="str">
        <f>IF(OR(0="",981.87733="",0=0),"-",981.87733/0*100)</f>
        <v>-</v>
      </c>
      <c r="C125" s="35">
        <f>IF(981.87733="","-",981.87733)</f>
        <v>981.87733</v>
      </c>
      <c r="D125" s="50" t="str">
        <f>IF(OR(0="",981.87733="",0=0),"-",981.87733/0*100)</f>
        <v>-</v>
      </c>
    </row>
    <row r="126" spans="1:4" ht="15.75">
      <c r="A126" s="34" t="s">
        <v>162</v>
      </c>
      <c r="B126" s="35">
        <f>IF(69.65623="","-",69.65623)</f>
        <v>69.65623</v>
      </c>
      <c r="C126" s="35">
        <f>IF(1001.23142="","-",1001.23142)</f>
        <v>1001.23142</v>
      </c>
      <c r="D126" s="50" t="s">
        <v>174</v>
      </c>
    </row>
    <row r="127" spans="1:4" ht="15.75">
      <c r="A127" s="34" t="s">
        <v>78</v>
      </c>
      <c r="B127" s="35">
        <f>IF(1099.82208="","-",1099.82208)</f>
        <v>1099.82208</v>
      </c>
      <c r="C127" s="35">
        <f>IF(1211.05963="","-",1211.05963)</f>
        <v>1211.05963</v>
      </c>
      <c r="D127" s="50">
        <f>IF(OR(1099.82208="",1211.05963="",1099.82208=0),"-",1211.05963/1099.82208*100)</f>
        <v>110.11414046170087</v>
      </c>
    </row>
    <row r="128" spans="1:4" ht="15.75">
      <c r="A128" s="34" t="s">
        <v>69</v>
      </c>
      <c r="B128" s="35">
        <f>IF(-2814.5564="","-",-2814.5564)</f>
        <v>-2814.5564</v>
      </c>
      <c r="C128" s="35">
        <f>IF(1352.85848="","-",1352.85848)</f>
        <v>1352.85848</v>
      </c>
      <c r="D128" s="50" t="s">
        <v>22</v>
      </c>
    </row>
    <row r="129" spans="1:4" ht="15.75">
      <c r="A129" s="34" t="s">
        <v>138</v>
      </c>
      <c r="B129" s="35">
        <f>IF(-123.96416="","-",-123.96416)</f>
        <v>-123.96416</v>
      </c>
      <c r="C129" s="35">
        <f>IF(3021.10454="","-",3021.10454)</f>
        <v>3021.10454</v>
      </c>
      <c r="D129" s="50" t="s">
        <v>22</v>
      </c>
    </row>
    <row r="130" spans="1:4" ht="15.75">
      <c r="A130" s="34" t="s">
        <v>66</v>
      </c>
      <c r="B130" s="35">
        <f>IF(-392.85968="","-",-392.85968)</f>
        <v>-392.85968</v>
      </c>
      <c r="C130" s="35">
        <f>IF(5747.60703="","-",5747.60703)</f>
        <v>5747.60703</v>
      </c>
      <c r="D130" s="50" t="s">
        <v>22</v>
      </c>
    </row>
    <row r="131" spans="1:4" ht="15.75">
      <c r="A131" s="34" t="s">
        <v>58</v>
      </c>
      <c r="B131" s="35">
        <f>IF(9705.5751="","-",9705.5751)</f>
        <v>9705.5751</v>
      </c>
      <c r="C131" s="35">
        <f>IF(7608.46309="","-",7608.46309)</f>
        <v>7608.46309</v>
      </c>
      <c r="D131" s="50">
        <f>IF(OR(9705.5751="",7608.46309="",9705.5751=0),"-",7608.46309/9705.5751*100)</f>
        <v>78.3927074038096</v>
      </c>
    </row>
    <row r="132" spans="1:4" ht="15.75">
      <c r="A132" s="34" t="s">
        <v>61</v>
      </c>
      <c r="B132" s="35">
        <f>IF(11253.59038="","-",11253.59038)</f>
        <v>11253.59038</v>
      </c>
      <c r="C132" s="35">
        <f>IF(9231.07635="","-",9231.07635)</f>
        <v>9231.07635</v>
      </c>
      <c r="D132" s="50">
        <f>IF(OR(11253.59038="",9231.07635="",11253.59038=0),"-",9231.07635/11253.59038*100)</f>
        <v>82.02783323627601</v>
      </c>
    </row>
    <row r="133" spans="1:4" ht="15.75">
      <c r="A133" s="34" t="s">
        <v>137</v>
      </c>
      <c r="B133" s="35">
        <f>IF(2268.81826="","-",2268.81826)</f>
        <v>2268.81826</v>
      </c>
      <c r="C133" s="35">
        <f>IF(9538.29948="","-",9538.29948)</f>
        <v>9538.29948</v>
      </c>
      <c r="D133" s="50" t="s">
        <v>215</v>
      </c>
    </row>
    <row r="134" spans="1:4" ht="15.75">
      <c r="A134" s="34" t="s">
        <v>59</v>
      </c>
      <c r="B134" s="35">
        <f>IF(14233.76201="","-",14233.76201)</f>
        <v>14233.76201</v>
      </c>
      <c r="C134" s="35">
        <f>IF(12825.36862="","-",12825.36862)</f>
        <v>12825.36862</v>
      </c>
      <c r="D134" s="50">
        <f>IF(OR(14233.76201="",12825.36862="",14233.76201=0),"-",12825.36862/14233.76201*100)</f>
        <v>90.10526248077966</v>
      </c>
    </row>
    <row r="135" spans="1:4" ht="15.75">
      <c r="A135" s="36" t="s">
        <v>161</v>
      </c>
      <c r="B135" s="37">
        <f>IF(14252.67261="","-",14252.67261)</f>
        <v>14252.67261</v>
      </c>
      <c r="C135" s="37">
        <f>IF(34257.82886="","-",34257.82886)</f>
        <v>34257.82886</v>
      </c>
      <c r="D135" s="52" t="s">
        <v>171</v>
      </c>
    </row>
    <row r="136" ht="15.75">
      <c r="A136" s="43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I34" sqref="I34"/>
    </sheetView>
  </sheetViews>
  <sheetFormatPr defaultColWidth="9.00390625" defaultRowHeight="15.75"/>
  <cols>
    <col min="1" max="1" width="32.625" style="0" customWidth="1"/>
    <col min="2" max="2" width="13.75390625" style="0" customWidth="1"/>
    <col min="3" max="3" width="14.625" style="0" customWidth="1"/>
    <col min="4" max="5" width="10.50390625" style="0" customWidth="1"/>
  </cols>
  <sheetData>
    <row r="1" spans="1:5" ht="15.75">
      <c r="A1" s="64" t="s">
        <v>126</v>
      </c>
      <c r="B1" s="64"/>
      <c r="C1" s="64"/>
      <c r="D1" s="64"/>
      <c r="E1" s="64"/>
    </row>
    <row r="2" spans="1:5" ht="15.75">
      <c r="A2" s="9"/>
      <c r="B2" s="9"/>
      <c r="C2" s="9"/>
      <c r="D2" s="9"/>
      <c r="E2" s="9"/>
    </row>
    <row r="3" spans="1:6" ht="15.75" customHeight="1">
      <c r="A3" s="65"/>
      <c r="B3" s="76" t="s">
        <v>197</v>
      </c>
      <c r="C3" s="76"/>
      <c r="D3" s="68" t="s">
        <v>110</v>
      </c>
      <c r="E3" s="82"/>
      <c r="F3" s="1"/>
    </row>
    <row r="4" spans="1:6" ht="18" customHeight="1">
      <c r="A4" s="66"/>
      <c r="B4" s="72" t="s">
        <v>134</v>
      </c>
      <c r="C4" s="74" t="s">
        <v>198</v>
      </c>
      <c r="D4" s="76" t="s">
        <v>199</v>
      </c>
      <c r="E4" s="68"/>
      <c r="F4" s="1"/>
    </row>
    <row r="5" spans="1:6" ht="28.5" customHeight="1">
      <c r="A5" s="67"/>
      <c r="B5" s="73"/>
      <c r="C5" s="75"/>
      <c r="D5" s="21">
        <v>2018</v>
      </c>
      <c r="E5" s="20">
        <v>2019</v>
      </c>
      <c r="F5" s="1"/>
    </row>
    <row r="6" spans="1:5" ht="15.75" customHeight="1">
      <c r="A6" s="41" t="s">
        <v>229</v>
      </c>
      <c r="B6" s="55">
        <f>IF(2026247.72249="","-",2026247.72249)</f>
        <v>2026247.72249</v>
      </c>
      <c r="C6" s="31">
        <f>IF(1959536.20883="","-",2026247.72249/1959536.20883*100)</f>
        <v>103.40445424582545</v>
      </c>
      <c r="D6" s="31">
        <v>100</v>
      </c>
      <c r="E6" s="31">
        <v>100</v>
      </c>
    </row>
    <row r="7" spans="1:5" ht="15.75" customHeight="1">
      <c r="A7" s="42" t="s">
        <v>150</v>
      </c>
      <c r="B7" s="25"/>
      <c r="C7" s="29"/>
      <c r="D7" s="25"/>
      <c r="E7" s="25"/>
    </row>
    <row r="8" spans="1:5" ht="15.75">
      <c r="A8" s="56" t="s">
        <v>116</v>
      </c>
      <c r="B8" s="35">
        <f>IF(133428.50578="","-",133428.50578)</f>
        <v>133428.50578</v>
      </c>
      <c r="C8" s="57">
        <v>103.5</v>
      </c>
      <c r="D8" s="35">
        <f>IF(128911.90717="","-",128911.90717/1959536.20883*100)</f>
        <v>6.5786948252908655</v>
      </c>
      <c r="E8" s="35">
        <f>IF(133428.50578="","-",133428.50578/2026247.72249*100)</f>
        <v>6.585004602301706</v>
      </c>
    </row>
    <row r="9" spans="1:5" ht="15.75">
      <c r="A9" s="56" t="s">
        <v>117</v>
      </c>
      <c r="B9" s="35">
        <f>IF(91050.29186="","-",91050.29186)</f>
        <v>91050.29186</v>
      </c>
      <c r="C9" s="57">
        <v>118.33</v>
      </c>
      <c r="D9" s="35">
        <f>IF(76946.16573="","-",76946.16573/1959536.20883*100)</f>
        <v>3.926753962660533</v>
      </c>
      <c r="E9" s="35">
        <f>IF(91050.29186="","-",91050.29186/2026247.72249*100)</f>
        <v>4.493541971665281</v>
      </c>
    </row>
    <row r="10" spans="1:5" ht="15.75">
      <c r="A10" s="56" t="s">
        <v>118</v>
      </c>
      <c r="B10" s="35">
        <f>IF(1766914.06622="","-",1766914.06622)</f>
        <v>1766914.06622</v>
      </c>
      <c r="C10" s="57">
        <v>103.06</v>
      </c>
      <c r="D10" s="35">
        <f>IF(1714462.54817="","-",1714462.54817/1959536.20883*100)</f>
        <v>87.49328236162943</v>
      </c>
      <c r="E10" s="35">
        <f>IF(1766914.06622="","-",1766914.06622/2026247.72249*100)</f>
        <v>87.20128573660716</v>
      </c>
    </row>
    <row r="11" spans="1:5" ht="15.75">
      <c r="A11" s="56" t="s">
        <v>119</v>
      </c>
      <c r="B11" s="35">
        <f>IF(33207.21219="","-",33207.21219)</f>
        <v>33207.21219</v>
      </c>
      <c r="C11" s="57">
        <v>87.1</v>
      </c>
      <c r="D11" s="35">
        <f>IF(38125.76969="","-",38125.76969/1959536.20883*100)</f>
        <v>1.9456527273238873</v>
      </c>
      <c r="E11" s="35">
        <f>IF(33207.21219="","-",33207.21219/2026247.72249*100)</f>
        <v>1.6388525362137147</v>
      </c>
    </row>
    <row r="12" spans="1:5" ht="15.75">
      <c r="A12" s="56" t="s">
        <v>120</v>
      </c>
      <c r="B12" s="35">
        <f>IF(1142.36015="","-",1142.36015)</f>
        <v>1142.36015</v>
      </c>
      <c r="C12" s="57">
        <v>113.95</v>
      </c>
      <c r="D12" s="35">
        <f>IF(1002.52905="","-",1002.52905/1959536.20883*100)</f>
        <v>0.051161547588783274</v>
      </c>
      <c r="E12" s="35">
        <f>IF(1142.36015="","-",1142.36015/2026247.72249*100)</f>
        <v>0.056378109019966476</v>
      </c>
    </row>
    <row r="13" spans="1:5" ht="15.75">
      <c r="A13" s="56" t="s">
        <v>121</v>
      </c>
      <c r="B13" s="35">
        <f>IF(5.63753="","-",5.63753)</f>
        <v>5.63753</v>
      </c>
      <c r="C13" s="57">
        <v>89.24</v>
      </c>
      <c r="D13" s="35">
        <f>IF(6.31776="","-",6.31776/1959536.20883*100)</f>
        <v>0.000322410985391906</v>
      </c>
      <c r="E13" s="35">
        <f>IF(5.63753="","-",5.63753/2026247.72249*100)</f>
        <v>0.0002782251122321902</v>
      </c>
    </row>
    <row r="14" spans="1:5" ht="15.75">
      <c r="A14" s="56" t="s">
        <v>122</v>
      </c>
      <c r="B14" s="35">
        <f>IF(499.64876="","-",499.64876)</f>
        <v>499.64876</v>
      </c>
      <c r="C14" s="57" t="s">
        <v>230</v>
      </c>
      <c r="D14" s="35">
        <f>IF(80.97126="","-",80.97126/1959536.20883*100)</f>
        <v>0.004132164521131576</v>
      </c>
      <c r="E14" s="35">
        <f>IF(499.64876="","-",499.64876/2026247.72249*100)</f>
        <v>0.024658819079929443</v>
      </c>
    </row>
    <row r="15" spans="1:5" ht="15.75">
      <c r="A15" s="32" t="s">
        <v>231</v>
      </c>
      <c r="B15" s="33">
        <f>IF(1328658.43952="","-",1328658.43952)</f>
        <v>1328658.43952</v>
      </c>
      <c r="C15" s="33">
        <f>IF(1363619.21582="","-",1328658.43952/1363619.21582*100)</f>
        <v>97.43617749776453</v>
      </c>
      <c r="D15" s="33">
        <f>IF(1363619.21582="","-",1363619.21582/1959536.20883*100)</f>
        <v>69.58887565717349</v>
      </c>
      <c r="E15" s="33">
        <f>IF(1328658.43952="","-",1328658.43952/2026247.72249*100)</f>
        <v>65.57235942934204</v>
      </c>
    </row>
    <row r="16" spans="1:5" ht="15.75">
      <c r="A16" s="56" t="s">
        <v>116</v>
      </c>
      <c r="B16" s="35">
        <f>IF(58562.64096="","-",58562.64096)</f>
        <v>58562.64096</v>
      </c>
      <c r="C16" s="57">
        <v>76.72</v>
      </c>
      <c r="D16" s="35">
        <f>IF(76330.89761="","-",76330.89761/1959536.20883*100)</f>
        <v>3.8953553022414247</v>
      </c>
      <c r="E16" s="35">
        <f>IF(58562.64096="","-",58562.64096/2026247.72249*100)</f>
        <v>2.890201445262279</v>
      </c>
    </row>
    <row r="17" spans="1:5" ht="15.75">
      <c r="A17" s="56" t="s">
        <v>117</v>
      </c>
      <c r="B17" s="35">
        <f>IF(26913.92458="","-",26913.92458)</f>
        <v>26913.92458</v>
      </c>
      <c r="C17" s="57">
        <v>68.79</v>
      </c>
      <c r="D17" s="35">
        <f>IF(39125.87382="","-",39125.87382/1959536.20883*100)</f>
        <v>1.9966905252218472</v>
      </c>
      <c r="E17" s="35">
        <f>IF(26913.92458="","-",26913.92458/2026247.72249*100)</f>
        <v>1.3282642729846585</v>
      </c>
    </row>
    <row r="18" spans="1:11" ht="15.75">
      <c r="A18" s="56" t="s">
        <v>118</v>
      </c>
      <c r="B18" s="35">
        <f>IF(1237928.7336="","-",1237928.7336)</f>
        <v>1237928.7336</v>
      </c>
      <c r="C18" s="57">
        <v>99.84</v>
      </c>
      <c r="D18" s="35">
        <f>IF(1239974.12819="","-",1239974.12819/1959536.20883*100)</f>
        <v>63.27895971518506</v>
      </c>
      <c r="E18" s="35">
        <f>IF(1237928.7336="","-",1237928.7336/2026247.72249*100)</f>
        <v>61.09463911346158</v>
      </c>
      <c r="K18" s="23"/>
    </row>
    <row r="19" spans="1:5" ht="15.75">
      <c r="A19" s="56" t="s">
        <v>119</v>
      </c>
      <c r="B19" s="35">
        <f>IF(4395.82354="","-",4395.82354)</f>
        <v>4395.82354</v>
      </c>
      <c r="C19" s="57">
        <v>58.07</v>
      </c>
      <c r="D19" s="35">
        <f>IF(7569.25951="","-",7569.25951/1959536.20883*100)</f>
        <v>0.3862781139685831</v>
      </c>
      <c r="E19" s="35">
        <f>IF(4395.82354="","-",4395.82354/2026247.72249*100)</f>
        <v>0.2169440336050369</v>
      </c>
    </row>
    <row r="20" spans="1:5" ht="15.75">
      <c r="A20" s="56" t="s">
        <v>120</v>
      </c>
      <c r="B20" s="35">
        <f>IF(485.50999="","-",485.50999)</f>
        <v>485.50999</v>
      </c>
      <c r="C20" s="58">
        <v>89.82</v>
      </c>
      <c r="D20" s="35">
        <f>IF(540.55292="","-",540.55292/1959536.20883*100)</f>
        <v>0.027585758179112872</v>
      </c>
      <c r="E20" s="35">
        <f>IF(485.50999="","-",485.50999/2026247.72249*100)</f>
        <v>0.02396103815990328</v>
      </c>
    </row>
    <row r="21" spans="1:5" ht="15.75">
      <c r="A21" s="56" t="s">
        <v>122</v>
      </c>
      <c r="B21" s="35">
        <f>IF(371.80685="","-",371.80685)</f>
        <v>371.80685</v>
      </c>
      <c r="C21" s="58" t="s">
        <v>232</v>
      </c>
      <c r="D21" s="35">
        <f>IF(78.50377="","-",78.50377/1959536.20883*100)</f>
        <v>0.0040062423774691585</v>
      </c>
      <c r="E21" s="35">
        <f>IF(371.80685="","-",371.80685/2026247.72249*100)</f>
        <v>0.0183495258685891</v>
      </c>
    </row>
    <row r="22" spans="1:5" ht="15.75">
      <c r="A22" s="32" t="s">
        <v>233</v>
      </c>
      <c r="B22" s="33">
        <f>IF(301843.36822="","-",301843.36822)</f>
        <v>301843.36822</v>
      </c>
      <c r="C22" s="33">
        <f>IF(306845.04735="","-",301843.36822/306845.04735*100)</f>
        <v>98.36996582698795</v>
      </c>
      <c r="D22" s="33">
        <f>IF(306845.04735="","-",306845.04735/1959536.20883*100)</f>
        <v>15.659064934207626</v>
      </c>
      <c r="E22" s="33">
        <f>IF(301843.36822="","-",301843.36822/2026247.72249*100)</f>
        <v>14.896666625197879</v>
      </c>
    </row>
    <row r="23" spans="1:5" ht="15.75">
      <c r="A23" s="56" t="s">
        <v>116</v>
      </c>
      <c r="B23" s="35">
        <f>IF(5118.37815="","-",5118.37815)</f>
        <v>5118.37815</v>
      </c>
      <c r="C23" s="57">
        <v>150</v>
      </c>
      <c r="D23" s="35">
        <f>IF(3412.82899="","-",3412.82899/1959536.20883*100)</f>
        <v>0.17416514043584488</v>
      </c>
      <c r="E23" s="35">
        <f>IF(5118.37815="","-",5118.37815/2026247.72249*100)</f>
        <v>0.2526037706638439</v>
      </c>
    </row>
    <row r="24" spans="1:5" ht="15.75">
      <c r="A24" s="56" t="s">
        <v>117</v>
      </c>
      <c r="B24" s="35">
        <f>IF(11808.33394="","-",11808.33394)</f>
        <v>11808.33394</v>
      </c>
      <c r="C24" s="57">
        <v>81.42</v>
      </c>
      <c r="D24" s="35">
        <f>IF(14502.94653="","-",14502.94653/1959536.20883*100)</f>
        <v>0.7401213850832294</v>
      </c>
      <c r="E24" s="35">
        <f>IF(11808.33394="","-",11808.33394/2026247.72249*100)</f>
        <v>0.5827685237562693</v>
      </c>
    </row>
    <row r="25" spans="1:5" ht="15.75">
      <c r="A25" s="56" t="s">
        <v>118</v>
      </c>
      <c r="B25" s="35">
        <f>IF(277122.90521="","-",277122.90521)</f>
        <v>277122.90521</v>
      </c>
      <c r="C25" s="35">
        <v>99.14</v>
      </c>
      <c r="D25" s="35">
        <f>IF(279540.44554="","-",279540.44554/1959536.20883*100)</f>
        <v>14.265643282341184</v>
      </c>
      <c r="E25" s="35">
        <f>IF(277122.90521="","-",277122.90521/2026247.72249*100)</f>
        <v>13.676654741378377</v>
      </c>
    </row>
    <row r="26" spans="1:5" ht="15.75">
      <c r="A26" s="56" t="s">
        <v>119</v>
      </c>
      <c r="B26" s="35">
        <f>IF(7379.69947="","-",7379.69947)</f>
        <v>7379.69947</v>
      </c>
      <c r="C26" s="35">
        <v>78.9</v>
      </c>
      <c r="D26" s="35">
        <f>IF(9353.54865="","-",9353.54865/1959536.20883*100)</f>
        <v>0.4773348207525503</v>
      </c>
      <c r="E26" s="35">
        <f>IF(7379.69947="","-",7379.69947/2026247.72249*100)</f>
        <v>0.36420519505538496</v>
      </c>
    </row>
    <row r="27" spans="1:5" ht="15.75">
      <c r="A27" s="56" t="s">
        <v>120</v>
      </c>
      <c r="B27" s="35">
        <f>IF(393.25648="","-",393.25648)</f>
        <v>393.25648</v>
      </c>
      <c r="C27" s="35" t="s">
        <v>234</v>
      </c>
      <c r="D27" s="35">
        <f>IF(26.49239="","-",26.49239/1959536.20883*100)</f>
        <v>0.001351972465761073</v>
      </c>
      <c r="E27" s="35">
        <f>IF(393.25648="","-",393.25648/2026247.72249*100)</f>
        <v>0.019408114597001886</v>
      </c>
    </row>
    <row r="28" spans="1:7" ht="15.75">
      <c r="A28" s="56" t="s">
        <v>121</v>
      </c>
      <c r="B28" s="35">
        <f>IF(5.63753="","-",5.63753)</f>
        <v>5.63753</v>
      </c>
      <c r="C28" s="35">
        <v>89.24</v>
      </c>
      <c r="D28" s="35">
        <f>IF(6.31776="","-",6.31776/1959536.20883*100)</f>
        <v>0.000322410985391906</v>
      </c>
      <c r="E28" s="35">
        <f>IF(5.63753="","-",5.63753/2026247.72249*100)</f>
        <v>0.0002782251122321902</v>
      </c>
      <c r="F28" s="1"/>
      <c r="G28" s="1"/>
    </row>
    <row r="29" spans="1:7" ht="15.75">
      <c r="A29" s="56" t="s">
        <v>122</v>
      </c>
      <c r="B29" s="35">
        <f>IF(15.15744="","-",15.15744)</f>
        <v>15.15744</v>
      </c>
      <c r="C29" s="35" t="s">
        <v>175</v>
      </c>
      <c r="D29" s="35">
        <f>IF(2.46749="","-",2.46749/1959536.20883*100)</f>
        <v>0.0001259221436624174</v>
      </c>
      <c r="E29" s="35">
        <f>IF(15.15744="","-",15.15744/2026247.72249*100)</f>
        <v>0.0007480546347696046</v>
      </c>
      <c r="F29" s="10"/>
      <c r="G29" s="10"/>
    </row>
    <row r="30" spans="1:5" ht="15.75">
      <c r="A30" s="32" t="s">
        <v>235</v>
      </c>
      <c r="B30" s="33">
        <f>IF(395745.91475="","-",395745.91475)</f>
        <v>395745.91475</v>
      </c>
      <c r="C30" s="33">
        <f>IF(289071.94566="","-",395745.91475/289071.94566*100)</f>
        <v>136.90222129527143</v>
      </c>
      <c r="D30" s="33">
        <f>IF(289071.94566="","-",289071.94566/1959536.20883*100)</f>
        <v>14.752059408618898</v>
      </c>
      <c r="E30" s="33">
        <f>IF(395745.91475="","-",395745.91475/2026247.72249*100)</f>
        <v>19.53097394546007</v>
      </c>
    </row>
    <row r="31" spans="1:5" ht="15.75">
      <c r="A31" s="56" t="s">
        <v>116</v>
      </c>
      <c r="B31" s="35">
        <f>IF(69747.48667="","-",69747.48667)</f>
        <v>69747.48667</v>
      </c>
      <c r="C31" s="57">
        <v>141.85</v>
      </c>
      <c r="D31" s="35">
        <f>IF(49168.18057="","-",49168.18057/1959536.20883*100)</f>
        <v>2.5091743826135953</v>
      </c>
      <c r="E31" s="35">
        <f>IF(69747.48667="","-",69747.48667/2026247.72249*100)</f>
        <v>3.442199386375582</v>
      </c>
    </row>
    <row r="32" spans="1:5" ht="15.75">
      <c r="A32" s="56" t="s">
        <v>117</v>
      </c>
      <c r="B32" s="35">
        <f>IF(52328.03334="","-",52328.03334)</f>
        <v>52328.03334</v>
      </c>
      <c r="C32" s="57" t="s">
        <v>170</v>
      </c>
      <c r="D32" s="35">
        <f>IF(23317.34538="","-",23317.34538/1959536.20883*100)</f>
        <v>1.1899420523554562</v>
      </c>
      <c r="E32" s="35">
        <f>IF(52328.03334="","-",52328.03334/2026247.72249*100)</f>
        <v>2.582509174924353</v>
      </c>
    </row>
    <row r="33" spans="1:5" ht="15.75">
      <c r="A33" s="56" t="s">
        <v>118</v>
      </c>
      <c r="B33" s="35">
        <f>IF(251862.42741="","-",251862.42741)</f>
        <v>251862.42741</v>
      </c>
      <c r="C33" s="57">
        <v>129.19</v>
      </c>
      <c r="D33" s="35">
        <f>IF(194947.97444="","-",194947.97444/1959536.20883*100)</f>
        <v>9.94867936410318</v>
      </c>
      <c r="E33" s="35">
        <f>IF(251862.42741="","-",251862.42741/2026247.72249*100)</f>
        <v>12.429991881767211</v>
      </c>
    </row>
    <row r="34" spans="1:5" ht="15.75">
      <c r="A34" s="56" t="s">
        <v>119</v>
      </c>
      <c r="B34" s="35">
        <f>IF(21431.68918="","-",21431.68918)</f>
        <v>21431.68918</v>
      </c>
      <c r="C34" s="58">
        <v>101.08</v>
      </c>
      <c r="D34" s="35">
        <f>IF(21202.96153="","-",21202.96153/1959536.20883*100)</f>
        <v>1.082039792602754</v>
      </c>
      <c r="E34" s="35">
        <f>IF(21431.68918="","-",21431.68918/2026247.72249*100)</f>
        <v>1.0577033075532931</v>
      </c>
    </row>
    <row r="35" spans="1:5" ht="15.75">
      <c r="A35" s="56" t="s">
        <v>120</v>
      </c>
      <c r="B35" s="35">
        <f>IF(263.59368="","-",263.59368)</f>
        <v>263.59368</v>
      </c>
      <c r="C35" s="58">
        <v>60.53</v>
      </c>
      <c r="D35" s="35">
        <f>IF(435.48374="","-",435.48374/1959536.20883*100)</f>
        <v>0.02222381694390933</v>
      </c>
      <c r="E35" s="35">
        <f>IF(263.59368="","-",263.59368/2026247.72249*100)</f>
        <v>0.01300895626306131</v>
      </c>
    </row>
    <row r="36" spans="1:5" ht="15.75">
      <c r="A36" s="59" t="s">
        <v>122</v>
      </c>
      <c r="B36" s="37">
        <f>IF(112.68447="","-",112.68447)</f>
        <v>112.68447</v>
      </c>
      <c r="C36" s="60" t="s">
        <v>22</v>
      </c>
      <c r="D36" s="37" t="s">
        <v>115</v>
      </c>
      <c r="E36" s="37">
        <f>IF(112.68447="","-",112.68447/2026247.72249*100)</f>
        <v>0.005561238576570745</v>
      </c>
    </row>
    <row r="37" spans="1:5" ht="15.75">
      <c r="A37" s="61" t="s">
        <v>21</v>
      </c>
      <c r="B37" s="26"/>
      <c r="C37" s="26"/>
      <c r="D37" s="26"/>
      <c r="E37" s="26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9" zoomScaleNormal="99" zoomScalePageLayoutView="0" workbookViewId="0" topLeftCell="A1">
      <selection activeCell="J32" sqref="J32"/>
    </sheetView>
  </sheetViews>
  <sheetFormatPr defaultColWidth="9.00390625" defaultRowHeight="15.75"/>
  <cols>
    <col min="1" max="1" width="32.125" style="0" customWidth="1"/>
    <col min="2" max="2" width="13.25390625" style="0" customWidth="1"/>
    <col min="3" max="3" width="13.50390625" style="0" customWidth="1"/>
    <col min="4" max="5" width="11.25390625" style="0" customWidth="1"/>
  </cols>
  <sheetData>
    <row r="1" spans="1:5" ht="15.75">
      <c r="A1" s="64" t="s">
        <v>127</v>
      </c>
      <c r="B1" s="64"/>
      <c r="C1" s="64"/>
      <c r="D1" s="64"/>
      <c r="E1" s="64"/>
    </row>
    <row r="2" spans="1:5" ht="15.75">
      <c r="A2" s="9"/>
      <c r="B2" s="9"/>
      <c r="C2" s="9"/>
      <c r="D2" s="9"/>
      <c r="E2" s="9"/>
    </row>
    <row r="3" spans="1:6" ht="15.75" customHeight="1">
      <c r="A3" s="65"/>
      <c r="B3" s="76" t="s">
        <v>197</v>
      </c>
      <c r="C3" s="76"/>
      <c r="D3" s="68" t="s">
        <v>110</v>
      </c>
      <c r="E3" s="82"/>
      <c r="F3" s="1"/>
    </row>
    <row r="4" spans="1:6" ht="18" customHeight="1">
      <c r="A4" s="66"/>
      <c r="B4" s="72" t="s">
        <v>100</v>
      </c>
      <c r="C4" s="74" t="s">
        <v>198</v>
      </c>
      <c r="D4" s="76" t="s">
        <v>199</v>
      </c>
      <c r="E4" s="68"/>
      <c r="F4" s="1"/>
    </row>
    <row r="5" spans="1:6" ht="27" customHeight="1">
      <c r="A5" s="67"/>
      <c r="B5" s="73"/>
      <c r="C5" s="75"/>
      <c r="D5" s="21">
        <v>2018</v>
      </c>
      <c r="E5" s="20">
        <v>2019</v>
      </c>
      <c r="F5" s="1"/>
    </row>
    <row r="6" spans="1:5" ht="15.75" customHeight="1">
      <c r="A6" s="41" t="s">
        <v>151</v>
      </c>
      <c r="B6" s="31">
        <f>IF(4272305.71982="","-",4272305.71982)</f>
        <v>4272305.71982</v>
      </c>
      <c r="C6" s="31">
        <f>IF(4177554.78501="","-",4272305.71982/4177554.78501*100)</f>
        <v>102.26809556513747</v>
      </c>
      <c r="D6" s="31">
        <v>100</v>
      </c>
      <c r="E6" s="31">
        <v>100</v>
      </c>
    </row>
    <row r="7" spans="1:5" ht="15.75" customHeight="1">
      <c r="A7" s="42" t="s">
        <v>150</v>
      </c>
      <c r="B7" s="25"/>
      <c r="C7" s="29"/>
      <c r="D7" s="25"/>
      <c r="E7" s="25"/>
    </row>
    <row r="8" spans="1:5" ht="15.75">
      <c r="A8" s="56" t="s">
        <v>116</v>
      </c>
      <c r="B8" s="35">
        <f>IF(92727.77925="","-",92727.77925)</f>
        <v>92727.77925</v>
      </c>
      <c r="C8" s="57">
        <v>73.37</v>
      </c>
      <c r="D8" s="35">
        <f>IF(126378.6392="","-",126378.6392/4177554.78501*100)</f>
        <v>3.025182091051799</v>
      </c>
      <c r="E8" s="35">
        <f>IF(92727.77925="","-",92727.77925/4272305.71982*100)</f>
        <v>2.1704387590948615</v>
      </c>
    </row>
    <row r="9" spans="1:5" ht="15.75">
      <c r="A9" s="56" t="s">
        <v>117</v>
      </c>
      <c r="B9" s="35">
        <f>IF(208012.93131="","-",208012.93131)</f>
        <v>208012.93131</v>
      </c>
      <c r="C9" s="57">
        <v>85.46</v>
      </c>
      <c r="D9" s="35">
        <f>IF(243411.79296="","-",243411.79296/4177554.78501*100)</f>
        <v>5.826657111318226</v>
      </c>
      <c r="E9" s="35">
        <f>IF(208012.93131="","-",208012.93131/4272305.71982*100)</f>
        <v>4.868868123013536</v>
      </c>
    </row>
    <row r="10" spans="1:5" ht="15.75">
      <c r="A10" s="56" t="s">
        <v>118</v>
      </c>
      <c r="B10" s="35">
        <f>IF(3622580.46812="","-",3622580.46812)</f>
        <v>3622580.46812</v>
      </c>
      <c r="C10" s="57">
        <v>104.08</v>
      </c>
      <c r="D10" s="35">
        <f>IF(3480545.62349="","-",3480545.62349/4177554.78501*100)</f>
        <v>83.31537951289054</v>
      </c>
      <c r="E10" s="35">
        <f>IF(3622580.46812="","-",3622580.46812/4272305.71982*100)</f>
        <v>84.79216389675001</v>
      </c>
    </row>
    <row r="11" spans="1:5" ht="15.75">
      <c r="A11" s="56" t="s">
        <v>119</v>
      </c>
      <c r="B11" s="35">
        <f>IF(112483.586="","-",112483.586)</f>
        <v>112483.586</v>
      </c>
      <c r="C11" s="57">
        <v>103.93</v>
      </c>
      <c r="D11" s="35">
        <f>IF(108230.937="","-",108230.937/4177554.78501*100)</f>
        <v>2.590772415202232</v>
      </c>
      <c r="E11" s="35">
        <f>IF(112483.586="","-",112483.586/4272305.71982*100)</f>
        <v>2.632854326837339</v>
      </c>
    </row>
    <row r="12" spans="1:5" ht="15.75">
      <c r="A12" s="56" t="s">
        <v>120</v>
      </c>
      <c r="B12" s="35">
        <f>IF(7861.5652="","-",7861.5652)</f>
        <v>7861.5652</v>
      </c>
      <c r="C12" s="57">
        <v>77.61</v>
      </c>
      <c r="D12" s="35">
        <f>IF(10129.00773="","-",10129.00773/4177554.78501*100)</f>
        <v>0.24246259477781457</v>
      </c>
      <c r="E12" s="35">
        <f>IF(7861.5652="","-",7861.5652/4272305.71982*100)</f>
        <v>0.18401223403860767</v>
      </c>
    </row>
    <row r="13" spans="1:5" ht="15.75">
      <c r="A13" s="56" t="s">
        <v>121</v>
      </c>
      <c r="B13" s="35">
        <f>IF(198935.43611="","-",198935.43611)</f>
        <v>198935.43611</v>
      </c>
      <c r="C13" s="57">
        <v>109.1</v>
      </c>
      <c r="D13" s="35">
        <f>IF(182337.87661="","-",182337.87661/4177554.78501*100)</f>
        <v>4.364703420868807</v>
      </c>
      <c r="E13" s="35">
        <f>IF(198935.43611="","-",198935.43611/4272305.71982*100)</f>
        <v>4.656395144830167</v>
      </c>
    </row>
    <row r="14" spans="1:5" ht="15.75">
      <c r="A14" s="56" t="s">
        <v>122</v>
      </c>
      <c r="B14" s="35">
        <f>IF(29703.95383="","-",29703.95383)</f>
        <v>29703.95383</v>
      </c>
      <c r="C14" s="57">
        <v>112</v>
      </c>
      <c r="D14" s="35">
        <f>IF(26520.90802="","-",26520.90802/4177554.78501*100)</f>
        <v>0.6348428538905807</v>
      </c>
      <c r="E14" s="35">
        <f>IF(29703.95383="","-",29703.95383/4272305.71982*100)</f>
        <v>0.6952675154354703</v>
      </c>
    </row>
    <row r="15" spans="1:5" ht="15.75">
      <c r="A15" s="32" t="s">
        <v>231</v>
      </c>
      <c r="B15" s="33">
        <f>IF(2134727.21853="","-",2134727.21853)</f>
        <v>2134727.21853</v>
      </c>
      <c r="C15" s="33">
        <f>IF(2107117.74476="","-",2134727.21853/2107117.74476*100)</f>
        <v>101.31029572688377</v>
      </c>
      <c r="D15" s="33">
        <f>IF(2107117.74476="","-",2107117.74476/4177554.78501*100)</f>
        <v>50.43902122650334</v>
      </c>
      <c r="E15" s="33">
        <f>IF(2134727.21853="","-",2134727.21853/4272305.71982*100)</f>
        <v>49.966630632883174</v>
      </c>
    </row>
    <row r="16" spans="1:5" ht="15.75">
      <c r="A16" s="56" t="s">
        <v>116</v>
      </c>
      <c r="B16" s="35">
        <f>IF(65082.7513="","-",65082.7513)</f>
        <v>65082.7513</v>
      </c>
      <c r="C16" s="57">
        <v>93.01</v>
      </c>
      <c r="D16" s="35">
        <f>IF(69970.68759="","-",69970.68759/4177554.78501*100)</f>
        <v>1.6749196884519733</v>
      </c>
      <c r="E16" s="35">
        <f>IF(65082.7513="","-",65082.7513/4272305.71982*100)</f>
        <v>1.5233636253620457</v>
      </c>
    </row>
    <row r="17" spans="1:5" ht="15.75">
      <c r="A17" s="56" t="s">
        <v>117</v>
      </c>
      <c r="B17" s="35">
        <f>IF(34351.28969="","-",34351.28969)</f>
        <v>34351.28969</v>
      </c>
      <c r="C17" s="57">
        <v>88.88</v>
      </c>
      <c r="D17" s="35">
        <f>IF(38647.89319="","-",38647.89319/4177554.78501*100)</f>
        <v>0.925131929536323</v>
      </c>
      <c r="E17" s="35">
        <f>IF(34351.28969="","-",34351.28969/4272305.71982*100)</f>
        <v>0.8040456826541729</v>
      </c>
    </row>
    <row r="18" spans="1:5" ht="15.75">
      <c r="A18" s="56" t="s">
        <v>118</v>
      </c>
      <c r="B18" s="35">
        <f>IF(1974199.57725="","-",1974199.57725)</f>
        <v>1974199.57725</v>
      </c>
      <c r="C18" s="57">
        <v>101.7</v>
      </c>
      <c r="D18" s="35">
        <f>IF(1941287.45984="","-",1941287.45984/4177554.78501*100)</f>
        <v>46.46946742160685</v>
      </c>
      <c r="E18" s="35">
        <f>IF(1974199.57725="","-",1974199.57725/4272305.71982*100)</f>
        <v>46.20923002048591</v>
      </c>
    </row>
    <row r="19" spans="1:5" ht="15.75">
      <c r="A19" s="56" t="s">
        <v>119</v>
      </c>
      <c r="B19" s="35">
        <f>IF(33205.68841="","-",33205.68841)</f>
        <v>33205.68841</v>
      </c>
      <c r="C19" s="57">
        <v>113.23</v>
      </c>
      <c r="D19" s="35">
        <f>IF(29326.78972="","-",29326.78972/4177554.78501*100)</f>
        <v>0.7020085008874348</v>
      </c>
      <c r="E19" s="35">
        <f>IF(33205.68841="","-",33205.68841/4272305.71982*100)</f>
        <v>0.777231092240258</v>
      </c>
    </row>
    <row r="20" spans="1:5" ht="15.75">
      <c r="A20" s="56" t="s">
        <v>120</v>
      </c>
      <c r="B20" s="35">
        <f>IF(3353.33378="","-",3353.33378)</f>
        <v>3353.33378</v>
      </c>
      <c r="C20" s="57">
        <v>74.42</v>
      </c>
      <c r="D20" s="35">
        <f>IF(4506.0199="","-",4506.0199/4177554.78501*100)</f>
        <v>0.10786261657581622</v>
      </c>
      <c r="E20" s="35">
        <f>IF(3353.33378="","-",3353.33378/4272305.71982*100)</f>
        <v>0.0784900238867101</v>
      </c>
    </row>
    <row r="21" spans="1:5" ht="15.75">
      <c r="A21" s="56" t="s">
        <v>122</v>
      </c>
      <c r="B21" s="35">
        <f>IF(24534.5781="","-",24534.5781)</f>
        <v>24534.5781</v>
      </c>
      <c r="C21" s="57">
        <v>104.94</v>
      </c>
      <c r="D21" s="35">
        <f>IF(23378.89452="","-",23378.89452/4177554.78501*100)</f>
        <v>0.5596310694449466</v>
      </c>
      <c r="E21" s="35">
        <f>IF(24534.5781="","-",24534.5781/4272305.71982*100)</f>
        <v>0.5742701882540766</v>
      </c>
    </row>
    <row r="22" spans="1:5" ht="15.75">
      <c r="A22" s="32" t="s">
        <v>233</v>
      </c>
      <c r="B22" s="33">
        <f>IF(1030722.81575="","-",1030722.81575)</f>
        <v>1030722.81575</v>
      </c>
      <c r="C22" s="33">
        <f>IF(1013934.49779="","-",1030722.81575/1013934.49779*100)</f>
        <v>101.65575961727234</v>
      </c>
      <c r="D22" s="33">
        <f>IF(1013934.49779="","-",1013934.49779/4177554.78501*100)</f>
        <v>24.27100421108117</v>
      </c>
      <c r="E22" s="33">
        <f>IF(1030722.81575="","-",1030722.81575/4272305.71982*100)</f>
        <v>24.12568021451017</v>
      </c>
    </row>
    <row r="23" spans="1:5" ht="15.75">
      <c r="A23" s="56" t="s">
        <v>116</v>
      </c>
      <c r="B23" s="35">
        <f>IF(20135.37713="","-",20135.37713)</f>
        <v>20135.37713</v>
      </c>
      <c r="C23" s="57">
        <v>53.28</v>
      </c>
      <c r="D23" s="35">
        <f>IF(37791.81711="","-",37791.81711/4177554.78501*100)</f>
        <v>0.9046396529760778</v>
      </c>
      <c r="E23" s="35">
        <f>IF(20135.37713="","-",20135.37713/4272305.71982*100)</f>
        <v>0.47130000637801595</v>
      </c>
    </row>
    <row r="24" spans="1:5" ht="15.75">
      <c r="A24" s="56" t="s">
        <v>117</v>
      </c>
      <c r="B24" s="35">
        <f>IF(173367.86273="","-",173367.86273)</f>
        <v>173367.86273</v>
      </c>
      <c r="C24" s="57">
        <v>84.96</v>
      </c>
      <c r="D24" s="35">
        <f>IF(204048.68319="","-",204048.68319/4177554.78501*100)</f>
        <v>4.884404722163603</v>
      </c>
      <c r="E24" s="35">
        <f>IF(173367.86273="","-",173367.86273/4272305.71982*100)</f>
        <v>4.057946085780216</v>
      </c>
    </row>
    <row r="25" spans="1:5" ht="15.75">
      <c r="A25" s="56" t="s">
        <v>118</v>
      </c>
      <c r="B25" s="35">
        <f>IF(621468.34062="","-",621468.34062)</f>
        <v>621468.34062</v>
      </c>
      <c r="C25" s="57">
        <v>107.83</v>
      </c>
      <c r="D25" s="35">
        <f>IF(576362.08595="","-",576362.08595/4177554.78501*100)</f>
        <v>13.796637401814953</v>
      </c>
      <c r="E25" s="35">
        <f>IF(621468.34062="","-",621468.34062/4272305.71982*100)</f>
        <v>14.546438887481667</v>
      </c>
    </row>
    <row r="26" spans="1:5" ht="15.75">
      <c r="A26" s="56" t="s">
        <v>119</v>
      </c>
      <c r="B26" s="35">
        <f>IF(13297.35582="","-",13297.35582)</f>
        <v>13297.35582</v>
      </c>
      <c r="C26" s="57">
        <v>117.26</v>
      </c>
      <c r="D26" s="35">
        <f>IF(11340.46099="","-",11340.46099/4177554.78501*100)</f>
        <v>0.2714616940678338</v>
      </c>
      <c r="E26" s="35">
        <f>IF(13297.35582="","-",13297.35582/4272305.71982*100)</f>
        <v>0.3112454185642932</v>
      </c>
    </row>
    <row r="27" spans="1:5" ht="15.75">
      <c r="A27" s="56" t="s">
        <v>120</v>
      </c>
      <c r="B27" s="35">
        <f>IF(443.98908="","-",443.98908)</f>
        <v>443.98908</v>
      </c>
      <c r="C27" s="57">
        <v>111.62</v>
      </c>
      <c r="D27" s="35">
        <f>IF(397.7831="","-",397.7831/4177554.78501*100)</f>
        <v>0.009521912230267682</v>
      </c>
      <c r="E27" s="35">
        <f>IF(443.98908="","-",443.98908/4272305.71982*100)</f>
        <v>0.010392259101221483</v>
      </c>
    </row>
    <row r="28" spans="1:7" ht="15.75">
      <c r="A28" s="56" t="s">
        <v>121</v>
      </c>
      <c r="B28" s="35">
        <f>IF(198935.43611="","-",198935.43611)</f>
        <v>198935.43611</v>
      </c>
      <c r="C28" s="57">
        <v>109.1</v>
      </c>
      <c r="D28" s="35">
        <f>IF(182337.87661="","-",182337.87661/4177554.78501*100)</f>
        <v>4.364703420868807</v>
      </c>
      <c r="E28" s="35">
        <f>IF(198935.43611="","-",198935.43611/4272305.71982*100)</f>
        <v>4.656395144830167</v>
      </c>
      <c r="F28" s="1"/>
      <c r="G28" s="1"/>
    </row>
    <row r="29" spans="1:7" ht="15.75">
      <c r="A29" s="56" t="s">
        <v>122</v>
      </c>
      <c r="B29" s="35">
        <f>IF(3074.45426="","-",3074.45426)</f>
        <v>3074.45426</v>
      </c>
      <c r="C29" s="57" t="s">
        <v>178</v>
      </c>
      <c r="D29" s="35">
        <f>IF(1655.79084="","-",1655.79084/4177554.78501*100)</f>
        <v>0.03963540695962498</v>
      </c>
      <c r="E29" s="35">
        <f>IF(3074.45426="","-",3074.45426/4272305.71982*100)</f>
        <v>0.07196241237458849</v>
      </c>
      <c r="F29" s="1"/>
      <c r="G29" s="1"/>
    </row>
    <row r="30" spans="1:7" ht="15.75">
      <c r="A30" s="32" t="s">
        <v>236</v>
      </c>
      <c r="B30" s="33">
        <f>IF(1106855.68554="","-",1106855.68554)</f>
        <v>1106855.68554</v>
      </c>
      <c r="C30" s="33">
        <f>IF(1056502.54246="","-",1106855.68554/1056502.54246*100)</f>
        <v>104.76602195038318</v>
      </c>
      <c r="D30" s="33">
        <f>IF(1056502.54246="","-",1056502.54246/4177554.78501*100)</f>
        <v>25.289974562415484</v>
      </c>
      <c r="E30" s="33">
        <f>IF(1106855.68554="","-",1106855.68554/4272305.71982*100)</f>
        <v>25.907689152606654</v>
      </c>
      <c r="F30" s="10"/>
      <c r="G30" s="10"/>
    </row>
    <row r="31" spans="1:5" ht="15.75">
      <c r="A31" s="56" t="s">
        <v>116</v>
      </c>
      <c r="B31" s="35">
        <f>IF(7509.65082="","-",7509.65082)</f>
        <v>7509.65082</v>
      </c>
      <c r="C31" s="57">
        <v>40.34</v>
      </c>
      <c r="D31" s="35">
        <f>IF(18616.1345="","-",18616.1345/4177554.78501*100)</f>
        <v>0.4456227496237476</v>
      </c>
      <c r="E31" s="35">
        <f>IF(7509.65082="","-",7509.65082/4272305.71982*100)</f>
        <v>0.17577512735479975</v>
      </c>
    </row>
    <row r="32" spans="1:5" ht="15.75">
      <c r="A32" s="56" t="s">
        <v>117</v>
      </c>
      <c r="B32" s="35">
        <f>IF(293.77889="","-",293.77889)</f>
        <v>293.77889</v>
      </c>
      <c r="C32" s="57">
        <v>41.08</v>
      </c>
      <c r="D32" s="35">
        <f>IF(715.21658="","-",715.21658/4177554.78501*100)</f>
        <v>0.017120459618300086</v>
      </c>
      <c r="E32" s="35">
        <f>IF(293.77889="","-",293.77889/4272305.71982*100)</f>
        <v>0.006876354579146957</v>
      </c>
    </row>
    <row r="33" spans="1:5" ht="15.75">
      <c r="A33" s="56" t="s">
        <v>118</v>
      </c>
      <c r="B33" s="35">
        <f>IF(1026912.55025="","-",1026912.55025)</f>
        <v>1026912.55025</v>
      </c>
      <c r="C33" s="57">
        <v>106.65</v>
      </c>
      <c r="D33" s="35">
        <f>IF(962896.0777="","-",962896.0777/4177554.78501*100)</f>
        <v>23.049274689468735</v>
      </c>
      <c r="E33" s="35">
        <f>IF(1026912.55025="","-",1026912.55025/4272305.71982*100)</f>
        <v>24.036494988782444</v>
      </c>
    </row>
    <row r="34" spans="1:5" ht="15.75">
      <c r="A34" s="56" t="s">
        <v>119</v>
      </c>
      <c r="B34" s="35">
        <f>IF(65980.54177="","-",65980.54177)</f>
        <v>65980.54177</v>
      </c>
      <c r="C34" s="57">
        <v>97.66</v>
      </c>
      <c r="D34" s="35">
        <f>IF(67563.68629="","-",67563.68629/4177554.78501*100)</f>
        <v>1.6173022202469638</v>
      </c>
      <c r="E34" s="35">
        <f>IF(65980.54177="","-",65980.54177/4272305.71982*100)</f>
        <v>1.5443778160327877</v>
      </c>
    </row>
    <row r="35" spans="1:5" ht="15.75">
      <c r="A35" s="39" t="s">
        <v>120</v>
      </c>
      <c r="B35" s="62">
        <f>IF(4064.24234="","-",4064.24234)</f>
        <v>4064.24234</v>
      </c>
      <c r="C35" s="58">
        <v>77.78</v>
      </c>
      <c r="D35" s="62">
        <f>IF(5225.20473="","-",5225.20473/4177554.78501*100)</f>
        <v>0.1250780659717307</v>
      </c>
      <c r="E35" s="62">
        <f>IF(4064.24234="","-",4064.24234/4272305.71982*100)</f>
        <v>0.09512995105067606</v>
      </c>
    </row>
    <row r="36" spans="1:5" ht="15.75">
      <c r="A36" s="59" t="s">
        <v>122</v>
      </c>
      <c r="B36" s="37">
        <f>IF(2094.92147="","-",2094.92147)</f>
        <v>2094.92147</v>
      </c>
      <c r="C36" s="60">
        <v>140.96</v>
      </c>
      <c r="D36" s="37">
        <f>IF(1486.22266="","-",1486.22266/4177554.78501*100)</f>
        <v>0.03557637748600925</v>
      </c>
      <c r="E36" s="37">
        <f>IF(2094.92147="","-",2094.92147/4272305.71982*100)</f>
        <v>0.049034914806805135</v>
      </c>
    </row>
    <row r="37" ht="17.25" customHeight="1">
      <c r="A37" s="63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9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26.75390625" style="0" customWidth="1"/>
    <col min="2" max="2" width="12.375" style="0" customWidth="1"/>
    <col min="3" max="3" width="9.875" style="0" customWidth="1"/>
    <col min="4" max="5" width="9.25390625" style="0" customWidth="1"/>
    <col min="6" max="6" width="9.375" style="0" customWidth="1"/>
    <col min="7" max="7" width="10.125" style="0" customWidth="1"/>
  </cols>
  <sheetData>
    <row r="1" spans="1:7" ht="15.75">
      <c r="A1" s="77" t="s">
        <v>128</v>
      </c>
      <c r="B1" s="77"/>
      <c r="C1" s="77"/>
      <c r="D1" s="77"/>
      <c r="E1" s="77"/>
      <c r="F1" s="77"/>
      <c r="G1" s="77"/>
    </row>
    <row r="2" spans="1:7" ht="15.75">
      <c r="A2" s="77" t="s">
        <v>23</v>
      </c>
      <c r="B2" s="77"/>
      <c r="C2" s="77"/>
      <c r="D2" s="77"/>
      <c r="E2" s="77"/>
      <c r="F2" s="77"/>
      <c r="G2" s="77"/>
    </row>
    <row r="3" ht="15.75">
      <c r="A3" s="6"/>
    </row>
    <row r="4" spans="1:7" ht="57" customHeight="1">
      <c r="A4" s="83"/>
      <c r="B4" s="68" t="s">
        <v>197</v>
      </c>
      <c r="C4" s="69"/>
      <c r="D4" s="86" t="s">
        <v>0</v>
      </c>
      <c r="E4" s="87"/>
      <c r="F4" s="80" t="s">
        <v>108</v>
      </c>
      <c r="G4" s="88"/>
    </row>
    <row r="5" spans="1:8" ht="26.25" customHeight="1">
      <c r="A5" s="84"/>
      <c r="B5" s="89" t="s">
        <v>113</v>
      </c>
      <c r="C5" s="74" t="s">
        <v>198</v>
      </c>
      <c r="D5" s="76" t="s">
        <v>199</v>
      </c>
      <c r="E5" s="76"/>
      <c r="F5" s="76" t="s">
        <v>199</v>
      </c>
      <c r="G5" s="68"/>
      <c r="H5" s="1"/>
    </row>
    <row r="6" spans="1:7" ht="31.5" customHeight="1">
      <c r="A6" s="85"/>
      <c r="B6" s="90"/>
      <c r="C6" s="75"/>
      <c r="D6" s="22">
        <v>2018</v>
      </c>
      <c r="E6" s="22">
        <v>2019</v>
      </c>
      <c r="F6" s="22" t="s">
        <v>112</v>
      </c>
      <c r="G6" s="18" t="s">
        <v>133</v>
      </c>
    </row>
    <row r="7" spans="1:7" ht="16.5" customHeight="1">
      <c r="A7" s="30" t="s">
        <v>101</v>
      </c>
      <c r="B7" s="31">
        <f>IF(2026247.72249="","-",2026247.72249)</f>
        <v>2026247.72249</v>
      </c>
      <c r="C7" s="31">
        <f>IF(1959536.20883="","-",2026247.72249/1959536.20883*100)</f>
        <v>103.40445424582545</v>
      </c>
      <c r="D7" s="31">
        <v>100</v>
      </c>
      <c r="E7" s="31">
        <v>100</v>
      </c>
      <c r="F7" s="48">
        <f>IF(1651540.84429="","-",(1959536.20883-1651540.84429)/1651540.84429*100)</f>
        <v>18.648970481405666</v>
      </c>
      <c r="G7" s="48">
        <f>IF(1959536.20883="","-",(2026247.72249-1959536.20883)/1959536.20883*100)</f>
        <v>3.404454245825459</v>
      </c>
    </row>
    <row r="8" spans="1:7" ht="16.5" customHeight="1">
      <c r="A8" s="39" t="s">
        <v>150</v>
      </c>
      <c r="B8" s="44"/>
      <c r="C8" s="44"/>
      <c r="D8" s="44"/>
      <c r="E8" s="44"/>
      <c r="F8" s="54"/>
      <c r="G8" s="54"/>
    </row>
    <row r="9" spans="1:7" ht="15.75">
      <c r="A9" s="45" t="s">
        <v>237</v>
      </c>
      <c r="B9" s="33">
        <f>IF(449033.73103="","-",449033.73103)</f>
        <v>449033.73103</v>
      </c>
      <c r="C9" s="33">
        <f>IF(430640.40301="","-",449033.73103/430640.40301*100)</f>
        <v>104.27115707013049</v>
      </c>
      <c r="D9" s="33">
        <f>IF(430640.40301="","-",430640.40301/1959536.20883*100)</f>
        <v>21.97664942701553</v>
      </c>
      <c r="E9" s="33">
        <f>IF(449033.73103="","-",449033.73103/2026247.72249*100)</f>
        <v>22.160850622854486</v>
      </c>
      <c r="F9" s="49">
        <f>IF(1651540.84429="","-",(430640.40301-372520.13054)/1651540.84429*100)</f>
        <v>3.5191544109213977</v>
      </c>
      <c r="G9" s="49">
        <f>IF(1959536.20883="","-",(449033.73103-430640.40301)/1959536.20883*100)</f>
        <v>0.9386572157797639</v>
      </c>
    </row>
    <row r="10" spans="1:7" ht="13.5" customHeight="1">
      <c r="A10" s="34" t="s">
        <v>24</v>
      </c>
      <c r="B10" s="35">
        <f>IF(8327.06212="","-",8327.06212)</f>
        <v>8327.06212</v>
      </c>
      <c r="C10" s="35">
        <f>IF(OR(10442.50038="",8327.06212=""),"-",8327.06212/10442.50038*100)</f>
        <v>79.74203320067296</v>
      </c>
      <c r="D10" s="35">
        <f>IF(10442.50038="","-",10442.50038/1959536.20883*100)</f>
        <v>0.5329067323657678</v>
      </c>
      <c r="E10" s="35">
        <f>IF(8327.06212="","-",8327.06212/2026247.72249*100)</f>
        <v>0.4109597275582426</v>
      </c>
      <c r="F10" s="50">
        <f>IF(OR(1651540.84429="",5475.4377="",10442.50038=""),"-",(10442.50038-5475.4377)/1651540.84429*100)</f>
        <v>0.30075324489691</v>
      </c>
      <c r="G10" s="50">
        <f>IF(OR(1959536.20883="",8327.06212="",10442.50038=""),"-",(8327.06212-10442.50038)/1959536.20883*100)</f>
        <v>-0.10795606891403578</v>
      </c>
    </row>
    <row r="11" spans="1:10" ht="13.5" customHeight="1">
      <c r="A11" s="34" t="s">
        <v>238</v>
      </c>
      <c r="B11" s="35">
        <f>IF(5065.78506="","-",5065.78506)</f>
        <v>5065.78506</v>
      </c>
      <c r="C11" s="35">
        <f>IF(OR(5441.24801="",5065.78506=""),"-",5065.78506/5441.24801*100)</f>
        <v>93.09969056161438</v>
      </c>
      <c r="D11" s="35">
        <f>IF(5441.24801="","-",5441.24801/1959536.20883*100)</f>
        <v>0.27768040138685984</v>
      </c>
      <c r="E11" s="35">
        <f>IF(5065.78506="","-",5065.78506/2026247.72249*100)</f>
        <v>0.25000818033121813</v>
      </c>
      <c r="F11" s="50">
        <f>IF(OR(1651540.84429="",7578.80151="",5441.24801=""),"-",(5441.24801-7578.80151)/1651540.84429*100)</f>
        <v>-0.1294278314333145</v>
      </c>
      <c r="G11" s="50">
        <f>IF(OR(1959536.20883="",5065.78506="",5441.24801=""),"-",(5065.78506-5441.24801)/1959536.20883*100)</f>
        <v>-0.019160806945444583</v>
      </c>
      <c r="J11" s="15"/>
    </row>
    <row r="12" spans="1:10" s="9" customFormat="1" ht="13.5" customHeight="1">
      <c r="A12" s="34" t="s">
        <v>239</v>
      </c>
      <c r="B12" s="35">
        <f>IF(12810.73981="","-",12810.73981)</f>
        <v>12810.73981</v>
      </c>
      <c r="C12" s="35">
        <f>IF(OR(17196.9012="",12810.73981=""),"-",12810.73981/17196.9012*100)</f>
        <v>74.49446653795975</v>
      </c>
      <c r="D12" s="35">
        <f>IF(17196.9012="","-",17196.9012/1959536.20883*100)</f>
        <v>0.8776005833680373</v>
      </c>
      <c r="E12" s="35">
        <f>IF(12810.73981="","-",12810.73981/2026247.72249*100)</f>
        <v>0.6322395661601156</v>
      </c>
      <c r="F12" s="50">
        <f>IF(OR(1651540.84429="",17090.65657="",17196.9012=""),"-",(17196.9012-17090.65657)/1651540.84429*100)</f>
        <v>0.006433061002840398</v>
      </c>
      <c r="G12" s="50">
        <f>IF(OR(1959536.20883="",12810.73981="",17196.9012=""),"-",(12810.73981-17196.9012)/1959536.20883*100)</f>
        <v>-0.22383671045399517</v>
      </c>
      <c r="J12" s="15"/>
    </row>
    <row r="13" spans="1:10" s="9" customFormat="1" ht="14.25" customHeight="1">
      <c r="A13" s="34" t="s">
        <v>240</v>
      </c>
      <c r="B13" s="35">
        <f>IF(20.93109="","-",20.93109)</f>
        <v>20.93109</v>
      </c>
      <c r="C13" s="35" t="s">
        <v>105</v>
      </c>
      <c r="D13" s="35">
        <f>IF(11.38368="","-",11.38368/1959536.20883*100)</f>
        <v>0.0005809374661566968</v>
      </c>
      <c r="E13" s="35">
        <f>IF(20.93109="","-",20.93109/2026247.72249*100)</f>
        <v>0.0010329975830535845</v>
      </c>
      <c r="F13" s="50">
        <f>IF(OR(1651540.84429="",21.11103="",11.38368=""),"-",(11.38368-21.11103)/1651540.84429*100)</f>
        <v>-0.0005889863416718466</v>
      </c>
      <c r="G13" s="50">
        <f>IF(OR(1959536.20883="",20.93109="",11.38368=""),"-",(20.93109-11.38368)/1959536.20883*100)</f>
        <v>0.0004872280469724297</v>
      </c>
      <c r="J13" s="15"/>
    </row>
    <row r="14" spans="1:10" s="9" customFormat="1" ht="15.75">
      <c r="A14" s="34" t="s">
        <v>241</v>
      </c>
      <c r="B14" s="35">
        <f>IF(191174.73671="","-",191174.73671)</f>
        <v>191174.73671</v>
      </c>
      <c r="C14" s="35">
        <f>IF(OR(164041.41609="",191174.73671=""),"-",191174.73671/164041.41609*100)</f>
        <v>116.54053059692772</v>
      </c>
      <c r="D14" s="35">
        <f>IF(164041.41609="","-",164041.41609/1959536.20883*100)</f>
        <v>8.371440923153234</v>
      </c>
      <c r="E14" s="35">
        <f>IF(191174.73671="","-",191174.73671/2026247.72249*100)</f>
        <v>9.434914328987901</v>
      </c>
      <c r="F14" s="50">
        <f>IF(OR(1651540.84429="",140733.49403="",164041.41609=""),"-",(164041.41609-140733.49403)/1651540.84429*100)</f>
        <v>1.4112834169729618</v>
      </c>
      <c r="G14" s="50">
        <f>IF(OR(1959536.20883="",191174.73671="",164041.41609=""),"-",(191174.73671-164041.41609)/1959536.20883*100)</f>
        <v>1.38468074729789</v>
      </c>
      <c r="J14" s="15"/>
    </row>
    <row r="15" spans="1:10" s="9" customFormat="1" ht="15.75">
      <c r="A15" s="34" t="s">
        <v>242</v>
      </c>
      <c r="B15" s="35">
        <f>IF(194351.18056="","-",194351.18056)</f>
        <v>194351.18056</v>
      </c>
      <c r="C15" s="35">
        <f>IF(OR(186934.33469="",194351.18056=""),"-",194351.18056/186934.33469*100)</f>
        <v>103.96762097358928</v>
      </c>
      <c r="D15" s="35">
        <f>IF(186934.33469="","-",186934.33469/1959536.20883*100)</f>
        <v>9.5397234226978</v>
      </c>
      <c r="E15" s="35">
        <f>IF(194351.18056="","-",194351.18056/2026247.72249*100)</f>
        <v>9.591679161576906</v>
      </c>
      <c r="F15" s="50">
        <f>IF(OR(1651540.84429="",150604.83493="",186934.33469=""),"-",(186934.33469-150604.83493)/1651540.84429*100)</f>
        <v>2.1997336539150556</v>
      </c>
      <c r="G15" s="50">
        <f>IF(OR(1959536.20883="",194351.18056="",186934.33469=""),"-",(194351.18056-186934.33469)/1959536.20883*100)</f>
        <v>0.378500067341367</v>
      </c>
      <c r="J15" s="15"/>
    </row>
    <row r="16" spans="1:10" s="9" customFormat="1" ht="15" customHeight="1">
      <c r="A16" s="34" t="s">
        <v>243</v>
      </c>
      <c r="B16" s="35">
        <f>IF(13673.72877="","-",13673.72877)</f>
        <v>13673.72877</v>
      </c>
      <c r="C16" s="35">
        <f>IF(OR(23224.8257="",13673.72877=""),"-",13673.72877/23224.8257*100)</f>
        <v>58.87548499449018</v>
      </c>
      <c r="D16" s="35">
        <f>IF(23224.8257="","-",23224.8257/1959536.20883*100)</f>
        <v>1.1852205432767726</v>
      </c>
      <c r="E16" s="35">
        <f>IF(13673.72877="","-",13673.72877/2026247.72249*100)</f>
        <v>0.6748300623971452</v>
      </c>
      <c r="F16" s="50">
        <f>IF(OR(1651540.84429="",33777.51866="",23224.8257=""),"-",(23224.8257-33777.51866)/1651540.84429*100)</f>
        <v>-0.6389604590455418</v>
      </c>
      <c r="G16" s="50">
        <f>IF(OR(1959536.20883="",13673.72877="",23224.8257=""),"-",(13673.72877-23224.8257)/1959536.20883*100)</f>
        <v>-0.48741620016824144</v>
      </c>
      <c r="J16" s="15"/>
    </row>
    <row r="17" spans="1:10" s="9" customFormat="1" ht="25.5">
      <c r="A17" s="34" t="s">
        <v>244</v>
      </c>
      <c r="B17" s="35">
        <f>IF(7203.43899="","-",7203.43899)</f>
        <v>7203.43899</v>
      </c>
      <c r="C17" s="35">
        <f>IF(OR(7847.9666="",7203.43899=""),"-",7203.43899/7847.9666*100)</f>
        <v>91.7873298543345</v>
      </c>
      <c r="D17" s="35">
        <f>IF(7847.9666="","-",7847.9666/1959536.20883*100)</f>
        <v>0.4005012290477584</v>
      </c>
      <c r="E17" s="35">
        <f>IF(7203.43899="","-",7203.43899/2026247.72249*100)</f>
        <v>0.3555063337047403</v>
      </c>
      <c r="F17" s="50">
        <f>IF(OR(1651540.84429="",6809.90142="",7847.9666=""),"-",(7847.9666-6809.90142)/1651540.84429*100)</f>
        <v>0.06285434499479578</v>
      </c>
      <c r="G17" s="50">
        <f>IF(OR(1959536.20883="",7203.43899="",7847.9666=""),"-",(7203.43899-7847.9666)/1959536.20883*100)</f>
        <v>-0.032891844871028676</v>
      </c>
      <c r="J17" s="15"/>
    </row>
    <row r="18" spans="1:10" s="9" customFormat="1" ht="25.5">
      <c r="A18" s="34" t="s">
        <v>245</v>
      </c>
      <c r="B18" s="35">
        <f>IF(14307.55801="","-",14307.55801)</f>
        <v>14307.55801</v>
      </c>
      <c r="C18" s="35">
        <f>IF(OR(13447.97117="",14307.55801=""),"-",14307.55801/13447.97117*100)</f>
        <v>106.3919443991491</v>
      </c>
      <c r="D18" s="35">
        <f>IF(13447.97117="","-",13447.97117/1959536.20883*100)</f>
        <v>0.6862833720245219</v>
      </c>
      <c r="E18" s="35">
        <f>IF(14307.55801="","-",14307.55801/2026247.72249*100)</f>
        <v>0.7061109977420646</v>
      </c>
      <c r="F18" s="50">
        <f>IF(OR(1651540.84429="",8345.35633="",13447.97117=""),"-",(13447.97117-8345.35633)/1651540.84429*100)</f>
        <v>0.3089608626781266</v>
      </c>
      <c r="G18" s="50">
        <f>IF(OR(1959536.20883="",14307.55801="",13447.97117=""),"-",(14307.55801-13447.97117)/1959536.20883*100)</f>
        <v>0.043866851560412964</v>
      </c>
      <c r="J18" s="15"/>
    </row>
    <row r="19" spans="1:10" s="9" customFormat="1" ht="15.75" customHeight="1">
      <c r="A19" s="34" t="s">
        <v>246</v>
      </c>
      <c r="B19" s="35">
        <f>IF(2098.56991="","-",2098.56991)</f>
        <v>2098.56991</v>
      </c>
      <c r="C19" s="35">
        <f>IF(OR(2051.85549="",2098.56991=""),"-",2098.56991/2051.85549*100)</f>
        <v>102.27669152275438</v>
      </c>
      <c r="D19" s="35">
        <f>IF(2051.85549="","-",2051.85549/1959536.20883*100)</f>
        <v>0.10471128222862092</v>
      </c>
      <c r="E19" s="35">
        <f>IF(2098.56991="","-",2098.56991/2026247.72249*100)</f>
        <v>0.10356926681309851</v>
      </c>
      <c r="F19" s="50">
        <f>IF(OR(1651540.84429="",2083.01836="",2051.85549=""),"-",(2051.85549-2083.01836)/1651540.84429*100)</f>
        <v>-0.001886896718766715</v>
      </c>
      <c r="G19" s="50">
        <f>IF(OR(1959536.20883="",2098.56991="",2051.85549=""),"-",(2098.56991-2051.85549)/1959536.20883*100)</f>
        <v>0.002383952885866421</v>
      </c>
      <c r="J19" s="15"/>
    </row>
    <row r="20" spans="1:10" s="9" customFormat="1" ht="15.75">
      <c r="A20" s="45" t="s">
        <v>247</v>
      </c>
      <c r="B20" s="33">
        <f>IF(158675.4697="","-",158675.4697)</f>
        <v>158675.4697</v>
      </c>
      <c r="C20" s="33">
        <f>IF(161289.64255="","-",158675.4697/161289.64255*100)</f>
        <v>98.37920599942454</v>
      </c>
      <c r="D20" s="33">
        <f>IF(161289.64255="","-",161289.64255/1959536.20883*100)</f>
        <v>8.231011084316876</v>
      </c>
      <c r="E20" s="33">
        <f>IF(158675.4697="","-",158675.4697/2026247.72249*100)</f>
        <v>7.831000520756073</v>
      </c>
      <c r="F20" s="49">
        <f>IF(1651540.84429="","-",(161289.64255-140288.64255)/1651540.84429*100)</f>
        <v>1.271600401080505</v>
      </c>
      <c r="G20" s="49">
        <f>IF(1959536.20883="","-",(158675.4697-161289.64255)/1959536.20883*100)</f>
        <v>-0.13340773384130897</v>
      </c>
      <c r="J20" s="15"/>
    </row>
    <row r="21" spans="1:7" s="9" customFormat="1" ht="15.75">
      <c r="A21" s="34" t="s">
        <v>248</v>
      </c>
      <c r="B21" s="35">
        <f>IF(140156.25178="","-",140156.25178)</f>
        <v>140156.25178</v>
      </c>
      <c r="C21" s="35">
        <f>IF(OR(144887.12586="",140156.25178=""),"-",140156.25178/144887.12586*100)</f>
        <v>96.7347864401898</v>
      </c>
      <c r="D21" s="35">
        <f>IF(144887.12586="","-",144887.12586/1959536.20883*100)</f>
        <v>7.393949915654237</v>
      </c>
      <c r="E21" s="35">
        <f>IF(140156.25178="","-",140156.25178/2026247.72249*100)</f>
        <v>6.917034389446017</v>
      </c>
      <c r="F21" s="50">
        <f>IF(OR(1651540.84429="",126713.02287="",144887.12586=""),"-",(144887.12586-126713.02287)/1651540.84429*100)</f>
        <v>1.1004331532480551</v>
      </c>
      <c r="G21" s="50">
        <f>IF(OR(1959536.20883="",140156.25178="",144887.12586=""),"-",(140156.25178-144887.12586)/1959536.20883*100)</f>
        <v>-0.24142825525151787</v>
      </c>
    </row>
    <row r="22" spans="1:7" s="9" customFormat="1" ht="15.75">
      <c r="A22" s="34" t="s">
        <v>249</v>
      </c>
      <c r="B22" s="35">
        <f>IF(18519.21792="","-",18519.21792)</f>
        <v>18519.21792</v>
      </c>
      <c r="C22" s="35">
        <f>IF(OR(16402.51669="",18519.21792=""),"-",18519.21792/16402.51669*100)</f>
        <v>112.90473449900816</v>
      </c>
      <c r="D22" s="35">
        <f>IF(16402.51669="","-",16402.51669/1959536.20883*100)</f>
        <v>0.8370611686626407</v>
      </c>
      <c r="E22" s="35">
        <f>IF(18519.21792="","-",18519.21792/2026247.72249*100)</f>
        <v>0.9139661313100573</v>
      </c>
      <c r="F22" s="50">
        <f>IF(OR(1651540.84429="",13575.61968="",16402.51669=""),"-",(16402.51669-13575.61968)/1651540.84429*100)</f>
        <v>0.17116724783244996</v>
      </c>
      <c r="G22" s="50">
        <f>IF(OR(1959536.20883="",18519.21792="",16402.51669=""),"-",(18519.21792-16402.51669)/1959536.20883*100)</f>
        <v>0.10802052141020853</v>
      </c>
    </row>
    <row r="23" spans="1:7" s="9" customFormat="1" ht="25.5">
      <c r="A23" s="45" t="s">
        <v>25</v>
      </c>
      <c r="B23" s="33">
        <f>IF(213538.66178="","-",213538.66178)</f>
        <v>213538.66178</v>
      </c>
      <c r="C23" s="33">
        <f>IF(190420.18462="","-",213538.66178/190420.18462*100)</f>
        <v>112.14077026872698</v>
      </c>
      <c r="D23" s="33">
        <f>IF(190420.18462="","-",190420.18462/1959536.20883*100)</f>
        <v>9.717615003077494</v>
      </c>
      <c r="E23" s="33">
        <f>IF(213538.66178="","-",213538.66178/2026247.72249*100)</f>
        <v>10.538625628538064</v>
      </c>
      <c r="F23" s="49">
        <f>IF(1651540.84429="","-",(190420.18462-183071.14578)/1651540.84429*100)</f>
        <v>0.44498075027380785</v>
      </c>
      <c r="G23" s="49">
        <f>IF(1959536.20883="","-",(213538.66178-190420.18462)/1959536.20883*100)</f>
        <v>1.1797933131229845</v>
      </c>
    </row>
    <row r="24" spans="1:7" s="9" customFormat="1" ht="15.75" customHeight="1">
      <c r="A24" s="34" t="s">
        <v>250</v>
      </c>
      <c r="B24" s="35">
        <f>IF(1189.68379="","-",1189.68379)</f>
        <v>1189.68379</v>
      </c>
      <c r="C24" s="35">
        <f>IF(OR(2309.99206="",1189.68379=""),"-",1189.68379/2309.99206*100)</f>
        <v>51.50163979351513</v>
      </c>
      <c r="D24" s="35">
        <f>IF(2309.99206="","-",2309.99206/1959536.20883*100)</f>
        <v>0.11788463257738169</v>
      </c>
      <c r="E24" s="35">
        <f>IF(1189.68379="","-",1189.68379/2026247.72249*100)</f>
        <v>0.05871363983758266</v>
      </c>
      <c r="F24" s="50">
        <f>IF(OR(1651540.84429="",2922.1706="",2309.99206=""),"-",(2309.99206-2922.1706)/1651540.84429*100)</f>
        <v>-0.03706711475629151</v>
      </c>
      <c r="G24" s="50">
        <f>IF(OR(1959536.20883="",1189.68379="",2309.99206=""),"-",(1189.68379-2309.99206)/1959536.20883*100)</f>
        <v>-0.057172113735469765</v>
      </c>
    </row>
    <row r="25" spans="1:8" s="9" customFormat="1" ht="15.75">
      <c r="A25" s="34" t="s">
        <v>251</v>
      </c>
      <c r="B25" s="35">
        <f>IF(186946.58909="","-",186946.58909)</f>
        <v>186946.58909</v>
      </c>
      <c r="C25" s="35">
        <f>IF(OR(159882.63234="",186946.58909=""),"-",186946.58909/159882.63234*100)</f>
        <v>116.92739001972825</v>
      </c>
      <c r="D25" s="35">
        <f>IF(159882.63234="","-",159882.63234/1959536.20883*100)</f>
        <v>8.159207858448442</v>
      </c>
      <c r="E25" s="35">
        <f>IF(186946.58909="","-",186946.58909/2026247.72249*100)</f>
        <v>9.22624548889148</v>
      </c>
      <c r="F25" s="50">
        <f>IF(OR(1651540.84429="",156110.21976="",159882.63234=""),"-",(159882.63234-156110.21976)/1651540.84429*100)</f>
        <v>0.22841775866716574</v>
      </c>
      <c r="G25" s="50">
        <f>IF(OR(1959536.20883="",186946.58909="",159882.63234=""),"-",(186946.58909-159882.63234)/1959536.20883*100)</f>
        <v>1.381140936719885</v>
      </c>
      <c r="H25" s="7"/>
    </row>
    <row r="26" spans="1:8" s="9" customFormat="1" ht="15.75">
      <c r="A26" s="34" t="s">
        <v>252</v>
      </c>
      <c r="B26" s="35">
        <f>IF(663.62605="","-",663.62605)</f>
        <v>663.62605</v>
      </c>
      <c r="C26" s="35">
        <f>IF(OR(637.81425="",663.62605=""),"-",663.62605/637.81425*100)</f>
        <v>104.0469149129233</v>
      </c>
      <c r="D26" s="35">
        <f>IF(637.81425="","-",637.81425/1959536.20883*100)</f>
        <v>0.0325492454350117</v>
      </c>
      <c r="E26" s="35">
        <f>IF(663.62605="","-",663.62605/2026247.72249*100)</f>
        <v>0.03275147666468383</v>
      </c>
      <c r="F26" s="50">
        <f>IF(OR(1651540.84429="",452.91584="",637.81425=""),"-",(637.81425-452.91584)/1651540.84429*100)</f>
        <v>0.011195509371703619</v>
      </c>
      <c r="G26" s="50">
        <f>IF(OR(1959536.20883="",663.62605="",637.81425=""),"-",(663.62605-637.81425)/1959536.20883*100)</f>
        <v>0.0013172402675534973</v>
      </c>
      <c r="H26" s="8"/>
    </row>
    <row r="27" spans="1:8" s="9" customFormat="1" ht="15.75">
      <c r="A27" s="34" t="s">
        <v>253</v>
      </c>
      <c r="B27" s="35">
        <f>IF(2045.16042="","-",2045.16042)</f>
        <v>2045.16042</v>
      </c>
      <c r="C27" s="35">
        <f>IF(OR(2401.78805="",2045.16042=""),"-",2045.16042/2401.78805*100)</f>
        <v>85.15157780054739</v>
      </c>
      <c r="D27" s="35">
        <f>IF(2401.78805="","-",2401.78805/1959536.20883*100)</f>
        <v>0.12256920995780221</v>
      </c>
      <c r="E27" s="35">
        <f>IF(2045.16042="","-",2045.16042/2026247.72249*100)</f>
        <v>0.10093338525690031</v>
      </c>
      <c r="F27" s="50">
        <f>IF(OR(1651540.84429="",2153.07707="",2401.78805=""),"-",(2401.78805-2153.07707)/1651540.84429*100)</f>
        <v>0.015059329647213267</v>
      </c>
      <c r="G27" s="50">
        <f>IF(OR(1959536.20883="",2045.16042="",2401.78805=""),"-",(2045.16042-2401.78805)/1959536.20883*100)</f>
        <v>-0.01819959378106799</v>
      </c>
      <c r="H27" s="8"/>
    </row>
    <row r="28" spans="1:8" s="9" customFormat="1" ht="38.25">
      <c r="A28" s="34" t="s">
        <v>254</v>
      </c>
      <c r="B28" s="35">
        <f>IF(261.67072="","-",261.67072)</f>
        <v>261.67072</v>
      </c>
      <c r="C28" s="35">
        <f>IF(OR(306.89185="",261.67072=""),"-",261.67072/306.89185*100)</f>
        <v>85.26479930959393</v>
      </c>
      <c r="D28" s="35">
        <f>IF(306.89185="","-",306.89185/1959536.20883*100)</f>
        <v>0.015661453389689543</v>
      </c>
      <c r="E28" s="35">
        <f>IF(261.67072="","-",261.67072/2026247.72249*100)</f>
        <v>0.01291405375046838</v>
      </c>
      <c r="F28" s="50">
        <f>IF(OR(1651540.84429="",326.90599="",306.89185=""),"-",(306.89185-326.90599)/1651540.84429*100)</f>
        <v>-0.001211846504989352</v>
      </c>
      <c r="G28" s="50">
        <f>IF(OR(1959536.20883="",261.67072="",306.89185=""),"-",(261.67072-306.89185)/1959536.20883*100)</f>
        <v>-0.0023077465880051583</v>
      </c>
      <c r="H28" s="8"/>
    </row>
    <row r="29" spans="1:8" s="9" customFormat="1" ht="38.25">
      <c r="A29" s="34" t="s">
        <v>255</v>
      </c>
      <c r="B29" s="35">
        <f>IF(7286.34109="","-",7286.34109)</f>
        <v>7286.34109</v>
      </c>
      <c r="C29" s="35">
        <f>IF(OR(9071.58163="",7286.34109=""),"-",7286.34109/9071.58163*100)</f>
        <v>80.32051506766852</v>
      </c>
      <c r="D29" s="35">
        <f>IF(9071.58163="","-",9071.58163/1959536.20883*100)</f>
        <v>0.46294534334818244</v>
      </c>
      <c r="E29" s="35">
        <f>IF(7286.34109="","-",7286.34109/2026247.72249*100)</f>
        <v>0.3595977436088622</v>
      </c>
      <c r="F29" s="50">
        <f>IF(OR(1651540.84429="",8097.6848="",9071.58163=""),"-",(9071.58163-8097.6848)/1651540.84429*100)</f>
        <v>0.05896898241222005</v>
      </c>
      <c r="G29" s="50">
        <f>IF(OR(1959536.20883="",7286.34109="",9071.58163=""),"-",(7286.34109-9071.58163)/1959536.20883*100)</f>
        <v>-0.0911052590891358</v>
      </c>
      <c r="H29" s="8"/>
    </row>
    <row r="30" spans="1:7" s="9" customFormat="1" ht="27" customHeight="1">
      <c r="A30" s="34" t="s">
        <v>256</v>
      </c>
      <c r="B30" s="35">
        <f>IF(12563.16576="","-",12563.16576)</f>
        <v>12563.16576</v>
      </c>
      <c r="C30" s="35">
        <f>IF(OR(13019.53707="",12563.16576=""),"-",12563.16576/13019.53707*100)</f>
        <v>96.4947193779141</v>
      </c>
      <c r="D30" s="35">
        <f>IF(13019.53707="","-",13019.53707/1959536.20883*100)</f>
        <v>0.6644193157203105</v>
      </c>
      <c r="E30" s="35">
        <f>IF(12563.16576="","-",12563.16576/2026247.72249*100)</f>
        <v>0.6200212155975415</v>
      </c>
      <c r="F30" s="50">
        <f>IF(OR(1651540.84429="",11506.63227="",13019.53707=""),"-",(13019.53707-11506.63227)/1651540.84429*100)</f>
        <v>0.09160565451533839</v>
      </c>
      <c r="G30" s="50">
        <f>IF(OR(1959536.20883="",12563.16576="",13019.53707=""),"-",(12563.16576-13019.53707)/1959536.20883*100)</f>
        <v>-0.023289761523339784</v>
      </c>
    </row>
    <row r="31" spans="1:7" s="9" customFormat="1" ht="25.5">
      <c r="A31" s="34" t="s">
        <v>257</v>
      </c>
      <c r="B31" s="35">
        <f>IF(2581.83929="","-",2581.83929)</f>
        <v>2581.83929</v>
      </c>
      <c r="C31" s="35">
        <f>IF(OR(2789.01049="",2581.83929=""),"-",2581.83929/2789.01049*100)</f>
        <v>92.57187447867935</v>
      </c>
      <c r="D31" s="35">
        <f>IF(2789.01049="","-",2789.01049/1959536.20883*100)</f>
        <v>0.14233013288717247</v>
      </c>
      <c r="E31" s="35">
        <f>IF(2581.83929="","-",2581.83929/2026247.72249*100)</f>
        <v>0.12741972570003676</v>
      </c>
      <c r="F31" s="50">
        <f>IF(OR(1651540.84429="",1501.0752="",2789.01049=""),"-",(2789.01049-1501.0752)/1651540.84429*100)</f>
        <v>0.07798385940334922</v>
      </c>
      <c r="G31" s="50">
        <f>IF(OR(1959536.20883="",2581.83929="",2789.01049=""),"-",(2581.83929-2789.01049)/1959536.20883*100)</f>
        <v>-0.010572460925521658</v>
      </c>
    </row>
    <row r="32" spans="1:7" s="9" customFormat="1" ht="25.5">
      <c r="A32" s="45" t="s">
        <v>258</v>
      </c>
      <c r="B32" s="33">
        <f>IF(8428.6798="","-",8428.6798)</f>
        <v>8428.6798</v>
      </c>
      <c r="C32" s="33">
        <f>IF(13989.81441="","-",8428.6798/13989.81441*100)</f>
        <v>60.24868917471221</v>
      </c>
      <c r="D32" s="33">
        <f>IF(13989.81441="","-",13989.81441/1959536.20883*100)</f>
        <v>0.7139349784382418</v>
      </c>
      <c r="E32" s="33">
        <f>IF(8428.6798="","-",8428.6798/2026247.72249*100)</f>
        <v>0.415974794515363</v>
      </c>
      <c r="F32" s="49">
        <f>IF(1651540.84429="","-",(13989.81441-12020.59193)/1651540.84429*100)</f>
        <v>0.11923546951977276</v>
      </c>
      <c r="G32" s="49">
        <f>IF(1959536.20883="","-",(8428.6798-13989.81441)/1959536.20883*100)</f>
        <v>-0.2837985123694369</v>
      </c>
    </row>
    <row r="33" spans="1:7" s="9" customFormat="1" ht="15.75">
      <c r="A33" s="34" t="s">
        <v>261</v>
      </c>
      <c r="B33" s="35">
        <f>IF(3.98403="","-",3.98403)</f>
        <v>3.98403</v>
      </c>
      <c r="C33" s="35">
        <f>IF(OR(18.25726="",3.98403=""),"-",3.98403/18.25726*100)</f>
        <v>21.8216205498525</v>
      </c>
      <c r="D33" s="35">
        <f>IF(18.25726="","-",18.25726/1959536.20883*100)</f>
        <v>0.000931713326741793</v>
      </c>
      <c r="E33" s="35">
        <f>IF(3.98403="","-",3.98403/2026247.72249*100)</f>
        <v>0.00019662107232891224</v>
      </c>
      <c r="F33" s="50">
        <f>IF(OR(1651540.84429="",3.20163="",18.25726=""),"-",(18.25726-3.20163)/1651540.84429*100)</f>
        <v>0.0009116111207332834</v>
      </c>
      <c r="G33" s="50">
        <f>IF(OR(1959536.20883="",3.98403="",18.25726=""),"-",(3.98403-18.25726)/1959536.20883*100)</f>
        <v>-0.0007283983799677915</v>
      </c>
    </row>
    <row r="34" spans="1:7" s="9" customFormat="1" ht="25.5">
      <c r="A34" s="34" t="s">
        <v>259</v>
      </c>
      <c r="B34" s="35">
        <f>IF(8419.05824="","-",8419.05824)</f>
        <v>8419.05824</v>
      </c>
      <c r="C34" s="35">
        <f>IF(OR(13955.85802="",8419.05824=""),"-",8419.05824/13955.85802*100)</f>
        <v>60.32633914686386</v>
      </c>
      <c r="D34" s="35">
        <f>IF(13955.85802="","-",13955.85802/1959536.20883*100)</f>
        <v>0.71220209951276</v>
      </c>
      <c r="E34" s="35">
        <f>IF(8419.05824="","-",8419.05824/2026247.72249*100)</f>
        <v>0.4154999483308019</v>
      </c>
      <c r="F34" s="50">
        <f>IF(OR(1651540.84429="",12012.15289="",13955.85802=""),"-",(13955.85802-12012.15289)/1651540.84429*100)</f>
        <v>0.11769040630875843</v>
      </c>
      <c r="G34" s="50">
        <f>IF(OR(1959536.20883="",8419.05824="",13955.85802=""),"-",(8419.05824-13955.85802)/1959536.20883*100)</f>
        <v>-0.2825566455496075</v>
      </c>
    </row>
    <row r="35" spans="1:7" s="9" customFormat="1" ht="15.75">
      <c r="A35" s="34" t="s">
        <v>260</v>
      </c>
      <c r="B35" s="35">
        <f>IF(5.63753="","-",5.63753)</f>
        <v>5.63753</v>
      </c>
      <c r="C35" s="35">
        <f>IF(OR(6.31776="",5.63753=""),"-",5.63753/6.31776*100)</f>
        <v>89.23305095476877</v>
      </c>
      <c r="D35" s="35">
        <f>IF(6.31776="","-",6.31776/1959536.20883*100)</f>
        <v>0.000322410985391906</v>
      </c>
      <c r="E35" s="35">
        <f>IF(5.63753="","-",5.63753/2026247.72249*100)</f>
        <v>0.0002782251122321902</v>
      </c>
      <c r="F35" s="50">
        <f>IF(OR(1651540.84429="",5.23741="",6.31776=""),"-",(6.31776-5.23741)/1651540.84429*100)</f>
        <v>6.541467041128155E-05</v>
      </c>
      <c r="G35" s="50">
        <f>IF(OR(1959536.20883="",5.63753="",6.31776=""),"-",(5.63753-6.31776)/1959536.20883*100)</f>
        <v>-3.4713826513374395E-05</v>
      </c>
    </row>
    <row r="36" spans="1:7" s="9" customFormat="1" ht="25.5">
      <c r="A36" s="45" t="s">
        <v>262</v>
      </c>
      <c r="B36" s="33">
        <f>IF(39837.63036="","-",39837.63036)</f>
        <v>39837.63036</v>
      </c>
      <c r="C36" s="33">
        <f>IF(49665.2843="","-",39837.63036/49665.2843*100)</f>
        <v>80.21222655117269</v>
      </c>
      <c r="D36" s="33">
        <f>IF(49665.2843="","-",49665.2843/1959536.20883*100)</f>
        <v>2.534542820704199</v>
      </c>
      <c r="E36" s="33">
        <f>IF(39837.63036="","-",39837.63036/2026247.72249*100)</f>
        <v>1.966078970395813</v>
      </c>
      <c r="F36" s="49">
        <f>IF(1651540.84429="","-",(49665.2843-25981.40708)/1651540.84429*100)</f>
        <v>1.4340473202272956</v>
      </c>
      <c r="G36" s="49">
        <f>IF(1959536.20883="","-",(39837.63036-49665.2843)/1959536.20883*100)</f>
        <v>-0.5015295913244642</v>
      </c>
    </row>
    <row r="37" spans="1:7" s="9" customFormat="1" ht="25.5">
      <c r="A37" s="34" t="s">
        <v>263</v>
      </c>
      <c r="B37" s="35">
        <f>IF(39820.63982="","-",39820.63982)</f>
        <v>39820.63982</v>
      </c>
      <c r="C37" s="35">
        <f>IF(OR(49491.52137="",39820.63982=""),"-",39820.63982/49491.52137*100)</f>
        <v>80.45951855530924</v>
      </c>
      <c r="D37" s="35">
        <f>IF(49491.52137="","-",49491.52137/1959536.20883*100)</f>
        <v>2.525675266779092</v>
      </c>
      <c r="E37" s="35">
        <f>IF(39820.63982="","-",39820.63982/2026247.72249*100)</f>
        <v>1.9652404480467722</v>
      </c>
      <c r="F37" s="50">
        <f>IF(OR(1651540.84429="",25880.90321="",49491.52137=""),"-",(49491.52137-25880.90321)/1651540.84429*100)</f>
        <v>1.4296115195473862</v>
      </c>
      <c r="G37" s="50">
        <f>IF(OR(1959536.20883="",39820.63982="",49491.52137=""),"-",(39820.63982-49491.52137)/1959536.20883*100)</f>
        <v>-0.49352910685811197</v>
      </c>
    </row>
    <row r="38" spans="1:7" s="9" customFormat="1" ht="14.25" customHeight="1">
      <c r="A38" s="34" t="s">
        <v>264</v>
      </c>
      <c r="B38" s="35">
        <f>IF(16.99054="","-",16.99054)</f>
        <v>16.99054</v>
      </c>
      <c r="C38" s="35">
        <f>IF(OR(173.74538="",16.99054=""),"-",16.99054/173.74538*100)</f>
        <v>9.778988080143483</v>
      </c>
      <c r="D38" s="35">
        <f>IF(173.74538="","-",173.74538/1959536.20883*100)</f>
        <v>0.008866658305014936</v>
      </c>
      <c r="E38" s="35">
        <f>IF(16.99054="","-",16.99054/2026247.72249*100)</f>
        <v>0.0008385223490403628</v>
      </c>
      <c r="F38" s="50">
        <f>IF(OR(1651540.84429="",100.50387="",173.74538=""),"-",(173.74538-100.50387)/1651540.84429*100)</f>
        <v>0.00443473803589076</v>
      </c>
      <c r="G38" s="50">
        <f>IF(OR(1959536.20883="",16.99054="",173.74538=""),"-",(16.99054-173.74538)/1959536.20883*100)</f>
        <v>-0.007999588846260473</v>
      </c>
    </row>
    <row r="39" spans="1:7" s="9" customFormat="1" ht="25.5">
      <c r="A39" s="45" t="s">
        <v>265</v>
      </c>
      <c r="B39" s="33">
        <f>IF(93043.31291="","-",93043.31291)</f>
        <v>93043.31291</v>
      </c>
      <c r="C39" s="33">
        <f>IF(93629.77426="","-",93043.31291/93629.77426*100)</f>
        <v>99.3736379750618</v>
      </c>
      <c r="D39" s="33">
        <f>IF(93629.77426="","-",93629.77426/1959536.20883*100)</f>
        <v>4.778159946118295</v>
      </c>
      <c r="E39" s="33">
        <f>IF(93043.31291="","-",93043.31291/2026247.72249*100)</f>
        <v>4.591902158718364</v>
      </c>
      <c r="F39" s="49">
        <f>IF(1651540.84429="","-",(93629.77426-95600.76107)/1651540.84429*100)</f>
        <v>-0.11934229884864385</v>
      </c>
      <c r="G39" s="49">
        <f>IF(1959536.20883="","-",(93043.31291-93629.77426)/1959536.20883*100)</f>
        <v>-0.029928579393293107</v>
      </c>
    </row>
    <row r="40" spans="1:7" s="9" customFormat="1" ht="15" customHeight="1">
      <c r="A40" s="34" t="s">
        <v>26</v>
      </c>
      <c r="B40" s="35">
        <f>IF(15697.83063="","-",15697.83063)</f>
        <v>15697.83063</v>
      </c>
      <c r="C40" s="35">
        <f>IF(OR(19814.44755="",15697.83063=""),"-",15697.83063/19814.44755*100)</f>
        <v>79.22416504617613</v>
      </c>
      <c r="D40" s="35">
        <f>IF(19814.44755="","-",19814.44755/1959536.20883*100)</f>
        <v>1.0111804752937337</v>
      </c>
      <c r="E40" s="35">
        <f>IF(15697.83063="","-",15697.83063/2026247.72249*100)</f>
        <v>0.7747241591323971</v>
      </c>
      <c r="F40" s="50">
        <f>IF(OR(1651540.84429="",16978.27591="",19814.44755=""),"-",(19814.44755-16978.27591)/1651540.84429*100)</f>
        <v>0.17172882219690275</v>
      </c>
      <c r="G40" s="50">
        <f>IF(OR(1959536.20883="",15697.83063="",19814.44755=""),"-",(15697.83063-19814.44755)/1959536.20883*100)</f>
        <v>-0.210081186632318</v>
      </c>
    </row>
    <row r="41" spans="1:7" s="9" customFormat="1" ht="15.75">
      <c r="A41" s="34" t="s">
        <v>27</v>
      </c>
      <c r="B41" s="35">
        <f>IF(1034.86894="","-",1034.86894)</f>
        <v>1034.86894</v>
      </c>
      <c r="C41" s="35">
        <f>IF(OR(846.78571="",1034.86894=""),"-",1034.86894/846.78571*100)</f>
        <v>122.21143174463822</v>
      </c>
      <c r="D41" s="35">
        <f>IF(846.78571="","-",846.78571/1959536.20883*100)</f>
        <v>0.043213578099972894</v>
      </c>
      <c r="E41" s="35">
        <f>IF(1034.86894="","-",1034.86894/2026247.72249*100)</f>
        <v>0.05107316980612213</v>
      </c>
      <c r="F41" s="50">
        <f>IF(OR(1651540.84429="",861.82025="",846.78571=""),"-",(846.78571-861.82025)/1651540.84429*100)</f>
        <v>-0.0009103341314252126</v>
      </c>
      <c r="G41" s="50">
        <f>IF(OR(1959536.20883="",1034.86894="",846.78571=""),"-",(1034.86894-846.78571)/1959536.20883*100)</f>
        <v>0.009598354404091406</v>
      </c>
    </row>
    <row r="42" spans="1:7" s="9" customFormat="1" ht="15.75" customHeight="1">
      <c r="A42" s="34" t="s">
        <v>266</v>
      </c>
      <c r="B42" s="35">
        <f>IF(662.68057="","-",662.68057)</f>
        <v>662.68057</v>
      </c>
      <c r="C42" s="35">
        <f>IF(OR(2460.43301="",662.68057=""),"-",662.68057/2460.43301*100)</f>
        <v>26.933493710523738</v>
      </c>
      <c r="D42" s="35">
        <f>IF(2460.43301="","-",2460.43301/1959536.20883*100)</f>
        <v>0.12556200793396288</v>
      </c>
      <c r="E42" s="35">
        <f>IF(662.68057="","-",662.68057/2026247.72249*100)</f>
        <v>0.032704815045302066</v>
      </c>
      <c r="F42" s="50">
        <f>IF(OR(1651540.84429="",846.66107="",2460.43301=""),"-",(2460.43301-846.66107)/1651540.84429*100)</f>
        <v>0.09771311109739846</v>
      </c>
      <c r="G42" s="50">
        <f>IF(OR(1959536.20883="",662.68057="",2460.43301=""),"-",(662.68057-2460.43301)/1959536.20883*100)</f>
        <v>-0.09174377242426168</v>
      </c>
    </row>
    <row r="43" spans="1:7" s="9" customFormat="1" ht="15.75">
      <c r="A43" s="34" t="s">
        <v>267</v>
      </c>
      <c r="B43" s="35">
        <f>IF(58725.97431="","-",58725.97431)</f>
        <v>58725.97431</v>
      </c>
      <c r="C43" s="35">
        <f>IF(OR(48128.69579="",58725.97431=""),"-",58725.97431/48128.69579*100)</f>
        <v>122.01862806804307</v>
      </c>
      <c r="D43" s="35">
        <f>IF(48128.69579="","-",48128.69579/1959536.20883*100)</f>
        <v>2.456126892329113</v>
      </c>
      <c r="E43" s="35">
        <f>IF(58725.97431="","-",58725.97431/2026247.72249*100)</f>
        <v>2.8982623229223554</v>
      </c>
      <c r="F43" s="50">
        <f>IF(OR(1651540.84429="",45132.42921="",48128.69579=""),"-",(48128.69579-45132.42921)/1651540.84429*100)</f>
        <v>0.18142249344660294</v>
      </c>
      <c r="G43" s="50">
        <f>IF(OR(1959536.20883="",58725.97431="",48128.69579=""),"-",(58725.97431-48128.69579)/1959536.20883*100)</f>
        <v>0.540805445301132</v>
      </c>
    </row>
    <row r="44" spans="1:7" s="9" customFormat="1" ht="38.25">
      <c r="A44" s="34" t="s">
        <v>268</v>
      </c>
      <c r="B44" s="35">
        <f>IF(11749.5945="","-",11749.5945)</f>
        <v>11749.5945</v>
      </c>
      <c r="C44" s="35">
        <f>IF(OR(17175.70891="",11749.5945=""),"-",11749.5945/17175.70891*100)</f>
        <v>68.40820697164457</v>
      </c>
      <c r="D44" s="35">
        <f>IF(17175.70891="","-",17175.70891/1959536.20883*100)</f>
        <v>0.8765190881701173</v>
      </c>
      <c r="E44" s="35">
        <f>IF(11749.5945="","-",11749.5945/2026247.72249*100)</f>
        <v>0.5798695968704778</v>
      </c>
      <c r="F44" s="50">
        <f>IF(OR(1651540.84429="",22848.66621="",17175.70891=""),"-",(17175.70891-22848.66621)/1651540.84429*100)</f>
        <v>-0.3434948230080747</v>
      </c>
      <c r="G44" s="50">
        <f>IF(OR(1959536.20883="",11749.5945="",17175.70891=""),"-",(11749.5945-17175.70891)/1959536.20883*100)</f>
        <v>-0.27690809618873163</v>
      </c>
    </row>
    <row r="45" spans="1:7" s="9" customFormat="1" ht="15.75">
      <c r="A45" s="34" t="s">
        <v>270</v>
      </c>
      <c r="B45" s="35">
        <f>IF(44.34774="","-",44.34774)</f>
        <v>44.34774</v>
      </c>
      <c r="C45" s="35" t="s">
        <v>226</v>
      </c>
      <c r="D45" s="35">
        <f>IF(15.69622="","-",15.69622/1959536.20883*100)</f>
        <v>0.0008010170942118952</v>
      </c>
      <c r="E45" s="35">
        <f>IF(44.34774="","-",44.34774/2026247.72249*100)</f>
        <v>0.002188663286713151</v>
      </c>
      <c r="F45" s="50">
        <f>IF(OR(1651540.84429="",50.4="",15.69622=""),"-",(15.69622-50.4)/1651540.84429*100)</f>
        <v>-0.0021012971080905485</v>
      </c>
      <c r="G45" s="50">
        <f>IF(OR(1959536.20883="",44.34774="",15.69622=""),"-",(44.34774-15.69622)/1959536.20883*100)</f>
        <v>0.0014621582326925847</v>
      </c>
    </row>
    <row r="46" spans="1:7" s="9" customFormat="1" ht="15.75">
      <c r="A46" s="34" t="s">
        <v>28</v>
      </c>
      <c r="B46" s="35">
        <f>IF(1604.469="","-",1604.469)</f>
        <v>1604.469</v>
      </c>
      <c r="C46" s="35">
        <f>IF(OR(1766.96188="",1604.469=""),"-",1604.469/1766.96188*100)</f>
        <v>90.80382650926234</v>
      </c>
      <c r="D46" s="35">
        <f>IF(1766.96188="","-",1766.96188/1959536.20883*100)</f>
        <v>0.09017245366723883</v>
      </c>
      <c r="E46" s="35">
        <f>IF(1604.469="","-",1604.469/2026247.72249*100)</f>
        <v>0.07918424693049438</v>
      </c>
      <c r="F46" s="50">
        <f>IF(OR(1651540.84429="",2845.28159="",1766.96188=""),"-",(1766.96188-2845.28159)/1651540.84429*100)</f>
        <v>-0.0652917373329372</v>
      </c>
      <c r="G46" s="50">
        <f>IF(OR(1959536.20883="",1604.469="",1766.96188=""),"-",(1604.469-1766.96188)/1959536.20883*100)</f>
        <v>-0.008292415280094327</v>
      </c>
    </row>
    <row r="47" spans="1:7" s="9" customFormat="1" ht="15.75">
      <c r="A47" s="34" t="s">
        <v>29</v>
      </c>
      <c r="B47" s="35">
        <f>IF(1906.78238="","-",1906.78238)</f>
        <v>1906.78238</v>
      </c>
      <c r="C47" s="35">
        <f>IF(OR(1461.97665="",1906.78238=""),"-",1906.78238/1461.97665*100)</f>
        <v>130.424954461482</v>
      </c>
      <c r="D47" s="35">
        <f>IF(1461.97665="","-",1461.97665/1959536.20883*100)</f>
        <v>0.0746082998319749</v>
      </c>
      <c r="E47" s="35">
        <f>IF(1906.78238="","-",1906.78238/2026247.72249*100)</f>
        <v>0.09410410972143168</v>
      </c>
      <c r="F47" s="50">
        <f>IF(OR(1651540.84429="",2355.44516="",1461.97665=""),"-",(1461.97665-2355.44516)/1651540.84429*100)</f>
        <v>-0.05409908650391893</v>
      </c>
      <c r="G47" s="50">
        <f>IF(OR(1959536.20883="",1906.78238="",1461.97665=""),"-",(1906.78238-1461.97665)/1959536.20883*100)</f>
        <v>0.02269954124836431</v>
      </c>
    </row>
    <row r="48" spans="1:7" ht="15.75">
      <c r="A48" s="34" t="s">
        <v>269</v>
      </c>
      <c r="B48" s="35">
        <f>IF(1616.76484="","-",1616.76484)</f>
        <v>1616.76484</v>
      </c>
      <c r="C48" s="35">
        <f>IF(OR(1959.06854="",1616.76484=""),"-",1616.76484/1959.06854*100)</f>
        <v>82.52722183982394</v>
      </c>
      <c r="D48" s="35">
        <f>IF(1959.06854="","-",1959.06854/1959536.20883*100)</f>
        <v>0.09997613369796932</v>
      </c>
      <c r="E48" s="35">
        <f>IF(1616.76484="","-",1616.76484/2026247.72249*100)</f>
        <v>0.07979107500307032</v>
      </c>
      <c r="F48" s="50">
        <f>IF(OR(1651540.84429="",3681.78167="",1959.06854=""),"-",(1959.06854-3681.78167)/1651540.84429*100)</f>
        <v>-0.10430944750510224</v>
      </c>
      <c r="G48" s="50">
        <f>IF(OR(1959536.20883="",1616.76484="",1959.06854=""),"-",(1616.76484-1959.06854)/1959536.20883*100)</f>
        <v>-0.0174686080541672</v>
      </c>
    </row>
    <row r="49" spans="1:7" ht="25.5">
      <c r="A49" s="45" t="s">
        <v>271</v>
      </c>
      <c r="B49" s="33">
        <f>IF(132330.69312="","-",132330.69312)</f>
        <v>132330.69312</v>
      </c>
      <c r="C49" s="33">
        <f>IF(134865.68419="","-",132330.69312/134865.68419*100)</f>
        <v>98.1203587219202</v>
      </c>
      <c r="D49" s="33">
        <f>IF(134865.68419="","-",134865.68419/1959536.20883*100)</f>
        <v>6.882530855121356</v>
      </c>
      <c r="E49" s="33">
        <f>IF(132330.69312="","-",132330.69312/2026247.72249*100)</f>
        <v>6.5308250146918105</v>
      </c>
      <c r="F49" s="49">
        <f>IF(1651540.84429="","-",(134865.68419-125385.52377)/1651540.84429*100)</f>
        <v>0.5740191320594034</v>
      </c>
      <c r="G49" s="49">
        <f>IF(1959536.20883="","-",(132330.69312-134865.68419)/1959536.20883*100)</f>
        <v>-0.12936689092943998</v>
      </c>
    </row>
    <row r="50" spans="1:7" ht="14.25" customHeight="1">
      <c r="A50" s="34" t="s">
        <v>272</v>
      </c>
      <c r="B50" s="35">
        <f>IF(435.8844="","-",435.8844)</f>
        <v>435.8844</v>
      </c>
      <c r="C50" s="35">
        <f>IF(OR(1192.50315="",435.8844=""),"-",435.8844/1192.50315*100)</f>
        <v>36.552054390799725</v>
      </c>
      <c r="D50" s="35">
        <f>IF(1192.50315="","-",1192.50315/1959536.20883*100)</f>
        <v>0.06085639778567909</v>
      </c>
      <c r="E50" s="35">
        <f>IF(435.8844="","-",435.8844/2026247.72249*100)</f>
        <v>0.02151190079880034</v>
      </c>
      <c r="F50" s="50">
        <f>IF(OR(1651540.84429="",1798.43386="",1192.50315=""),"-",(1192.50315-1798.43386)/1651540.84429*100)</f>
        <v>-0.036688811669110775</v>
      </c>
      <c r="G50" s="50">
        <f>IF(OR(1959536.20883="",435.8844="",1192.50315=""),"-",(435.8844-1192.50315)/1959536.20883*100)</f>
        <v>-0.03861213416677623</v>
      </c>
    </row>
    <row r="51" spans="1:7" ht="15.75">
      <c r="A51" s="34" t="s">
        <v>30</v>
      </c>
      <c r="B51" s="35">
        <f>IF(1502.90355="","-",1502.90355)</f>
        <v>1502.90355</v>
      </c>
      <c r="C51" s="35">
        <f>IF(OR(1060.7984="",1502.90355=""),"-",1502.90355/1060.7984*100)</f>
        <v>141.67664185768004</v>
      </c>
      <c r="D51" s="35">
        <f>IF(1060.7984="","-",1060.7984/1959536.20883*100)</f>
        <v>0.05413517725367176</v>
      </c>
      <c r="E51" s="35">
        <f>IF(1502.90355="","-",1502.90355/2026247.72249*100)</f>
        <v>0.07417175764437743</v>
      </c>
      <c r="F51" s="50">
        <f>IF(OR(1651540.84429="",1727.31207="",1060.7984=""),"-",(1060.7984-1727.31207)/1651540.84429*100)</f>
        <v>-0.04035708061985808</v>
      </c>
      <c r="G51" s="50">
        <f>IF(OR(1959536.20883="",1502.90355="",1060.7984=""),"-",(1502.90355-1060.7984)/1959536.20883*100)</f>
        <v>0.022561723943033043</v>
      </c>
    </row>
    <row r="52" spans="1:7" ht="15.75">
      <c r="A52" s="34" t="s">
        <v>273</v>
      </c>
      <c r="B52" s="35">
        <f>IF(15489.51722="","-",15489.51722)</f>
        <v>15489.51722</v>
      </c>
      <c r="C52" s="35">
        <f>IF(OR(12215.21791="",15489.51722=""),"-",15489.51722/12215.21791*100)</f>
        <v>126.80508308672489</v>
      </c>
      <c r="D52" s="35">
        <f>IF(12215.21791="","-",12215.21791/1959536.20883*100)</f>
        <v>0.6233729111488817</v>
      </c>
      <c r="E52" s="35">
        <f>IF(15489.51722="","-",15489.51722/2026247.72249*100)</f>
        <v>0.7644434117347388</v>
      </c>
      <c r="F52" s="50">
        <f>IF(OR(1651540.84429="",7185.31524="",12215.21791=""),"-",(12215.21791-7185.31524)/1651540.84429*100)</f>
        <v>0.3045581759234276</v>
      </c>
      <c r="G52" s="50">
        <f>IF(OR(1959536.20883="",15489.51722="",12215.21791=""),"-",(15489.51722-12215.21791)/1959536.20883*100)</f>
        <v>0.1670956267735935</v>
      </c>
    </row>
    <row r="53" spans="1:7" ht="25.5">
      <c r="A53" s="34" t="s">
        <v>274</v>
      </c>
      <c r="B53" s="35">
        <f>IF(8240.19053="","-",8240.19053)</f>
        <v>8240.19053</v>
      </c>
      <c r="C53" s="35">
        <f>IF(OR(7279.40161="",8240.19053=""),"-",8240.19053/7279.40161*100)</f>
        <v>113.19873488886954</v>
      </c>
      <c r="D53" s="35">
        <f>IF(7279.40161="","-",7279.40161/1959536.20883*100)</f>
        <v>0.37148594535777346</v>
      </c>
      <c r="E53" s="35">
        <f>IF(8240.19053="","-",8240.19053/2026247.72249*100)</f>
        <v>0.406672414164338</v>
      </c>
      <c r="F53" s="50">
        <f>IF(OR(1651540.84429="",5404.85533="",7279.40161=""),"-",(7279.40161-5404.85533)/1651540.84429*100)</f>
        <v>0.11350287136288598</v>
      </c>
      <c r="G53" s="50">
        <f>IF(OR(1959536.20883="",8240.19053="",7279.40161=""),"-",(8240.19053-7279.40161)/1959536.20883*100)</f>
        <v>0.04903144507718323</v>
      </c>
    </row>
    <row r="54" spans="1:7" ht="26.25" customHeight="1">
      <c r="A54" s="34" t="s">
        <v>275</v>
      </c>
      <c r="B54" s="35">
        <f>IF(47493.81488="","-",47493.81488)</f>
        <v>47493.81488</v>
      </c>
      <c r="C54" s="35">
        <f>IF(OR(54156.36886="",47493.81488=""),"-",47493.81488/54156.36886*100)</f>
        <v>87.69756148676913</v>
      </c>
      <c r="D54" s="35">
        <f>IF(54156.36886="","-",54156.36886/1959536.20883*100)</f>
        <v>2.7637340211404253</v>
      </c>
      <c r="E54" s="35">
        <f>IF(47493.81488="","-",47493.81488/2026247.72249*100)</f>
        <v>2.3439293405663233</v>
      </c>
      <c r="F54" s="50">
        <f>IF(OR(1651540.84429="",61599.66674="",54156.36886=""),"-",(54156.36886-61599.66674)/1651540.84429*100)</f>
        <v>-0.4506880895942894</v>
      </c>
      <c r="G54" s="50">
        <f>IF(OR(1959536.20883="",47493.81488="",54156.36886=""),"-",(47493.81488-54156.36886)/1959536.20883*100)</f>
        <v>-0.34000667862004363</v>
      </c>
    </row>
    <row r="55" spans="1:7" ht="15.75">
      <c r="A55" s="34" t="s">
        <v>31</v>
      </c>
      <c r="B55" s="35">
        <f>IF(37133.88082="","-",37133.88082)</f>
        <v>37133.88082</v>
      </c>
      <c r="C55" s="35">
        <f>IF(OR(37238.75811="",37133.88082=""),"-",37133.88082/37238.75811*100)</f>
        <v>99.71836523202464</v>
      </c>
      <c r="D55" s="35">
        <f>IF(37238.75811="","-",37238.75811/1959536.20883*100)</f>
        <v>1.9003863231613631</v>
      </c>
      <c r="E55" s="35">
        <f>IF(37133.88082="","-",37133.88082/2026247.72249*100)</f>
        <v>1.8326426925907753</v>
      </c>
      <c r="F55" s="50">
        <f>IF(OR(1651540.84429="",23550.73424="",37238.75811=""),"-",(37238.75811-23550.73424)/1651540.84429*100)</f>
        <v>0.8288032304695744</v>
      </c>
      <c r="G55" s="50">
        <f>IF(OR(1959536.20883="",37133.88082="",37238.75811=""),"-",(37133.88082-37238.75811)/1959536.20883*100)</f>
        <v>-0.005352148611870977</v>
      </c>
    </row>
    <row r="56" spans="1:7" ht="15.75">
      <c r="A56" s="34" t="s">
        <v>276</v>
      </c>
      <c r="B56" s="35">
        <f>IF(2878.41237="","-",2878.41237)</f>
        <v>2878.41237</v>
      </c>
      <c r="C56" s="35">
        <f>IF(OR(2163.68403="",2878.41237=""),"-",2878.41237/2163.68403*100)</f>
        <v>133.03293503534343</v>
      </c>
      <c r="D56" s="35">
        <f>IF(2163.68403="","-",2163.68403/1959536.20883*100)</f>
        <v>0.11041817039410017</v>
      </c>
      <c r="E56" s="35">
        <f>IF(2878.41237="","-",2878.41237/2026247.72249*100)</f>
        <v>0.14205629144213414</v>
      </c>
      <c r="F56" s="50">
        <f>IF(OR(1651540.84429="",1947.97549="",2163.68403=""),"-",(2163.68403-1947.97549)/1651540.84429*100)</f>
        <v>0.01306104785393505</v>
      </c>
      <c r="G56" s="50">
        <f>IF(OR(1959536.20883="",2878.41237="",2163.68403=""),"-",(2878.41237-2163.68403)/1959536.20883*100)</f>
        <v>0.0364743624934979</v>
      </c>
    </row>
    <row r="57" spans="1:7" ht="15.75">
      <c r="A57" s="34" t="s">
        <v>32</v>
      </c>
      <c r="B57" s="35">
        <f>IF(1160.47145="","-",1160.47145)</f>
        <v>1160.47145</v>
      </c>
      <c r="C57" s="35">
        <f>IF(OR(1667.08722="",1160.47145=""),"-",1160.47145/1667.08722*100)</f>
        <v>69.61072198729951</v>
      </c>
      <c r="D57" s="35">
        <f>IF(1667.08722="","-",1667.08722/1959536.20883*100)</f>
        <v>0.08507560169022774</v>
      </c>
      <c r="E57" s="35">
        <f>IF(1160.47145="","-",1160.47145/2026247.72249*100)</f>
        <v>0.05727194346078912</v>
      </c>
      <c r="F57" s="50">
        <f>IF(OR(1651540.84429="",2467.96248="",1667.08722=""),"-",(1667.08722-2467.96248)/1651540.84429*100)</f>
        <v>-0.04849260996292815</v>
      </c>
      <c r="G57" s="50">
        <f>IF(OR(1959536.20883="",1160.47145="",1667.08722=""),"-",(1160.47145-1667.08722)/1959536.20883*100)</f>
        <v>-0.025853861118621025</v>
      </c>
    </row>
    <row r="58" spans="1:7" ht="15.75">
      <c r="A58" s="34" t="s">
        <v>33</v>
      </c>
      <c r="B58" s="35">
        <f>IF(17995.6179="","-",17995.6179)</f>
        <v>17995.6179</v>
      </c>
      <c r="C58" s="35">
        <f>IF(OR(17891.8649="",17995.6179=""),"-",17995.6179/17891.8649*100)</f>
        <v>100.57988924340692</v>
      </c>
      <c r="D58" s="35">
        <f>IF(17891.8649="","-",17891.8649/1959536.20883*100)</f>
        <v>0.9130663071892342</v>
      </c>
      <c r="E58" s="35">
        <f>IF(17995.6179="","-",17995.6179/2026247.72249*100)</f>
        <v>0.888125262289533</v>
      </c>
      <c r="F58" s="50">
        <f>IF(OR(1651540.84429="",19703.26832="",17891.8649=""),"-",(17891.8649-19703.26832)/1651540.84429*100)</f>
        <v>-0.10967960170423299</v>
      </c>
      <c r="G58" s="50">
        <f>IF(OR(1959536.20883="",17995.6179="",17891.8649=""),"-",(17995.6179-17891.8649)/1959536.20883*100)</f>
        <v>0.005294773300563273</v>
      </c>
    </row>
    <row r="59" spans="1:7" ht="25.5">
      <c r="A59" s="45" t="s">
        <v>277</v>
      </c>
      <c r="B59" s="33">
        <f>IF(494104.4495="","-",494104.4495)</f>
        <v>494104.4495</v>
      </c>
      <c r="C59" s="33">
        <f>IF(421074.79683="","-",494104.4495/421074.79683*100)</f>
        <v>117.3436294976078</v>
      </c>
      <c r="D59" s="33">
        <f>IF(421074.79683="","-",421074.79683/1959536.20883*100)</f>
        <v>21.488492783780476</v>
      </c>
      <c r="E59" s="33">
        <f>IF(494104.4495="","-",494104.4495/2026247.72249*100)</f>
        <v>24.385194565095357</v>
      </c>
      <c r="F59" s="49">
        <f>IF(1651540.84429="","-",(421074.79683-308260.67639)/1651540.84429*100)</f>
        <v>6.830840474217821</v>
      </c>
      <c r="G59" s="49">
        <f>IF(1959536.20883="","-",(494104.4495-421074.79683)/1959536.20883*100)</f>
        <v>3.7268845730390727</v>
      </c>
    </row>
    <row r="60" spans="1:7" ht="25.5">
      <c r="A60" s="34" t="s">
        <v>278</v>
      </c>
      <c r="B60" s="35">
        <f>IF(3588.37368="","-",3588.37368)</f>
        <v>3588.37368</v>
      </c>
      <c r="C60" s="35" t="s">
        <v>107</v>
      </c>
      <c r="D60" s="35">
        <f>IF(2255.92282="","-",2255.92282/1959536.20883*100)</f>
        <v>0.11512534495838515</v>
      </c>
      <c r="E60" s="35">
        <f>IF(3588.37368="","-",3588.37368/2026247.72249*100)</f>
        <v>0.17709452009107488</v>
      </c>
      <c r="F60" s="50">
        <f>IF(OR(1651540.84429="",2075.03629="",2255.92282=""),"-",(2255.92282-2075.03629)/1651540.84429*100)</f>
        <v>0.010952591976480193</v>
      </c>
      <c r="G60" s="50">
        <f>IF(OR(1959536.20883="",3588.37368="",2255.92282=""),"-",(3588.37368-2255.92282)/1959536.20883*100)</f>
        <v>0.06799827704105454</v>
      </c>
    </row>
    <row r="61" spans="1:7" ht="25.5">
      <c r="A61" s="34" t="s">
        <v>279</v>
      </c>
      <c r="B61" s="35">
        <f>IF(10477.33276="","-",10477.33276)</f>
        <v>10477.33276</v>
      </c>
      <c r="C61" s="35">
        <f>IF(OR(10770.58487="",10477.33276=""),"-",10477.33276/10770.58487*100)</f>
        <v>97.27728704114467</v>
      </c>
      <c r="D61" s="35">
        <f>IF(10770.58487="","-",10770.58487/1959536.20883*100)</f>
        <v>0.5496496988147468</v>
      </c>
      <c r="E61" s="35">
        <f>IF(10477.33276="","-",10477.33276/2026247.72249*100)</f>
        <v>0.5170805446791419</v>
      </c>
      <c r="F61" s="50">
        <f>IF(OR(1651540.84429="",6684.01726="",10770.58487=""),"-",(10770.58487-6684.01726)/1651540.84429*100)</f>
        <v>0.24743969391546128</v>
      </c>
      <c r="G61" s="50">
        <f>IF(OR(1959536.20883="",10477.33276="",10770.58487=""),"-",(10477.33276-10770.58487)/1959536.20883*100)</f>
        <v>-0.014965383577938387</v>
      </c>
    </row>
    <row r="62" spans="1:7" ht="25.5">
      <c r="A62" s="34" t="s">
        <v>280</v>
      </c>
      <c r="B62" s="35">
        <f>IF(1881.61451="","-",1881.61451)</f>
        <v>1881.61451</v>
      </c>
      <c r="C62" s="35">
        <f>IF(OR(1711.70063="",1881.61451=""),"-",1881.61451/1711.70063*100)</f>
        <v>109.92661199172429</v>
      </c>
      <c r="D62" s="35">
        <f>IF(1711.70063="","-",1711.70063/1959536.20883*100)</f>
        <v>0.08735233481712605</v>
      </c>
      <c r="E62" s="35">
        <f>IF(1881.61451="","-",1881.61451/2026247.72249*100)</f>
        <v>0.09286201727041231</v>
      </c>
      <c r="F62" s="50">
        <f>IF(OR(1651540.84429="",1182.28985="",1711.70063=""),"-",(1711.70063-1182.28985)/1651540.84429*100)</f>
        <v>0.03205556688654556</v>
      </c>
      <c r="G62" s="50">
        <f>IF(OR(1959536.20883="",1881.61451="",1711.70063=""),"-",(1881.61451-1711.70063)/1959536.20883*100)</f>
        <v>0.00867112734300798</v>
      </c>
    </row>
    <row r="63" spans="1:7" ht="38.25">
      <c r="A63" s="34" t="s">
        <v>281</v>
      </c>
      <c r="B63" s="35">
        <f>IF(17856.77746="","-",17856.77746)</f>
        <v>17856.77746</v>
      </c>
      <c r="C63" s="35">
        <f>IF(OR(15128.47674="",17856.77746=""),"-",17856.77746/15128.47674*100)</f>
        <v>118.0342063969092</v>
      </c>
      <c r="D63" s="35">
        <f>IF(15128.47674="","-",15128.47674/1959536.20883*100)</f>
        <v>0.7720437454448934</v>
      </c>
      <c r="E63" s="35">
        <f>IF(17856.77746="","-",17856.77746/2026247.72249*100)</f>
        <v>0.8812731662472296</v>
      </c>
      <c r="F63" s="50">
        <f>IF(OR(1651540.84429="",22347.92284="",15128.47674=""),"-",(15128.47674-22347.92284)/1651540.84429*100)</f>
        <v>-0.43713397249364727</v>
      </c>
      <c r="G63" s="50">
        <f>IF(OR(1959536.20883="",17856.77746="",15128.47674=""),"-",(17856.77746-15128.47674)/1959536.20883*100)</f>
        <v>0.13923196252796038</v>
      </c>
    </row>
    <row r="64" spans="1:7" ht="25.5">
      <c r="A64" s="34" t="s">
        <v>282</v>
      </c>
      <c r="B64" s="35">
        <f>IF(840.0443="","-",840.0443)</f>
        <v>840.0443</v>
      </c>
      <c r="C64" s="35">
        <f>IF(OR(948.46296="",840.0443=""),"-",840.0443/948.46296*100)</f>
        <v>88.56901486168738</v>
      </c>
      <c r="D64" s="35">
        <f>IF(948.46296="","-",948.46296/1959536.20883*100)</f>
        <v>0.04840242072211099</v>
      </c>
      <c r="E64" s="35">
        <f>IF(840.0443="","-",840.0443/2026247.72249*100)</f>
        <v>0.04145812432883047</v>
      </c>
      <c r="F64" s="50">
        <f>IF(OR(1651540.84429="",610.639="",948.46296=""),"-",(948.46296-610.639)/1651540.84429*100)</f>
        <v>0.020455077521575375</v>
      </c>
      <c r="G64" s="50">
        <f>IF(OR(1959536.20883="",840.0443="",948.46296=""),"-",(840.0443-948.46296)/1959536.20883*100)</f>
        <v>-0.0055328735193280534</v>
      </c>
    </row>
    <row r="65" spans="1:7" ht="38.25">
      <c r="A65" s="34" t="s">
        <v>283</v>
      </c>
      <c r="B65" s="35">
        <f>IF(2497.37914="","-",2497.37914)</f>
        <v>2497.37914</v>
      </c>
      <c r="C65" s="35">
        <f>IF(OR(3157.38329="",2497.37914=""),"-",2497.37914/3157.38329*100)</f>
        <v>79.09648308805738</v>
      </c>
      <c r="D65" s="35">
        <f>IF(3157.38329="","-",3157.38329/1959536.20883*100)</f>
        <v>0.16112911186699688</v>
      </c>
      <c r="E65" s="35">
        <f>IF(2497.37914="","-",2497.37914/2026247.72249*100)</f>
        <v>0.12325142243373084</v>
      </c>
      <c r="F65" s="50">
        <f>IF(OR(1651540.84429="",3125.26853="",3157.38329=""),"-",(3157.38329-3125.26853)/1651540.84429*100)</f>
        <v>0.0019445331982574474</v>
      </c>
      <c r="G65" s="50">
        <f>IF(OR(1959536.20883="",2497.37914="",3157.38329=""),"-",(2497.37914-3157.38329)/1959536.20883*100)</f>
        <v>-0.03368165114918063</v>
      </c>
    </row>
    <row r="66" spans="1:7" ht="51">
      <c r="A66" s="34" t="s">
        <v>284</v>
      </c>
      <c r="B66" s="35">
        <f>IF(436274.97974="","-",436274.97974)</f>
        <v>436274.97974</v>
      </c>
      <c r="C66" s="35">
        <f>IF(OR(371746.26765="",436274.97974=""),"-",436274.97974/371746.26765*100)</f>
        <v>117.35826764258302</v>
      </c>
      <c r="D66" s="35">
        <f>IF(371746.26765="","-",371746.26765/1959536.20883*100)</f>
        <v>18.971135413311004</v>
      </c>
      <c r="E66" s="35">
        <f>IF(436274.97974="","-",436274.97974/2026247.72249*100)</f>
        <v>21.53117681010265</v>
      </c>
      <c r="F66" s="50">
        <f>IF(OR(1651540.84429="",237193.02749="",371746.26765=""),"-",(371746.26765-237193.02749)/1651540.84429*100)</f>
        <v>8.147133667641421</v>
      </c>
      <c r="G66" s="50">
        <f>IF(OR(1959536.20883="",436274.97974="",371746.26765=""),"-",(436274.97974-371746.26765)/1959536.20883*100)</f>
        <v>3.293060459879371</v>
      </c>
    </row>
    <row r="67" spans="1:7" ht="25.5">
      <c r="A67" s="34" t="s">
        <v>285</v>
      </c>
      <c r="B67" s="35">
        <f>IF(17753.3533="","-",17753.3533)</f>
        <v>17753.3533</v>
      </c>
      <c r="C67" s="35">
        <f>IF(OR(14931.6264="",17753.3533=""),"-",17753.3533/14931.6264*100)</f>
        <v>118.89765270312415</v>
      </c>
      <c r="D67" s="35">
        <f>IF(14931.6264="","-",14931.6264/1959536.20883*100)</f>
        <v>0.7619979836410053</v>
      </c>
      <c r="E67" s="35">
        <f>IF(17753.3533="","-",17753.3533/2026247.72249*100)</f>
        <v>0.8761689453342553</v>
      </c>
      <c r="F67" s="50">
        <f>IF(OR(1651540.84429="",19723.81034="",14931.6264=""),"-",(14931.6264-19723.81034)/1651540.84429*100)</f>
        <v>-0.2901644217016121</v>
      </c>
      <c r="G67" s="50">
        <f>IF(OR(1959536.20883="",17753.3533="",14931.6264=""),"-",(17753.3533-14931.6264)/1959536.20883*100)</f>
        <v>0.143999732553286</v>
      </c>
    </row>
    <row r="68" spans="1:7" ht="15.75">
      <c r="A68" s="34" t="s">
        <v>34</v>
      </c>
      <c r="B68" s="35">
        <f>IF(2934.59461="","-",2934.59461)</f>
        <v>2934.59461</v>
      </c>
      <c r="C68" s="35" t="s">
        <v>225</v>
      </c>
      <c r="D68" s="35">
        <f>IF(424.37147="","-",424.37147/1959536.20883*100)</f>
        <v>0.021656730204203972</v>
      </c>
      <c r="E68" s="35">
        <f>IF(2934.59461="","-",2934.59461/2026247.72249*100)</f>
        <v>0.14482901460803407</v>
      </c>
      <c r="F68" s="50">
        <f>IF(OR(1651540.84429="",15318.66479="",424.37147=""),"-",(424.37147-15318.66479)/1651540.84429*100)</f>
        <v>-0.9018422627266648</v>
      </c>
      <c r="G68" s="50">
        <f>IF(OR(1959536.20883="",2934.59461="",424.37147=""),"-",(2934.59461-424.37147)/1959536.20883*100)</f>
        <v>0.1281029219408405</v>
      </c>
    </row>
    <row r="69" spans="1:7" ht="15.75">
      <c r="A69" s="45" t="s">
        <v>35</v>
      </c>
      <c r="B69" s="33">
        <f>IF(436575.69586="","-",436575.69586)</f>
        <v>436575.69586</v>
      </c>
      <c r="C69" s="33">
        <f>IF(463174.84693="","-",436575.69586/463174.84693*100)</f>
        <v>94.25721166719143</v>
      </c>
      <c r="D69" s="33">
        <f>IF(463174.84693="","-",463174.84693/1959536.20883*100)</f>
        <v>23.6369629120838</v>
      </c>
      <c r="E69" s="33">
        <f>IF(436575.69586="","-",436575.69586/2026247.72249*100)</f>
        <v>21.54601784442744</v>
      </c>
      <c r="F69" s="49">
        <f>IF(1651540.84429="","-",(463174.84693-388066.22078)/1651540.84429*100)</f>
        <v>4.547791016472822</v>
      </c>
      <c r="G69" s="49">
        <f>IF(1959536.20883="","-",(436575.69586-463174.84693)/1959536.20883*100)</f>
        <v>-1.3574207483454386</v>
      </c>
    </row>
    <row r="70" spans="1:7" ht="38.25">
      <c r="A70" s="34" t="s">
        <v>286</v>
      </c>
      <c r="B70" s="35">
        <f>IF(6566.46409="","-",6566.46409)</f>
        <v>6566.46409</v>
      </c>
      <c r="C70" s="35">
        <f>IF(OR(5648.18435="",6566.46409=""),"-",6566.46409/5648.18435*100)</f>
        <v>116.25796332231968</v>
      </c>
      <c r="D70" s="35">
        <f>IF(5648.18435="","-",5648.18435/1959536.20883*100)</f>
        <v>0.2882408768232162</v>
      </c>
      <c r="E70" s="35">
        <f>IF(6566.46409="","-",6566.46409/2026247.72249*100)</f>
        <v>0.3240701527812529</v>
      </c>
      <c r="F70" s="50">
        <f>IF(OR(1651540.84429="",6858.78307="",5648.18435=""),"-",(5648.18435-6858.78307)/1651540.84429*100)</f>
        <v>-0.0733011674634325</v>
      </c>
      <c r="G70" s="50">
        <f>IF(OR(1959536.20883="",6566.46409="",5648.18435=""),"-",(6566.46409-5648.18435)/1959536.20883*100)</f>
        <v>0.046862096033851115</v>
      </c>
    </row>
    <row r="71" spans="1:7" ht="15.75">
      <c r="A71" s="34" t="s">
        <v>287</v>
      </c>
      <c r="B71" s="35">
        <f>IF(109437.1801="","-",109437.1801)</f>
        <v>109437.1801</v>
      </c>
      <c r="C71" s="35">
        <f>IF(OR(118408.98441="",109437.1801=""),"-",109437.1801/118408.98441*100)</f>
        <v>92.42303752987657</v>
      </c>
      <c r="D71" s="35">
        <f>IF(118408.98441="","-",118408.98441/1959536.20883*100)</f>
        <v>6.042704588791429</v>
      </c>
      <c r="E71" s="35">
        <f>IF(109437.1801="","-",109437.1801/2026247.72249*100)</f>
        <v>5.400977327960456</v>
      </c>
      <c r="F71" s="50">
        <f>IF(OR(1651540.84429="",96071.14796="",118408.98441=""),"-",(118408.98441-96071.14796)/1651540.84429*100)</f>
        <v>1.3525452020899351</v>
      </c>
      <c r="G71" s="50">
        <f>IF(OR(1959536.20883="",109437.1801="",118408.98441=""),"-",(109437.1801-118408.98441)/1959536.20883*100)</f>
        <v>-0.4578534588731531</v>
      </c>
    </row>
    <row r="72" spans="1:7" ht="15.75">
      <c r="A72" s="34" t="s">
        <v>288</v>
      </c>
      <c r="B72" s="35">
        <f>IF(10213.7169="","-",10213.7169)</f>
        <v>10213.7169</v>
      </c>
      <c r="C72" s="35">
        <f>IF(OR(13114.24558="",10213.7169=""),"-",10213.7169/13114.24558*100)</f>
        <v>77.88261122375594</v>
      </c>
      <c r="D72" s="35">
        <f>IF(13114.24558="","-",13114.24558/1959536.20883*100)</f>
        <v>0.669252526230697</v>
      </c>
      <c r="E72" s="35">
        <f>IF(10213.7169="","-",10213.7169/2026247.72249*100)</f>
        <v>0.5040704937819076</v>
      </c>
      <c r="F72" s="50">
        <f>IF(OR(1651540.84429="",9005.44803="",13114.24558=""),"-",(13114.24558-9005.44803)/1651540.84429*100)</f>
        <v>0.24878570603964564</v>
      </c>
      <c r="G72" s="50">
        <f>IF(OR(1959536.20883="",10213.7169="",13114.24558=""),"-",(10213.7169-13114.24558)/1959536.20883*100)</f>
        <v>-0.14802118312127793</v>
      </c>
    </row>
    <row r="73" spans="1:7" ht="15.75">
      <c r="A73" s="34" t="s">
        <v>289</v>
      </c>
      <c r="B73" s="35">
        <f>IF(211393.62733="","-",211393.62733)</f>
        <v>211393.62733</v>
      </c>
      <c r="C73" s="35">
        <f>IF(OR(236269.25074="",211393.62733=""),"-",211393.62733/236269.25074*100)</f>
        <v>89.47149350493598</v>
      </c>
      <c r="D73" s="35">
        <f>IF(236269.25074="","-",236269.25074/1959536.20883*100)</f>
        <v>12.057406731007623</v>
      </c>
      <c r="E73" s="35">
        <f>IF(211393.62733="","-",211393.62733/2026247.72249*100)</f>
        <v>10.432763229474439</v>
      </c>
      <c r="F73" s="50">
        <f>IF(OR(1651540.84429="",201035.88964="",236269.25074=""),"-",(236269.25074-201035.88964)/1651540.84429*100)</f>
        <v>2.1333629877707843</v>
      </c>
      <c r="G73" s="50">
        <f>IF(OR(1959536.20883="",211393.62733="",236269.25074=""),"-",(211393.62733-236269.25074)/1959536.20883*100)</f>
        <v>-1.2694648508104243</v>
      </c>
    </row>
    <row r="74" spans="1:7" ht="15.75">
      <c r="A74" s="34" t="s">
        <v>290</v>
      </c>
      <c r="B74" s="35">
        <f>IF(26757.01293="","-",26757.01293)</f>
        <v>26757.01293</v>
      </c>
      <c r="C74" s="35">
        <f>IF(OR(28078.01962="",26757.01293=""),"-",26757.01293/28078.01962*100)</f>
        <v>95.29522841041451</v>
      </c>
      <c r="D74" s="35">
        <f>IF(28078.01962="","-",28078.01962/1959536.20883*100)</f>
        <v>1.4328910837919564</v>
      </c>
      <c r="E74" s="35">
        <f>IF(26757.01293="","-",26757.01293/2026247.72249*100)</f>
        <v>1.3205203210355267</v>
      </c>
      <c r="F74" s="50">
        <f>IF(OR(1651540.84429="",25059.82378="",28078.01962=""),"-",(28078.01962-25059.82378)/1651540.84429*100)</f>
        <v>0.18275029954209382</v>
      </c>
      <c r="G74" s="50">
        <f>IF(OR(1959536.20883="",26757.01293="",28078.01962=""),"-",(26757.01293-28078.01962)/1959536.20883*100)</f>
        <v>-0.06741425261994752</v>
      </c>
    </row>
    <row r="75" spans="1:7" ht="25.5">
      <c r="A75" s="34" t="s">
        <v>291</v>
      </c>
      <c r="B75" s="35">
        <f>IF(20202.42999="","-",20202.42999)</f>
        <v>20202.42999</v>
      </c>
      <c r="C75" s="35">
        <f>IF(OR(16980.22215="",20202.42999=""),"-",20202.42999/16980.22215*100)</f>
        <v>118.97624077904068</v>
      </c>
      <c r="D75" s="35">
        <f>IF(16980.22215="","-",16980.22215/1959536.20883*100)</f>
        <v>0.8665429132406057</v>
      </c>
      <c r="E75" s="35">
        <f>IF(20202.42999="","-",20202.42999/2026247.72249*100)</f>
        <v>0.9970365304185902</v>
      </c>
      <c r="F75" s="50">
        <f>IF(OR(1651540.84429="",17212.85334="",16980.22215=""),"-",(16980.22215-17212.85334)/1651540.84429*100)</f>
        <v>-0.014085706133414375</v>
      </c>
      <c r="G75" s="50">
        <f>IF(OR(1959536.20883="",20202.42999="",16980.22215=""),"-",(20202.42999-16980.22215)/1959536.20883*100)</f>
        <v>0.16443726967025096</v>
      </c>
    </row>
    <row r="76" spans="1:7" ht="25.5">
      <c r="A76" s="34" t="s">
        <v>292</v>
      </c>
      <c r="B76" s="35">
        <f>IF(3082.90534="","-",3082.90534)</f>
        <v>3082.90534</v>
      </c>
      <c r="C76" s="35">
        <f>IF(OR(2754.86802="",3082.90534=""),"-",3082.90534/2754.86802*100)</f>
        <v>111.90755120094647</v>
      </c>
      <c r="D76" s="35">
        <f>IF(2754.86802="","-",2754.86802/1959536.20883*100)</f>
        <v>0.14058775783708927</v>
      </c>
      <c r="E76" s="35">
        <f>IF(3082.90534="","-",3082.90534/2026247.72249*100)</f>
        <v>0.15214849131139319</v>
      </c>
      <c r="F76" s="50">
        <f>IF(OR(1651540.84429="",2121.7166="",2754.86802=""),"-",(2754.86802-2121.7166)/1651540.84429*100)</f>
        <v>0.038337012504961236</v>
      </c>
      <c r="G76" s="50">
        <f>IF(OR(1959536.20883="",3082.90534="",2754.86802=""),"-",(3082.90534-2754.86802)/1959536.20883*100)</f>
        <v>0.01674055924671402</v>
      </c>
    </row>
    <row r="77" spans="1:7" ht="15.75">
      <c r="A77" s="34" t="s">
        <v>36</v>
      </c>
      <c r="B77" s="35">
        <f>IF(48922.35918="","-",48922.35918)</f>
        <v>48922.35918</v>
      </c>
      <c r="C77" s="35">
        <f>IF(OR(41921.07206="",48922.35918=""),"-",48922.35918/41921.07206*100)</f>
        <v>116.70111658876311</v>
      </c>
      <c r="D77" s="35">
        <f>IF(41921.07206="","-",41921.07206/1959536.20883*100)</f>
        <v>2.139336434361182</v>
      </c>
      <c r="E77" s="35">
        <f>IF(48922.35918="","-",48922.35918/2026247.72249*100)</f>
        <v>2.414431297663874</v>
      </c>
      <c r="F77" s="50">
        <f>IF(OR(1651540.84429="",30700.55836="",41921.07206=""),"-",(41921.07206-30700.55836)/1651540.84429*100)</f>
        <v>0.6793966821222467</v>
      </c>
      <c r="G77" s="50">
        <f>IF(OR(1959536.20883="",48922.35918="",41921.07206=""),"-",(48922.35918-41921.07206)/1959536.20883*100)</f>
        <v>0.3572930721285487</v>
      </c>
    </row>
    <row r="78" spans="1:7" ht="25.5">
      <c r="A78" s="46" t="s">
        <v>293</v>
      </c>
      <c r="B78" s="47">
        <f>IF(679.39843="","-",679.39843)</f>
        <v>679.39843</v>
      </c>
      <c r="C78" s="47">
        <f>IF(785.77773="","-",679.39843/785.77773*100)</f>
        <v>86.46190952751994</v>
      </c>
      <c r="D78" s="47">
        <f>IF(785.77773="","-",785.77773/1959536.20883*100)</f>
        <v>0.04010018934374131</v>
      </c>
      <c r="E78" s="47">
        <f>IF(679.39843="","-",679.39843/2026247.72249*100)</f>
        <v>0.03352988000722369</v>
      </c>
      <c r="F78" s="51">
        <f>IF(1651540.84429="","-",(785.77773-345.7444)/1651540.84429*100)</f>
        <v>0.0266438054814909</v>
      </c>
      <c r="G78" s="51">
        <f>IF(1959536.20883="","-",(679.39843-785.77773)/1959536.20883*100)</f>
        <v>-0.005428799912991504</v>
      </c>
    </row>
    <row r="79" ht="15.75">
      <c r="A79" s="40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2"/>
  <sheetViews>
    <sheetView zoomScalePageLayoutView="0" workbookViewId="0" topLeftCell="A1">
      <selection activeCell="J14" sqref="J14"/>
    </sheetView>
  </sheetViews>
  <sheetFormatPr defaultColWidth="9.00390625" defaultRowHeight="15.75"/>
  <cols>
    <col min="1" max="1" width="28.25390625" style="0" customWidth="1"/>
    <col min="2" max="2" width="12.00390625" style="0" customWidth="1"/>
    <col min="3" max="3" width="10.125" style="0" customWidth="1"/>
    <col min="4" max="4" width="8.50390625" style="0" customWidth="1"/>
    <col min="5" max="5" width="8.625" style="0" customWidth="1"/>
    <col min="6" max="6" width="9.875" style="0" customWidth="1"/>
    <col min="7" max="7" width="9.625" style="0" customWidth="1"/>
  </cols>
  <sheetData>
    <row r="1" spans="1:7" ht="15.75">
      <c r="A1" s="77" t="s">
        <v>129</v>
      </c>
      <c r="B1" s="77"/>
      <c r="C1" s="77"/>
      <c r="D1" s="77"/>
      <c r="E1" s="77"/>
      <c r="F1" s="77"/>
      <c r="G1" s="77"/>
    </row>
    <row r="2" spans="1:7" ht="15.75">
      <c r="A2" s="77" t="s">
        <v>23</v>
      </c>
      <c r="B2" s="77"/>
      <c r="C2" s="77"/>
      <c r="D2" s="77"/>
      <c r="E2" s="77"/>
      <c r="F2" s="77"/>
      <c r="G2" s="77"/>
    </row>
    <row r="3" ht="12" customHeight="1">
      <c r="A3" s="5"/>
    </row>
    <row r="4" spans="1:7" ht="57" customHeight="1">
      <c r="A4" s="83"/>
      <c r="B4" s="68" t="s">
        <v>197</v>
      </c>
      <c r="C4" s="69"/>
      <c r="D4" s="86" t="s">
        <v>0</v>
      </c>
      <c r="E4" s="87"/>
      <c r="F4" s="80" t="s">
        <v>131</v>
      </c>
      <c r="G4" s="88"/>
    </row>
    <row r="5" spans="1:8" ht="26.25" customHeight="1">
      <c r="A5" s="84"/>
      <c r="B5" s="89" t="s">
        <v>113</v>
      </c>
      <c r="C5" s="74" t="s">
        <v>198</v>
      </c>
      <c r="D5" s="76" t="s">
        <v>199</v>
      </c>
      <c r="E5" s="76"/>
      <c r="F5" s="76" t="s">
        <v>199</v>
      </c>
      <c r="G5" s="68"/>
      <c r="H5" s="1"/>
    </row>
    <row r="6" spans="1:7" ht="31.5" customHeight="1">
      <c r="A6" s="85"/>
      <c r="B6" s="90"/>
      <c r="C6" s="75"/>
      <c r="D6" s="22">
        <v>2018</v>
      </c>
      <c r="E6" s="22">
        <v>2019</v>
      </c>
      <c r="F6" s="22" t="s">
        <v>112</v>
      </c>
      <c r="G6" s="18" t="s">
        <v>133</v>
      </c>
    </row>
    <row r="7" spans="1:7" ht="15.75">
      <c r="A7" s="30" t="s">
        <v>143</v>
      </c>
      <c r="B7" s="31">
        <f>IF(4272305.71982="","-",4272305.71982)</f>
        <v>4272305.71982</v>
      </c>
      <c r="C7" s="31">
        <f>IF(4177554.78501="","-",4272305.71982/4177554.78501*100)</f>
        <v>102.26809556513747</v>
      </c>
      <c r="D7" s="31">
        <v>100</v>
      </c>
      <c r="E7" s="31">
        <v>100</v>
      </c>
      <c r="F7" s="48">
        <f>IF(3438760.41277="","-",(4177554.78501-3438760.41277)/3438760.41277*100)</f>
        <v>21.48432235919817</v>
      </c>
      <c r="G7" s="48">
        <f>IF(4177554.78501="","-",(4272305.71982-4177554.78501)/4177554.78501*100)</f>
        <v>2.268095565137471</v>
      </c>
    </row>
    <row r="8" spans="1:7" ht="13.5" customHeight="1">
      <c r="A8" s="39" t="s">
        <v>150</v>
      </c>
      <c r="B8" s="44"/>
      <c r="C8" s="44"/>
      <c r="D8" s="44"/>
      <c r="E8" s="44"/>
      <c r="F8" s="54"/>
      <c r="G8" s="54"/>
    </row>
    <row r="9" spans="1:7" ht="13.5" customHeight="1">
      <c r="A9" s="45" t="s">
        <v>237</v>
      </c>
      <c r="B9" s="33">
        <f>IF(428752.40076="","-",428752.40076)</f>
        <v>428752.40076</v>
      </c>
      <c r="C9" s="33">
        <f>IF(402754.32885="","-",428752.40076/402754.32885*100)</f>
        <v>106.4550695170014</v>
      </c>
      <c r="D9" s="33">
        <f>IF(402754.32885="","-",402754.32885/4177554.78501*100)</f>
        <v>9.640910761845003</v>
      </c>
      <c r="E9" s="33">
        <f>IF(428752.40076="","-",428752.40076/4272305.71982*100)</f>
        <v>10.03562078366583</v>
      </c>
      <c r="F9" s="49">
        <f>IF(3438760.41277="","-",(402754.32885-354397.37372)/3438760.41277*100)</f>
        <v>1.4062321687322028</v>
      </c>
      <c r="G9" s="49">
        <f>IF(4177554.78501="","-",(428752.40076-402754.32885)/4177554.78501*100)</f>
        <v>0.622327491749166</v>
      </c>
    </row>
    <row r="10" spans="1:7" ht="12" customHeight="1">
      <c r="A10" s="34" t="s">
        <v>24</v>
      </c>
      <c r="B10" s="35">
        <f>IF(4285.48252="","-",4285.48252)</f>
        <v>4285.48252</v>
      </c>
      <c r="C10" s="35">
        <f>IF(OR(4068.3955="",4285.48252=""),"-",4285.48252/4068.3955*100)</f>
        <v>105.3359369805615</v>
      </c>
      <c r="D10" s="35">
        <f>IF(4068.3955="","-",4068.3955/4177554.78501*100)</f>
        <v>0.09738700530267877</v>
      </c>
      <c r="E10" s="35">
        <f>IF(4285.48252="","-",4285.48252/4272305.71982*100)</f>
        <v>0.10030842362518369</v>
      </c>
      <c r="F10" s="50">
        <f>IF(OR(3438760.41277="",4912.09949="",4068.3955=""),"-",(4068.3955-4912.09949)/3438760.41277*100)</f>
        <v>-0.024535119889913377</v>
      </c>
      <c r="G10" s="50">
        <f>IF(OR(4177554.78501="",4285.48252="",4068.3955=""),"-",(4285.48252-4068.3955)/4177554.78501*100)</f>
        <v>0.005196509230207015</v>
      </c>
    </row>
    <row r="11" spans="1:7" ht="12.75" customHeight="1">
      <c r="A11" s="34" t="s">
        <v>238</v>
      </c>
      <c r="B11" s="35">
        <f>IF(34855.10801="","-",34855.10801)</f>
        <v>34855.10801</v>
      </c>
      <c r="C11" s="35">
        <f>IF(OR(30565.95978="",34855.10801=""),"-",34855.10801/30565.95978*100)</f>
        <v>114.03243431867136</v>
      </c>
      <c r="D11" s="35">
        <f>IF(30565.95978="","-",30565.95978/4177554.78501*100)</f>
        <v>0.7316710696333054</v>
      </c>
      <c r="E11" s="35">
        <f>IF(34855.10801="","-",34855.10801/4272305.71982*100)</f>
        <v>0.8158383387289173</v>
      </c>
      <c r="F11" s="50">
        <f>IF(OR(3438760.41277="",26607.21006="",30565.95978=""),"-",(30565.95978-26607.21006)/3438760.41277*100)</f>
        <v>0.11512141716238779</v>
      </c>
      <c r="G11" s="50">
        <f>IF(OR(4177554.78501="",34855.10801="",30565.95978=""),"-",(34855.10801-30565.95978)/4177554.78501*100)</f>
        <v>0.10267126227501372</v>
      </c>
    </row>
    <row r="12" spans="1:7" ht="14.25" customHeight="1">
      <c r="A12" s="34" t="s">
        <v>239</v>
      </c>
      <c r="B12" s="35">
        <f>IF(47199.76133="","-",47199.76133)</f>
        <v>47199.76133</v>
      </c>
      <c r="C12" s="35">
        <f>IF(OR(42180.16296="",47199.76133=""),"-",47199.76133/42180.16296*100)</f>
        <v>111.90037690172072</v>
      </c>
      <c r="D12" s="35">
        <f>IF(42180.16296="","-",42180.16296/4177554.78501*100)</f>
        <v>1.0096854531112758</v>
      </c>
      <c r="E12" s="35">
        <f>IF(47199.76133="","-",47199.76133/4272305.71982*100)</f>
        <v>1.1047842646426673</v>
      </c>
      <c r="F12" s="50">
        <f>IF(OR(3438760.41277="",38041.53478="",42180.16296=""),"-",(42180.16296-38041.53478)/3438760.41277*100)</f>
        <v>0.12035232709528142</v>
      </c>
      <c r="G12" s="50">
        <f>IF(OR(4177554.78501="",47199.76133="",42180.16296=""),"-",(47199.76133-42180.16296)/4177554.78501*100)</f>
        <v>0.12015637444208846</v>
      </c>
    </row>
    <row r="13" spans="1:7" s="9" customFormat="1" ht="13.5" customHeight="1">
      <c r="A13" s="34" t="s">
        <v>240</v>
      </c>
      <c r="B13" s="35">
        <f>IF(39904.9887="","-",39904.9887)</f>
        <v>39904.9887</v>
      </c>
      <c r="C13" s="35">
        <f>IF(OR(35808.34147="",39904.9887=""),"-",39904.9887/35808.34147*100)</f>
        <v>111.44048303223468</v>
      </c>
      <c r="D13" s="35">
        <f>IF(35808.34147="","-",35808.34147/4177554.78501*100)</f>
        <v>0.8571603081900523</v>
      </c>
      <c r="E13" s="35">
        <f>IF(39904.9887="","-",39904.9887/4272305.71982*100)</f>
        <v>0.9340386975321904</v>
      </c>
      <c r="F13" s="50">
        <f>IF(OR(3438760.41277="",30612.98403="",35808.34147=""),"-",(35808.34147-30612.98403)/3438760.41277*100)</f>
        <v>0.15108227431916435</v>
      </c>
      <c r="G13" s="50">
        <f>IF(OR(4177554.78501="",39904.9887="",35808.34147=""),"-",(39904.9887-35808.34147)/4177554.78501*100)</f>
        <v>0.09806327961753339</v>
      </c>
    </row>
    <row r="14" spans="1:7" s="9" customFormat="1" ht="13.5" customHeight="1">
      <c r="A14" s="34" t="s">
        <v>241</v>
      </c>
      <c r="B14" s="35">
        <f>IF(60371.31758="","-",60371.31758)</f>
        <v>60371.31758</v>
      </c>
      <c r="C14" s="35">
        <f>IF(OR(57019.3234="",60371.31758=""),"-",60371.31758/57019.3234*100)</f>
        <v>105.87869862377217</v>
      </c>
      <c r="D14" s="35">
        <f>IF(57019.3234="","-",57019.3234/4177554.78501*100)</f>
        <v>1.3648970829682012</v>
      </c>
      <c r="E14" s="35">
        <f>IF(60371.31758="","-",60371.31758/4272305.71982*100)</f>
        <v>1.4130851474398596</v>
      </c>
      <c r="F14" s="50">
        <f>IF(OR(3438760.41277="",48286.01151="",57019.3234=""),"-",(57019.3234-48286.01151)/3438760.41277*100)</f>
        <v>0.2539668613599376</v>
      </c>
      <c r="G14" s="50">
        <f>IF(OR(4177554.78501="",60371.31758="",57019.3234=""),"-",(60371.31758-57019.3234)/4177554.78501*100)</f>
        <v>0.0802381860323581</v>
      </c>
    </row>
    <row r="15" spans="1:7" s="9" customFormat="1" ht="14.25" customHeight="1">
      <c r="A15" s="34" t="s">
        <v>242</v>
      </c>
      <c r="B15" s="35">
        <f>IF(114849.8936="","-",114849.8936)</f>
        <v>114849.8936</v>
      </c>
      <c r="C15" s="35">
        <f>IF(OR(107056.44956="",114849.8936=""),"-",114849.8936/107056.44956*100)</f>
        <v>107.27975201123418</v>
      </c>
      <c r="D15" s="35">
        <f>IF(107056.44956="","-",107056.44956/4177554.78501*100)</f>
        <v>2.562658183302406</v>
      </c>
      <c r="E15" s="35">
        <f>IF(114849.8936="","-",114849.8936/4272305.71982*100)</f>
        <v>2.6882414586388452</v>
      </c>
      <c r="F15" s="50">
        <f>IF(OR(3438760.41277="",72145.58066="",107056.44956=""),"-",(107056.44956-72145.58066)/3438760.41277*100)</f>
        <v>1.0152166684935893</v>
      </c>
      <c r="G15" s="50">
        <f>IF(OR(4177554.78501="",114849.8936="",107056.44956=""),"-",(114849.8936-107056.44956)/4177554.78501*100)</f>
        <v>0.1865551606400141</v>
      </c>
    </row>
    <row r="16" spans="1:7" s="9" customFormat="1" ht="15.75">
      <c r="A16" s="34" t="s">
        <v>243</v>
      </c>
      <c r="B16" s="35">
        <f>IF(10857.59375="","-",10857.59375)</f>
        <v>10857.59375</v>
      </c>
      <c r="C16" s="35">
        <f>IF(OR(10851.74466="",10857.59375=""),"-",10857.59375/10851.74466*100)</f>
        <v>100.05389999657437</v>
      </c>
      <c r="D16" s="35">
        <f>IF(10851.74466="","-",10851.74466/4177554.78501*100)</f>
        <v>0.2597630723824014</v>
      </c>
      <c r="E16" s="35">
        <f>IF(10857.59375="","-",10857.59375/4272305.71982*100)</f>
        <v>0.25413896996251123</v>
      </c>
      <c r="F16" s="50">
        <f>IF(OR(3438760.41277="",26967.12768="",10851.74466=""),"-",(10851.74466-26967.12768)/3438760.41277*100)</f>
        <v>-0.4686393085181149</v>
      </c>
      <c r="G16" s="50">
        <f>IF(OR(4177554.78501="",10857.59375="",10851.74466=""),"-",(10857.59375-10851.74466)/4177554.78501*100)</f>
        <v>0.00014001228711560043</v>
      </c>
    </row>
    <row r="17" spans="1:7" s="9" customFormat="1" ht="25.5">
      <c r="A17" s="34" t="s">
        <v>244</v>
      </c>
      <c r="B17" s="35">
        <f>IF(37086.02796="","-",37086.02796)</f>
        <v>37086.02796</v>
      </c>
      <c r="C17" s="35">
        <f>IF(OR(36823.87649="",37086.02796=""),"-",37086.02796/36823.87649*100)</f>
        <v>100.71190622766505</v>
      </c>
      <c r="D17" s="35">
        <f>IF(36823.87649="","-",36823.87649/4177554.78501*100)</f>
        <v>0.8814696248181424</v>
      </c>
      <c r="E17" s="35">
        <f>IF(37086.02796="","-",37086.02796/4272305.71982*100)</f>
        <v>0.8680565107490131</v>
      </c>
      <c r="F17" s="50">
        <f>IF(OR(3438760.41277="",33939.53998="",36823.87649=""),"-",(36823.87649-33939.53998)/3438760.41277*100)</f>
        <v>0.08387721631576543</v>
      </c>
      <c r="G17" s="50">
        <f>IF(OR(4177554.78501="",37086.02796="",36823.87649=""),"-",(37086.02796-36823.87649)/4177554.78501*100)</f>
        <v>0.006275237154056127</v>
      </c>
    </row>
    <row r="18" spans="1:7" s="9" customFormat="1" ht="25.5">
      <c r="A18" s="34" t="s">
        <v>245</v>
      </c>
      <c r="B18" s="35">
        <f>IF(23879.71368="","-",23879.71368)</f>
        <v>23879.71368</v>
      </c>
      <c r="C18" s="35">
        <f>IF(OR(27285.11539="",23879.71368=""),"-",23879.71368/27285.11539*100)</f>
        <v>87.51919623089415</v>
      </c>
      <c r="D18" s="35">
        <f>IF(27285.11539="","-",27285.11539/4177554.78501*100)</f>
        <v>0.6531360279919031</v>
      </c>
      <c r="E18" s="35">
        <f>IF(23879.71368="","-",23879.71368/4272305.71982*100)</f>
        <v>0.5589420618758082</v>
      </c>
      <c r="F18" s="50">
        <f>IF(OR(3438760.41277="",22659.83714="",27285.11539=""),"-",(27285.11539-22659.83714)/3438760.41277*100)</f>
        <v>0.13450423102533718</v>
      </c>
      <c r="G18" s="50">
        <f>IF(OR(4177554.78501="",23879.71368="",27285.11539=""),"-",(23879.71368-27285.11539)/4177554.78501*100)</f>
        <v>-0.08151662599900163</v>
      </c>
    </row>
    <row r="19" spans="1:7" s="9" customFormat="1" ht="15.75">
      <c r="A19" s="34" t="s">
        <v>246</v>
      </c>
      <c r="B19" s="35">
        <f>IF(55462.51363="","-",55462.51363)</f>
        <v>55462.51363</v>
      </c>
      <c r="C19" s="35">
        <f>IF(OR(51094.95964="",55462.51363=""),"-",55462.51363/51094.95964*100)</f>
        <v>108.54791552977534</v>
      </c>
      <c r="D19" s="35">
        <f>IF(51094.95964="","-",51094.95964/4177554.78501*100)</f>
        <v>1.2230829341446372</v>
      </c>
      <c r="E19" s="35">
        <f>IF(55462.51363="","-",55462.51363/4272305.71982*100)</f>
        <v>1.2981869104708343</v>
      </c>
      <c r="F19" s="50">
        <f>IF(OR(3438760.41277="",50225.44839="",51094.95964=""),"-",(51094.95964-50225.44839)/3438760.41277*100)</f>
        <v>0.025285601368767417</v>
      </c>
      <c r="G19" s="50">
        <f>IF(OR(4177554.78501="",55462.51363="",51094.95964=""),"-",(55462.51363-51094.95964)/4177554.78501*100)</f>
        <v>0.10454809606978129</v>
      </c>
    </row>
    <row r="20" spans="1:7" s="9" customFormat="1" ht="15.75">
      <c r="A20" s="45" t="s">
        <v>247</v>
      </c>
      <c r="B20" s="33">
        <f>IF(92751.13601="","-",92751.13601)</f>
        <v>92751.13601</v>
      </c>
      <c r="C20" s="33">
        <f>IF(86822.10638="","-",92751.13601/86822.10638*100)</f>
        <v>106.82894009049957</v>
      </c>
      <c r="D20" s="33">
        <f>IF(86822.10638="","-",86822.10638/4177554.78501*100)</f>
        <v>2.0782996477158626</v>
      </c>
      <c r="E20" s="33">
        <f>IF(92751.13601="","-",92751.13601/4272305.71982*100)</f>
        <v>2.1709854606076218</v>
      </c>
      <c r="F20" s="49">
        <f>IF(3438760.41277="","-",(86822.10638-85814.32549)/3438760.41277*100)</f>
        <v>0.02930651656502594</v>
      </c>
      <c r="G20" s="49">
        <f>IF(4177554.78501="","-",(92751.13601-86822.10638)/4177554.78501*100)</f>
        <v>0.14192583784357987</v>
      </c>
    </row>
    <row r="21" spans="1:7" s="9" customFormat="1" ht="13.5" customHeight="1">
      <c r="A21" s="34" t="s">
        <v>248</v>
      </c>
      <c r="B21" s="35">
        <f>IF(47797.35644="","-",47797.35644)</f>
        <v>47797.35644</v>
      </c>
      <c r="C21" s="35">
        <f>IF(OR(47221.26223="",47797.35644=""),"-",47797.35644/47221.26223*100)</f>
        <v>101.21998901086977</v>
      </c>
      <c r="D21" s="35">
        <f>IF(47221.26223="","-",47221.26223/4177554.78501*100)</f>
        <v>1.130356504226837</v>
      </c>
      <c r="E21" s="35">
        <f>IF(47797.35644="","-",47797.35644/4272305.71982*100)</f>
        <v>1.1187719132144363</v>
      </c>
      <c r="F21" s="50">
        <f>IF(OR(3438760.41277="",41130.72005="",47221.26223=""),"-",(47221.26223-41130.72005)/3438760.41277*100)</f>
        <v>0.17711446710222903</v>
      </c>
      <c r="G21" s="50">
        <f>IF(OR(4177554.78501="",47797.35644="",47221.26223=""),"-",(47797.35644-47221.26223)/4177554.78501*100)</f>
        <v>0.013790225135219237</v>
      </c>
    </row>
    <row r="22" spans="1:7" s="9" customFormat="1" ht="13.5" customHeight="1">
      <c r="A22" s="34" t="s">
        <v>249</v>
      </c>
      <c r="B22" s="35">
        <f>IF(44953.77957="","-",44953.77957)</f>
        <v>44953.77957</v>
      </c>
      <c r="C22" s="35">
        <f>IF(OR(39600.84415="",44953.77957=""),"-",44953.77957/39600.84415*100)</f>
        <v>113.51722554126414</v>
      </c>
      <c r="D22" s="35">
        <f>IF(39600.84415="","-",39600.84415/4177554.78501*100)</f>
        <v>0.9479431434890255</v>
      </c>
      <c r="E22" s="35">
        <f>IF(44953.77957="","-",44953.77957/4272305.71982*100)</f>
        <v>1.0522135473931855</v>
      </c>
      <c r="F22" s="50">
        <f>IF(OR(3438760.41277="",44683.60544="",39600.84415=""),"-",(39600.84415-44683.60544)/3438760.41277*100)</f>
        <v>-0.14780795053720308</v>
      </c>
      <c r="G22" s="50">
        <f>IF(OR(4177554.78501="",44953.77957="",39600.84415=""),"-",(44953.77957-39600.84415)/4177554.78501*100)</f>
        <v>0.12813561270836063</v>
      </c>
    </row>
    <row r="23" spans="1:7" s="9" customFormat="1" ht="25.5">
      <c r="A23" s="45" t="s">
        <v>25</v>
      </c>
      <c r="B23" s="33">
        <f>IF(112682.4316="","-",112682.4316)</f>
        <v>112682.4316</v>
      </c>
      <c r="C23" s="33">
        <f>IF(104827.39704="","-",112682.4316/104827.39704*100)</f>
        <v>107.4933030694282</v>
      </c>
      <c r="D23" s="33">
        <f>IF(104827.39704="","-",104827.39704/4177554.78501*100)</f>
        <v>2.5093003547468515</v>
      </c>
      <c r="E23" s="33">
        <f>IF(112682.4316="","-",112682.4316/4272305.71982*100)</f>
        <v>2.6375086192274533</v>
      </c>
      <c r="F23" s="49">
        <f>IF(3438760.41277="","-",(104827.39704-85658.25519)/3438760.41277*100)</f>
        <v>0.5574433676395274</v>
      </c>
      <c r="G23" s="49">
        <f>IF(4177554.78501="","-",(112682.4316-104827.39704)/4177554.78501*100)</f>
        <v>0.1880294805034184</v>
      </c>
    </row>
    <row r="24" spans="1:7" s="9" customFormat="1" ht="15.75">
      <c r="A24" s="34" t="s">
        <v>250</v>
      </c>
      <c r="B24" s="35">
        <f>IF(18.14="","-",18.14)</f>
        <v>18.14</v>
      </c>
      <c r="C24" s="35">
        <f>IF(OR(39.57298="",18.14=""),"-",18.14/39.57298*100)</f>
        <v>45.83935806704474</v>
      </c>
      <c r="D24" s="35">
        <f>IF(39.57298="","-",39.57298/4177554.78501*100)</f>
        <v>0.0009472761468502267</v>
      </c>
      <c r="E24" s="35">
        <f>IF(18.14="","-",18.14/4272305.71982*100)</f>
        <v>0.00042459508260013447</v>
      </c>
      <c r="F24" s="50">
        <f>IF(OR(3438760.41277="",26.97093="",39.57298=""),"-",(39.57298-26.97093)/3438760.41277*100)</f>
        <v>0.0003664707187276465</v>
      </c>
      <c r="G24" s="50">
        <f>IF(OR(4177554.78501="",18.14="",39.57298=""),"-",(18.14-39.57298)/4177554.78501*100)</f>
        <v>-0.0005130508420118468</v>
      </c>
    </row>
    <row r="25" spans="1:7" s="9" customFormat="1" ht="15.75">
      <c r="A25" s="34" t="s">
        <v>251</v>
      </c>
      <c r="B25" s="35">
        <f>IF(29067.36713="","-",29067.36713)</f>
        <v>29067.36713</v>
      </c>
      <c r="C25" s="35">
        <f>IF(OR(32814.88029="",29067.36713=""),"-",29067.36713/32814.88029*100)</f>
        <v>88.57983595587878</v>
      </c>
      <c r="D25" s="35">
        <f>IF(32814.88029="","-",32814.88029/4177554.78501*100)</f>
        <v>0.7855044871642887</v>
      </c>
      <c r="E25" s="35">
        <f>IF(29067.36713="","-",29067.36713/4272305.71982*100)</f>
        <v>0.6803672076918844</v>
      </c>
      <c r="F25" s="50">
        <f>IF(OR(3438760.41277="",24961.05098="",32814.88029=""),"-",(32814.88029-24961.05098)/3438760.41277*100)</f>
        <v>0.22839129125816482</v>
      </c>
      <c r="G25" s="50">
        <f>IF(OR(4177554.78501="",29067.36713="",32814.88029=""),"-",(29067.36713-32814.88029)/4177554.78501*100)</f>
        <v>-0.08970590100809489</v>
      </c>
    </row>
    <row r="26" spans="1:7" s="9" customFormat="1" ht="25.5">
      <c r="A26" s="34" t="s">
        <v>294</v>
      </c>
      <c r="B26" s="35">
        <f>IF(1201.43299="","-",1201.43299)</f>
        <v>1201.43299</v>
      </c>
      <c r="C26" s="35" t="s">
        <v>106</v>
      </c>
      <c r="D26" s="35">
        <f>IF(695.27057="","-",695.27057/4177554.78501*100)</f>
        <v>0.01664300304318656</v>
      </c>
      <c r="E26" s="35">
        <f>IF(1201.43299="","-",1201.43299/4272305.71982*100)</f>
        <v>0.028121418943085806</v>
      </c>
      <c r="F26" s="50">
        <f>IF(OR(3438760.41277="",498.87214="",695.27057=""),"-",(695.27057-498.87214)/3438760.41277*100)</f>
        <v>0.005711314730466977</v>
      </c>
      <c r="G26" s="50">
        <f>IF(OR(4177554.78501="",1201.43299="",695.27057=""),"-",(1201.43299-695.27057)/4177554.78501*100)</f>
        <v>0.012116236555801107</v>
      </c>
    </row>
    <row r="27" spans="1:7" s="9" customFormat="1" ht="15.75">
      <c r="A27" s="34" t="s">
        <v>295</v>
      </c>
      <c r="B27" s="35">
        <f>IF(29182.71419="","-",29182.71419)</f>
        <v>29182.71419</v>
      </c>
      <c r="C27" s="35">
        <f>IF(OR(26050.90775="",29182.71419=""),"-",29182.71419/26050.90775*100)</f>
        <v>112.0218706774239</v>
      </c>
      <c r="D27" s="35">
        <f>IF(26050.90775="","-",26050.90775/4177554.78501*100)</f>
        <v>0.6235922469162217</v>
      </c>
      <c r="E27" s="35">
        <f>IF(29182.71419="","-",29182.71419/4272305.71982*100)</f>
        <v>0.6830670861080026</v>
      </c>
      <c r="F27" s="50">
        <f>IF(OR(3438760.41277="",24289.92679="",26050.90775=""),"-",(26050.90775-24289.92679)/3438760.41277*100)</f>
        <v>0.051209760164171676</v>
      </c>
      <c r="G27" s="50">
        <f>IF(OR(4177554.78501="",29182.71419="",26050.90775=""),"-",(29182.71419-26050.90775)/4177554.78501*100)</f>
        <v>0.07496745347871012</v>
      </c>
    </row>
    <row r="28" spans="1:7" s="9" customFormat="1" ht="15.75">
      <c r="A28" s="34" t="s">
        <v>253</v>
      </c>
      <c r="B28" s="35">
        <f>IF(351.17866="","-",351.17866)</f>
        <v>351.17866</v>
      </c>
      <c r="C28" s="35">
        <f>IF(OR(401.72853="",351.17866=""),"-",351.17866/401.72853*100)</f>
        <v>87.41690812947739</v>
      </c>
      <c r="D28" s="35">
        <f>IF(401.72853="","-",401.72853/4177554.78501*100)</f>
        <v>0.009616355755321071</v>
      </c>
      <c r="E28" s="35">
        <f>IF(351.17866="","-",351.17866/4272305.71982*100)</f>
        <v>0.00821988600606971</v>
      </c>
      <c r="F28" s="50">
        <f>IF(OR(3438760.41277="",389.13522="",401.72853=""),"-",(401.72853-389.13522)/3438760.41277*100)</f>
        <v>0.00036621655737439923</v>
      </c>
      <c r="G28" s="50">
        <f>IF(OR(4177554.78501="",351.17866="",401.72853=""),"-",(351.17866-401.72853)/4177554.78501*100)</f>
        <v>-0.0012100348792883392</v>
      </c>
    </row>
    <row r="29" spans="1:7" s="9" customFormat="1" ht="38.25">
      <c r="A29" s="34" t="s">
        <v>254</v>
      </c>
      <c r="B29" s="35">
        <f>IF(5683.45638="","-",5683.45638)</f>
        <v>5683.45638</v>
      </c>
      <c r="C29" s="35">
        <f>IF(OR(6159.59107="",5683.45638=""),"-",5683.45638/6159.59107*100)</f>
        <v>92.27002759454288</v>
      </c>
      <c r="D29" s="35">
        <f>IF(6159.59107="","-",6159.59107/4177554.78501*100)</f>
        <v>0.14744489030046928</v>
      </c>
      <c r="E29" s="35">
        <f>IF(5683.45638="","-",5683.45638/4272305.71982*100)</f>
        <v>0.13303018914665718</v>
      </c>
      <c r="F29" s="50">
        <f>IF(OR(3438760.41277="",6234.49803="",6159.59107=""),"-",(6159.59107-6234.49803)/3438760.41277*100)</f>
        <v>-0.0021783128513934496</v>
      </c>
      <c r="G29" s="50">
        <f>IF(OR(4177554.78501="",5683.45638="",6159.59107=""),"-",(5683.45638-6159.59107)/4177554.78501*100)</f>
        <v>-0.011397449333482792</v>
      </c>
    </row>
    <row r="30" spans="1:7" s="9" customFormat="1" ht="38.25">
      <c r="A30" s="34" t="s">
        <v>255</v>
      </c>
      <c r="B30" s="35">
        <f>IF(19718.68016="","-",19718.68016)</f>
        <v>19718.68016</v>
      </c>
      <c r="C30" s="35" t="s">
        <v>105</v>
      </c>
      <c r="D30" s="35">
        <f>IF(11197.75584="","-",11197.75584/4177554.78501*100)</f>
        <v>0.2680456969751791</v>
      </c>
      <c r="E30" s="35">
        <f>IF(19718.68016="","-",19718.68016/4272305.71982*100)</f>
        <v>0.46154656181371734</v>
      </c>
      <c r="F30" s="50">
        <f>IF(OR(3438760.41277="",7723.49311="",11197.75584=""),"-",(11197.75584-7723.49311)/3438760.41277*100)</f>
        <v>0.10103241613164327</v>
      </c>
      <c r="G30" s="50">
        <f>IF(OR(4177554.78501="",19718.68016="",11197.75584=""),"-",(19718.68016-11197.75584)/4177554.78501*100)</f>
        <v>0.20396918193807964</v>
      </c>
    </row>
    <row r="31" spans="1:7" s="9" customFormat="1" ht="15.75">
      <c r="A31" s="34" t="s">
        <v>256</v>
      </c>
      <c r="B31" s="35">
        <f>IF(1128.02837="","-",1128.02837)</f>
        <v>1128.02837</v>
      </c>
      <c r="C31" s="35">
        <f>IF(OR(805.02076="",1128.02837=""),"-",1128.02837/805.02076*100)</f>
        <v>140.1241341900301</v>
      </c>
      <c r="D31" s="35">
        <f>IF(805.02076="","-",805.02076/4177554.78501*100)</f>
        <v>0.019270142497917545</v>
      </c>
      <c r="E31" s="35">
        <f>IF(1128.02837="","-",1128.02837/4272305.71982*100)</f>
        <v>0.02640326896005761</v>
      </c>
      <c r="F31" s="50">
        <f>IF(OR(3438760.41277="",786.5072="",805.02076=""),"-",(805.02076-786.5072)/3438760.41277*100)</f>
        <v>0.0005383788859278768</v>
      </c>
      <c r="G31" s="50">
        <f>IF(OR(4177554.78501="",1128.02837="",805.02076=""),"-",(1128.02837-805.02076)/4177554.78501*100)</f>
        <v>0.00773197783447445</v>
      </c>
    </row>
    <row r="32" spans="1:7" s="9" customFormat="1" ht="25.5">
      <c r="A32" s="34" t="s">
        <v>257</v>
      </c>
      <c r="B32" s="35">
        <f>IF(26331.43372="","-",26331.43372)</f>
        <v>26331.43372</v>
      </c>
      <c r="C32" s="35">
        <f>IF(OR(26662.66925="",26331.43372=""),"-",26331.43372/26662.66925*100)</f>
        <v>98.75768053492995</v>
      </c>
      <c r="D32" s="35">
        <f>IF(26662.66925="","-",26662.66925/4177554.78501*100)</f>
        <v>0.6382362559474172</v>
      </c>
      <c r="E32" s="35">
        <f>IF(26331.43372="","-",26331.43372/4272305.71982*100)</f>
        <v>0.6163284054753786</v>
      </c>
      <c r="F32" s="50">
        <f>IF(OR(3438760.41277="",20747.80079="",26662.66925=""),"-",(26662.66925-20747.80079)/3438760.41277*100)</f>
        <v>0.17200583204444408</v>
      </c>
      <c r="G32" s="50">
        <f>IF(OR(4177554.78501="",26331.43372="",26662.66925=""),"-",(26331.43372-26662.66925)/4177554.78501*100)</f>
        <v>-0.007928933240769102</v>
      </c>
    </row>
    <row r="33" spans="1:7" s="9" customFormat="1" ht="25.5">
      <c r="A33" s="45" t="s">
        <v>258</v>
      </c>
      <c r="B33" s="33">
        <f>IF(665453.58591="","-",665453.58591)</f>
        <v>665453.58591</v>
      </c>
      <c r="C33" s="33">
        <f>IF(689324.30972="","-",665453.58591/689324.30972*100)</f>
        <v>96.53708371032262</v>
      </c>
      <c r="D33" s="33">
        <f>IF(689324.30972="","-",689324.30972/4177554.78501*100)</f>
        <v>16.500664747556385</v>
      </c>
      <c r="E33" s="33">
        <f>IF(665453.58591="","-",665453.58591/4272305.71982*100)</f>
        <v>15.575982374642344</v>
      </c>
      <c r="F33" s="49">
        <f>IF(3438760.41277="","-",(689324.30972-527948.69629)/3438760.41277*100)</f>
        <v>4.69284259614959</v>
      </c>
      <c r="G33" s="49">
        <f>IF(4177554.78501="","-",(665453.58591-689324.30972)/4177554.78501*100)</f>
        <v>-0.571404207448182</v>
      </c>
    </row>
    <row r="34" spans="1:7" s="9" customFormat="1" ht="15.75">
      <c r="A34" s="34" t="s">
        <v>296</v>
      </c>
      <c r="B34" s="35">
        <f>IF(14219.10669="","-",14219.10669)</f>
        <v>14219.10669</v>
      </c>
      <c r="C34" s="35">
        <f>IF(OR(11913.23644="",14219.10669=""),"-",14219.10669/11913.23644*100)</f>
        <v>119.35553165265642</v>
      </c>
      <c r="D34" s="35">
        <f>IF(11913.23644="","-",11913.23644/4177554.78501*100)</f>
        <v>0.2851724765584728</v>
      </c>
      <c r="E34" s="35">
        <f>IF(14219.10669="","-",14219.10669/4272305.71982*100)</f>
        <v>0.332820439886476</v>
      </c>
      <c r="F34" s="50">
        <f>IF(OR(3438760.41277="",16693.25802="",11913.23644=""),"-",(11913.23644-16693.25802)/3438760.41277*100)</f>
        <v>-0.1390042051853675</v>
      </c>
      <c r="G34" s="50">
        <f>IF(OR(4177554.78501="",14219.10669="",11913.23644=""),"-",(14219.10669-11913.23644)/4177554.78501*100)</f>
        <v>0.05519664896493943</v>
      </c>
    </row>
    <row r="35" spans="1:7" s="9" customFormat="1" ht="25.5">
      <c r="A35" s="34" t="s">
        <v>259</v>
      </c>
      <c r="B35" s="35">
        <f>IF(431991.57526="","-",431991.57526)</f>
        <v>431991.57526</v>
      </c>
      <c r="C35" s="35">
        <f>IF(OR(466889.5273="",431991.57526=""),"-",431991.57526/466889.5273*100)</f>
        <v>92.525436961113</v>
      </c>
      <c r="D35" s="35">
        <f>IF(466889.5273="","-",466889.5273/4177554.78501*100)</f>
        <v>11.176143733058964</v>
      </c>
      <c r="E35" s="35">
        <f>IF(431991.57526="","-",431991.57526/4272305.71982*100)</f>
        <v>10.111438730985773</v>
      </c>
      <c r="F35" s="50">
        <f>IF(OR(3438760.41277="",332687.70632="",466889.5273=""),"-",(466889.5273-332687.70632)/3438760.41277*100)</f>
        <v>3.9026220169813284</v>
      </c>
      <c r="G35" s="50">
        <f>IF(OR(4177554.78501="",431991.57526="",466889.5273=""),"-",(431991.57526-466889.5273)/4177554.78501*100)</f>
        <v>-0.8353679086441105</v>
      </c>
    </row>
    <row r="36" spans="1:7" s="9" customFormat="1" ht="25.5">
      <c r="A36" s="34" t="s">
        <v>297</v>
      </c>
      <c r="B36" s="35">
        <f>IF(188234.30589="","-",188234.30589)</f>
        <v>188234.30589</v>
      </c>
      <c r="C36" s="35">
        <f>IF(OR(171161.37151="",188234.30589=""),"-",188234.30589/171161.37151*100)</f>
        <v>109.97475904135445</v>
      </c>
      <c r="D36" s="35">
        <f>IF(171161.37151="","-",171161.37151/4177554.78501*100)</f>
        <v>4.097166412375135</v>
      </c>
      <c r="E36" s="35">
        <f>IF(188234.30589="","-",188234.30589/4272305.71982*100)</f>
        <v>4.405918448596666</v>
      </c>
      <c r="F36" s="50">
        <f>IF(OR(3438760.41277="",129913.90074="",171161.37151=""),"-",(171161.37151-129913.90074)/3438760.41277*100)</f>
        <v>1.199486612001975</v>
      </c>
      <c r="G36" s="50">
        <f>IF(OR(4177554.78501="",188234.30589="",171161.37151=""),"-",(188234.30589-171161.37151)/4177554.78501*100)</f>
        <v>0.40868247715772615</v>
      </c>
    </row>
    <row r="37" spans="1:7" s="9" customFormat="1" ht="15.75">
      <c r="A37" s="34" t="s">
        <v>260</v>
      </c>
      <c r="B37" s="35">
        <f>IF(31008.59807="","-",31008.59807)</f>
        <v>31008.59807</v>
      </c>
      <c r="C37" s="35">
        <f>IF(OR(39360.17447="",31008.59807=""),"-",31008.59807/39360.17447*100)</f>
        <v>78.78165807835659</v>
      </c>
      <c r="D37" s="35">
        <f>IF(39360.17447="","-",39360.17447/4177554.78501*100)</f>
        <v>0.9421821255638129</v>
      </c>
      <c r="E37" s="35">
        <f>IF(31008.59807="","-",31008.59807/4272305.71982*100)</f>
        <v>0.72580475517343</v>
      </c>
      <c r="F37" s="50">
        <f>IF(OR(3438760.41277="",48653.83121="",39360.17447=""),"-",(39360.17447-48653.83121)/3438760.41277*100)</f>
        <v>-0.2702618276483457</v>
      </c>
      <c r="G37" s="50">
        <f>IF(OR(4177554.78501="",31008.59807="",39360.17447=""),"-",(31008.59807-39360.17447)/4177554.78501*100)</f>
        <v>-0.19991542492673753</v>
      </c>
    </row>
    <row r="38" spans="1:7" s="9" customFormat="1" ht="25.5">
      <c r="A38" s="45" t="s">
        <v>262</v>
      </c>
      <c r="B38" s="33">
        <f>IF(8375.94097="","-",8375.94097)</f>
        <v>8375.94097</v>
      </c>
      <c r="C38" s="33">
        <f>IF(8256.96124="","-",8375.94097/8256.96124*100)</f>
        <v>101.4409626803577</v>
      </c>
      <c r="D38" s="33">
        <f>IF(8256.96124="","-",8256.96124/4177554.78501*100)</f>
        <v>0.1976505794640401</v>
      </c>
      <c r="E38" s="33">
        <f>IF(8375.94097="","-",8375.94097/4272305.71982*100)</f>
        <v>0.19605200374922827</v>
      </c>
      <c r="F38" s="49">
        <f>IF(3438760.41277="","-",(8256.96124-12071.28384)/3438760.41277*100)</f>
        <v>-0.1109214409307299</v>
      </c>
      <c r="G38" s="49">
        <f>IF(4177554.78501="","-",(8375.94097-8256.96124)/4177554.78501*100)</f>
        <v>0.0028480710875875273</v>
      </c>
    </row>
    <row r="39" spans="1:7" s="9" customFormat="1" ht="15.75">
      <c r="A39" s="34" t="s">
        <v>298</v>
      </c>
      <c r="B39" s="35">
        <f>IF(1227.90088="","-",1227.90088)</f>
        <v>1227.90088</v>
      </c>
      <c r="C39" s="35">
        <f>IF(OR(1122.91965="",1227.90088=""),"-",1227.90088/1122.91965*100)</f>
        <v>109.34895297272604</v>
      </c>
      <c r="D39" s="35">
        <f>IF(1122.91965="","-",1122.91965/4177554.78501*100)</f>
        <v>0.02687983061357535</v>
      </c>
      <c r="E39" s="35">
        <f>IF(1227.90088="","-",1227.90088/4272305.71982*100)</f>
        <v>0.02874094132129977</v>
      </c>
      <c r="F39" s="50">
        <f>IF(OR(3438760.41277="",901.37646="",1122.91965=""),"-",(1122.91965-901.37646)/3438760.41277*100)</f>
        <v>0.006442530546102862</v>
      </c>
      <c r="G39" s="50">
        <f>IF(OR(4177554.78501="",1227.90088="",1122.91965=""),"-",(1227.90088-1122.91965)/4177554.78501*100)</f>
        <v>0.0025129827232115774</v>
      </c>
    </row>
    <row r="40" spans="1:7" s="9" customFormat="1" ht="25.5">
      <c r="A40" s="34" t="s">
        <v>263</v>
      </c>
      <c r="B40" s="35">
        <f>IF(5183.63066="","-",5183.63066)</f>
        <v>5183.63066</v>
      </c>
      <c r="C40" s="35">
        <f>IF(OR(5153.6745="",5183.63066=""),"-",5183.63066/5153.6745*100)</f>
        <v>100.5812582847442</v>
      </c>
      <c r="D40" s="35">
        <f>IF(5153.6745="","-",5153.6745/4177554.78501*100)</f>
        <v>0.1233658148180973</v>
      </c>
      <c r="E40" s="35">
        <f>IF(5183.63066="","-",5183.63066/4272305.71982*100)</f>
        <v>0.12133098612190131</v>
      </c>
      <c r="F40" s="50">
        <f>IF(OR(3438760.41277="",9523.83665="",5153.6745=""),"-",(5153.6745-9523.83665)/3438760.41277*100)</f>
        <v>-0.12708539198518148</v>
      </c>
      <c r="G40" s="50">
        <f>IF(OR(4177554.78501="",5183.63066="",5153.6745=""),"-",(5183.63066-5153.6745)/4177554.78501*100)</f>
        <v>0.0007170740191723905</v>
      </c>
    </row>
    <row r="41" spans="1:7" s="9" customFormat="1" ht="63.75">
      <c r="A41" s="34" t="s">
        <v>264</v>
      </c>
      <c r="B41" s="35">
        <f>IF(1964.40943="","-",1964.40943)</f>
        <v>1964.40943</v>
      </c>
      <c r="C41" s="35">
        <f>IF(OR(1980.36709="",1964.40943=""),"-",1964.40943/1980.36709*100)</f>
        <v>99.1942069689716</v>
      </c>
      <c r="D41" s="35">
        <f>IF(1980.36709="","-",1980.36709/4177554.78501*100)</f>
        <v>0.04740493403236744</v>
      </c>
      <c r="E41" s="35">
        <f>IF(1964.40943="","-",1964.40943/4272305.71982*100)</f>
        <v>0.045980076306027184</v>
      </c>
      <c r="F41" s="50">
        <f>IF(OR(3438760.41277="",1646.07073="",1980.36709=""),"-",(1980.36709-1646.07073)/3438760.41277*100)</f>
        <v>0.009721420508348726</v>
      </c>
      <c r="G41" s="50">
        <f>IF(OR(4177554.78501="",1964.40943="",1980.36709=""),"-",(1964.40943-1980.36709)/4177554.78501*100)</f>
        <v>-0.00038198565479642975</v>
      </c>
    </row>
    <row r="42" spans="1:7" s="9" customFormat="1" ht="14.25" customHeight="1">
      <c r="A42" s="45" t="s">
        <v>265</v>
      </c>
      <c r="B42" s="33">
        <f>IF(624372.20345="","-",624372.20345)</f>
        <v>624372.20345</v>
      </c>
      <c r="C42" s="33">
        <f>IF(611909.28067="","-",624372.20345/611909.28067*100)</f>
        <v>102.03672720347596</v>
      </c>
      <c r="D42" s="33">
        <f>IF(611909.28067="","-",611909.28067/4177554.78501*100)</f>
        <v>14.6475465232836</v>
      </c>
      <c r="E42" s="33">
        <f>IF(624372.20345="","-",624372.20345/4272305.71982*100)</f>
        <v>14.614408340522642</v>
      </c>
      <c r="F42" s="49">
        <f>IF(3438760.41277="","-",(611909.28067-537514.12007)/3438760.41277*100)</f>
        <v>2.163429598751053</v>
      </c>
      <c r="G42" s="49">
        <f>IF(4177554.78501="","-",(624372.20345-611909.28067)/4177554.78501*100)</f>
        <v>0.298330564681516</v>
      </c>
    </row>
    <row r="43" spans="1:7" s="9" customFormat="1" ht="15" customHeight="1">
      <c r="A43" s="34" t="s">
        <v>26</v>
      </c>
      <c r="B43" s="35">
        <f>IF(16652.3463="","-",16652.3463)</f>
        <v>16652.3463</v>
      </c>
      <c r="C43" s="35">
        <f>IF(OR(17014.04549="",16652.3463=""),"-",16652.3463/17014.04549*100)</f>
        <v>97.87411412404776</v>
      </c>
      <c r="D43" s="35">
        <f>IF(17014.04549="","-",17014.04549/4177554.78501*100)</f>
        <v>0.407272827421682</v>
      </c>
      <c r="E43" s="35">
        <f>IF(16652.3463="","-",16652.3463/4272305.71982*100)</f>
        <v>0.3897742201066452</v>
      </c>
      <c r="F43" s="50">
        <f>IF(OR(3438760.41277="",15218.21106="",17014.04549=""),"-",(17014.04549-15218.21106)/3438760.41277*100)</f>
        <v>0.05222330765851219</v>
      </c>
      <c r="G43" s="50">
        <f>IF(OR(4177554.78501="",16652.3463="",17014.04549=""),"-",(16652.3463-17014.04549)/4177554.78501*100)</f>
        <v>-0.008658155514748887</v>
      </c>
    </row>
    <row r="44" spans="1:7" s="9" customFormat="1" ht="15.75">
      <c r="A44" s="34" t="s">
        <v>27</v>
      </c>
      <c r="B44" s="35">
        <f>IF(14018.62831="","-",14018.62831)</f>
        <v>14018.62831</v>
      </c>
      <c r="C44" s="35">
        <f>IF(OR(11704.44583="",14018.62831=""),"-",14018.62831/11704.44583*100)</f>
        <v>119.77182442989698</v>
      </c>
      <c r="D44" s="35">
        <f>IF(11704.44583="","-",11704.44583/4177554.78501*100)</f>
        <v>0.28017456221036685</v>
      </c>
      <c r="E44" s="35">
        <f>IF(14018.62831="","-",14018.62831/4272305.71982*100)</f>
        <v>0.32812792972574606</v>
      </c>
      <c r="F44" s="50">
        <f>IF(OR(3438760.41277="",9581.84691="",11704.44583=""),"-",(11704.44583-9581.84691)/3438760.41277*100)</f>
        <v>0.06172569953165765</v>
      </c>
      <c r="G44" s="50">
        <f>IF(OR(4177554.78501="",14018.62831="",11704.44583=""),"-",(14018.62831-11704.44583)/4177554.78501*100)</f>
        <v>0.05539562253746625</v>
      </c>
    </row>
    <row r="45" spans="1:7" s="9" customFormat="1" ht="15.75">
      <c r="A45" s="34" t="s">
        <v>266</v>
      </c>
      <c r="B45" s="35">
        <f>IF(29512.29993="","-",29512.29993)</f>
        <v>29512.29993</v>
      </c>
      <c r="C45" s="35">
        <f>IF(OR(28360.18829="",29512.29993=""),"-",29512.29993/28360.18829*100)</f>
        <v>104.06242591981044</v>
      </c>
      <c r="D45" s="35">
        <f>IF(28360.18829="","-",28360.18829/4177554.78501*100)</f>
        <v>0.6788705295203473</v>
      </c>
      <c r="E45" s="35">
        <f>IF(29512.29993="","-",29512.29993/4272305.71982*100)</f>
        <v>0.6907815560362897</v>
      </c>
      <c r="F45" s="50">
        <f>IF(OR(3438760.41277="",24881.26449="",28360.18829=""),"-",(28360.18829-24881.26449)/3438760.41277*100)</f>
        <v>0.10116796119557642</v>
      </c>
      <c r="G45" s="50">
        <f>IF(OR(4177554.78501="",29512.29993="",28360.18829=""),"-",(29512.29993-28360.18829)/4177554.78501*100)</f>
        <v>0.027578612353188925</v>
      </c>
    </row>
    <row r="46" spans="1:7" s="9" customFormat="1" ht="15.75">
      <c r="A46" s="34" t="s">
        <v>267</v>
      </c>
      <c r="B46" s="35">
        <f>IF(183271.48344="","-",183271.48344)</f>
        <v>183271.48344</v>
      </c>
      <c r="C46" s="35">
        <f>IF(OR(165826.07775="",183271.48344=""),"-",183271.48344/165826.07775*100)</f>
        <v>110.5203029141778</v>
      </c>
      <c r="D46" s="35">
        <f>IF(165826.07775="","-",165826.07775/4177554.78501*100)</f>
        <v>3.9694530959838277</v>
      </c>
      <c r="E46" s="35">
        <f>IF(183271.48344="","-",183271.48344/4272305.71982*100)</f>
        <v>4.289755824115544</v>
      </c>
      <c r="F46" s="50">
        <f>IF(OR(3438760.41277="",158114.35651="",165826.07775=""),"-",(165826.07775-158114.35651)/3438760.41277*100)</f>
        <v>0.22425875357184355</v>
      </c>
      <c r="G46" s="50">
        <f>IF(OR(4177554.78501="",183271.48344="",165826.07775=""),"-",(183271.48344-165826.07775)/4177554.78501*100)</f>
        <v>0.41759848973370806</v>
      </c>
    </row>
    <row r="47" spans="1:7" s="9" customFormat="1" ht="38.25">
      <c r="A47" s="34" t="s">
        <v>268</v>
      </c>
      <c r="B47" s="35">
        <f>IF(83045.69869="","-",83045.69869)</f>
        <v>83045.69869</v>
      </c>
      <c r="C47" s="35">
        <f>IF(OR(82724.26034="",83045.69869=""),"-",83045.69869/82724.26034*100)</f>
        <v>100.38856600068576</v>
      </c>
      <c r="D47" s="35">
        <f>IF(82724.26034="","-",82724.26034/4177554.78501*100)</f>
        <v>1.9802076716464168</v>
      </c>
      <c r="E47" s="35">
        <f>IF(83045.69869="","-",83045.69869/4272305.71982*100)</f>
        <v>1.9438145146012367</v>
      </c>
      <c r="F47" s="50">
        <f>IF(OR(3438760.41277="",80732.36263="",82724.26034=""),"-",(82724.26034-80732.36263)/3438760.41277*100)</f>
        <v>0.057924876144409006</v>
      </c>
      <c r="G47" s="50">
        <f>IF(OR(4177554.78501="",83045.69869="",82724.26034=""),"-",(83045.69869-82724.26034)/4177554.78501*100)</f>
        <v>0.0076944137549890155</v>
      </c>
    </row>
    <row r="48" spans="1:7" s="9" customFormat="1" ht="13.5" customHeight="1">
      <c r="A48" s="34" t="s">
        <v>270</v>
      </c>
      <c r="B48" s="35">
        <f>IF(69555.27909="","-",69555.27909)</f>
        <v>69555.27909</v>
      </c>
      <c r="C48" s="35">
        <f>IF(OR(71990.52964="",69555.27909=""),"-",69555.27909/71990.52964*100)</f>
        <v>96.6172626286015</v>
      </c>
      <c r="D48" s="35">
        <f>IF(71990.52964="","-",71990.52964/4177554.78501*100)</f>
        <v>1.723269552282548</v>
      </c>
      <c r="E48" s="35">
        <f>IF(69555.27909="","-",69555.27909/4272305.71982*100)</f>
        <v>1.6280501361904054</v>
      </c>
      <c r="F48" s="50">
        <f>IF(OR(3438760.41277="",50799.97395="",71990.52964=""),"-",(71990.52964-50799.97395)/3438760.41277*100)</f>
        <v>0.6162265801161332</v>
      </c>
      <c r="G48" s="50">
        <f>IF(OR(4177554.78501="",69555.27909="",71990.52964=""),"-",(69555.27909-71990.52964)/4177554.78501*100)</f>
        <v>-0.05829368315499344</v>
      </c>
    </row>
    <row r="49" spans="1:7" s="9" customFormat="1" ht="15.75">
      <c r="A49" s="34" t="s">
        <v>28</v>
      </c>
      <c r="B49" s="35">
        <f>IF(39916.70106="","-",39916.70106)</f>
        <v>39916.70106</v>
      </c>
      <c r="C49" s="35">
        <f>IF(OR(43783.3404="",39916.70106=""),"-",39916.70106/43783.3404*100)</f>
        <v>91.16869726093351</v>
      </c>
      <c r="D49" s="35">
        <f>IF(43783.3404="","-",43783.3404/4177554.78501*100)</f>
        <v>1.048061429549755</v>
      </c>
      <c r="E49" s="35">
        <f>IF(39916.70106="","-",39916.70106/4272305.71982*100)</f>
        <v>0.9343128436436371</v>
      </c>
      <c r="F49" s="50">
        <f>IF(OR(3438760.41277="",38401.12727="",43783.3404=""),"-",(43783.3404-38401.12727)/3438760.41277*100)</f>
        <v>0.15651608381941642</v>
      </c>
      <c r="G49" s="50">
        <f>IF(OR(4177554.78501="",39916.70106="",43783.3404=""),"-",(39916.70106-43783.3404)/4177554.78501*100)</f>
        <v>-0.09255747773492684</v>
      </c>
    </row>
    <row r="50" spans="1:7" s="9" customFormat="1" ht="15.75">
      <c r="A50" s="34" t="s">
        <v>29</v>
      </c>
      <c r="B50" s="35">
        <f>IF(84975.93372="","-",84975.93372)</f>
        <v>84975.93372</v>
      </c>
      <c r="C50" s="35">
        <f>IF(OR(82862.36192="",84975.93372=""),"-",84975.93372/82862.36192*100)</f>
        <v>102.55070185187402</v>
      </c>
      <c r="D50" s="35">
        <f>IF(82862.36192="","-",82862.36192/4177554.78501*100)</f>
        <v>1.9835134710220594</v>
      </c>
      <c r="E50" s="35">
        <f>IF(84975.93372="","-",84975.93372/4272305.71982*100)</f>
        <v>1.988994685604573</v>
      </c>
      <c r="F50" s="50">
        <f>IF(OR(3438760.41277="",71009.71596="",82862.36192=""),"-",(82862.36192-71009.71596)/3438760.41277*100)</f>
        <v>0.34467786461611666</v>
      </c>
      <c r="G50" s="50">
        <f>IF(OR(4177554.78501="",84975.93372="",82862.36192=""),"-",(84975.93372-82862.36192)/4177554.78501*100)</f>
        <v>0.05059351483753063</v>
      </c>
    </row>
    <row r="51" spans="1:7" s="9" customFormat="1" ht="15.75">
      <c r="A51" s="34" t="s">
        <v>269</v>
      </c>
      <c r="B51" s="35">
        <f>IF(103423.83291="","-",103423.83291)</f>
        <v>103423.83291</v>
      </c>
      <c r="C51" s="35">
        <f>IF(OR(107644.03101="",103423.83291=""),"-",103423.83291/107644.03101*100)</f>
        <v>96.07948712027705</v>
      </c>
      <c r="D51" s="35">
        <f>IF(107644.03101="","-",107644.03101/4177554.78501*100)</f>
        <v>2.5767233836465975</v>
      </c>
      <c r="E51" s="35">
        <f>IF(103423.83291="","-",103423.83291/4272305.71982*100)</f>
        <v>2.420796630498564</v>
      </c>
      <c r="F51" s="50">
        <f>IF(OR(3438760.41277="",88775.26129="",107644.03101=""),"-",(107644.03101-88775.26129)/3438760.41277*100)</f>
        <v>0.5487084720973854</v>
      </c>
      <c r="G51" s="50">
        <f>IF(OR(4177554.78501="",103423.83291="",107644.03101=""),"-",(103423.83291-107644.03101)/4177554.78501*100)</f>
        <v>-0.10102077213069766</v>
      </c>
    </row>
    <row r="52" spans="1:7" s="9" customFormat="1" ht="25.5">
      <c r="A52" s="45" t="s">
        <v>271</v>
      </c>
      <c r="B52" s="33">
        <f>IF(841428.80465="","-",841428.80465)</f>
        <v>841428.80465</v>
      </c>
      <c r="C52" s="33">
        <f>IF(849504.18162="","-",841428.80465/849504.18162*100)</f>
        <v>99.04940115131625</v>
      </c>
      <c r="D52" s="33">
        <f>IF(849504.18162="","-",849504.18162/4177554.78501*100)</f>
        <v>20.33496208519421</v>
      </c>
      <c r="E52" s="33">
        <f>IF(841428.80465="","-",841428.80465/4272305.71982*100)</f>
        <v>19.694957707414506</v>
      </c>
      <c r="F52" s="49">
        <f>IF(3438760.41277="","-",(849504.18162-716666.68001)/3438760.41277*100)</f>
        <v>3.8629472735786328</v>
      </c>
      <c r="G52" s="49">
        <f>IF(4177554.78501="","-",(841428.80465-849504.18162)/4177554.78501*100)</f>
        <v>-0.19330391546213485</v>
      </c>
    </row>
    <row r="53" spans="1:7" s="9" customFormat="1" ht="15.75">
      <c r="A53" s="34" t="s">
        <v>272</v>
      </c>
      <c r="B53" s="35">
        <f>IF(39325.48429="","-",39325.48429)</f>
        <v>39325.48429</v>
      </c>
      <c r="C53" s="35">
        <f>IF(OR(42536.47321="",39325.48429=""),"-",39325.48429/42536.47321*100)</f>
        <v>92.4512102727757</v>
      </c>
      <c r="D53" s="35">
        <f>IF(42536.47321="","-",42536.47321/4177554.78501*100)</f>
        <v>1.0182146111555583</v>
      </c>
      <c r="E53" s="35">
        <f>IF(39325.48429="","-",39325.48429/4272305.71982*100)</f>
        <v>0.9204744900993848</v>
      </c>
      <c r="F53" s="50">
        <f>IF(OR(3438760.41277="",31500.52729="",42536.47321=""),"-",(42536.47321-31500.52729)/3438760.41277*100)</f>
        <v>0.320928026245082</v>
      </c>
      <c r="G53" s="50">
        <f>IF(OR(4177554.78501="",39325.48429="",42536.47321=""),"-",(39325.48429-42536.47321)/4177554.78501*100)</f>
        <v>-0.07686287996800764</v>
      </c>
    </row>
    <row r="54" spans="1:7" s="9" customFormat="1" ht="15.75">
      <c r="A54" s="34" t="s">
        <v>30</v>
      </c>
      <c r="B54" s="35">
        <f>IF(49273.71597="","-",49273.71597)</f>
        <v>49273.71597</v>
      </c>
      <c r="C54" s="35">
        <f>IF(OR(49058.27484="",49273.71597=""),"-",49273.71597/49058.27484*100)</f>
        <v>100.43915349796266</v>
      </c>
      <c r="D54" s="35">
        <f>IF(49058.27484="","-",49058.27484/4177554.78501*100)</f>
        <v>1.1743298978635073</v>
      </c>
      <c r="E54" s="35">
        <f>IF(49273.71597="","-",49273.71597/4272305.71982*100)</f>
        <v>1.153328417987746</v>
      </c>
      <c r="F54" s="50">
        <f>IF(OR(3438760.41277="",40414.12248="",49058.27484=""),"-",(49058.27484-40414.12248)/3438760.41277*100)</f>
        <v>0.2513740802615829</v>
      </c>
      <c r="G54" s="50">
        <f>IF(OR(4177554.78501="",49273.71597="",49058.27484=""),"-",(49273.71597-49058.27484)/4177554.78501*100)</f>
        <v>0.0051571108240890135</v>
      </c>
    </row>
    <row r="55" spans="1:7" s="9" customFormat="1" ht="15.75">
      <c r="A55" s="34" t="s">
        <v>273</v>
      </c>
      <c r="B55" s="35">
        <f>IF(68464.32951="","-",68464.32951)</f>
        <v>68464.32951</v>
      </c>
      <c r="C55" s="35">
        <f>IF(OR(63839.86499="",68464.32951=""),"-",68464.32951/63839.86499*100)</f>
        <v>107.24385072043052</v>
      </c>
      <c r="D55" s="35">
        <f>IF(63839.86499="","-",63839.86499/4177554.78501*100)</f>
        <v>1.5281634419031846</v>
      </c>
      <c r="E55" s="35">
        <f>IF(68464.32951="","-",68464.32951/4272305.71982*100)</f>
        <v>1.6025147543253182</v>
      </c>
      <c r="F55" s="50">
        <f>IF(OR(3438760.41277="",50034.163="",63839.86499=""),"-",(63839.86499-50034.163)/3438760.41277*100)</f>
        <v>0.40147321513682294</v>
      </c>
      <c r="G55" s="50">
        <f>IF(OR(4177554.78501="",68464.32951="",63839.86499=""),"-",(68464.32951-63839.86499)/4177554.78501*100)</f>
        <v>0.11069787849565985</v>
      </c>
    </row>
    <row r="56" spans="1:7" s="9" customFormat="1" ht="25.5">
      <c r="A56" s="34" t="s">
        <v>274</v>
      </c>
      <c r="B56" s="35">
        <f>IF(78177.48049="","-",78177.48049)</f>
        <v>78177.48049</v>
      </c>
      <c r="C56" s="35">
        <f>IF(OR(73024.71452="",78177.48049=""),"-",78177.48049/73024.71452*100)</f>
        <v>107.05619461009843</v>
      </c>
      <c r="D56" s="35">
        <f>IF(73024.71452="","-",73024.71452/4177554.78501*100)</f>
        <v>1.7480252989626608</v>
      </c>
      <c r="E56" s="35">
        <f>IF(78177.48049="","-",78177.48049/4272305.71982*100)</f>
        <v>1.8298662506131176</v>
      </c>
      <c r="F56" s="50">
        <f>IF(OR(3438760.41277="",63153.02721="",73024.71452=""),"-",(73024.71452-63153.02721)/3438760.41277*100)</f>
        <v>0.2870710990315294</v>
      </c>
      <c r="G56" s="50">
        <f>IF(OR(4177554.78501="",78177.48049="",73024.71452=""),"-",(78177.48049-73024.71452)/4177554.78501*100)</f>
        <v>0.1233440669285603</v>
      </c>
    </row>
    <row r="57" spans="1:7" s="9" customFormat="1" ht="25.5">
      <c r="A57" s="34" t="s">
        <v>275</v>
      </c>
      <c r="B57" s="35">
        <f>IF(203342.5142="","-",203342.5142)</f>
        <v>203342.5142</v>
      </c>
      <c r="C57" s="35">
        <f>IF(OR(222010.97085="",203342.5142=""),"-",203342.5142/222010.97085*100)</f>
        <v>91.59120084087502</v>
      </c>
      <c r="D57" s="35">
        <f>IF(222010.97085="","-",222010.97085/4177554.78501*100)</f>
        <v>5.314376047122709</v>
      </c>
      <c r="E57" s="35">
        <f>IF(203342.5142="","-",203342.5142/4272305.71982*100)</f>
        <v>4.759549703024698</v>
      </c>
      <c r="F57" s="50">
        <f>IF(OR(3438760.41277="",203077.72397="",222010.97085=""),"-",(222010.97085-203077.72397)/3438760.41277*100)</f>
        <v>0.550583483795222</v>
      </c>
      <c r="G57" s="50">
        <f>IF(OR(4177554.78501="",203342.5142="",222010.97085=""),"-",(203342.5142-222010.97085)/4177554.78501*100)</f>
        <v>-0.44687520836319367</v>
      </c>
    </row>
    <row r="58" spans="1:7" s="9" customFormat="1" ht="14.25" customHeight="1">
      <c r="A58" s="34" t="s">
        <v>31</v>
      </c>
      <c r="B58" s="35">
        <f>IF(97382.476="","-",97382.476)</f>
        <v>97382.476</v>
      </c>
      <c r="C58" s="35">
        <f>IF(OR(93352.13601="",97382.476=""),"-",97382.476/93352.13601*100)</f>
        <v>104.31735165606521</v>
      </c>
      <c r="D58" s="35">
        <f>IF(93352.13601="","-",93352.13601/4177554.78501*100)</f>
        <v>2.2346118917451023</v>
      </c>
      <c r="E58" s="35">
        <f>IF(97382.476="","-",97382.476/4272305.71982*100)</f>
        <v>2.2793892194611693</v>
      </c>
      <c r="F58" s="50">
        <f>IF(OR(3438760.41277="",87217.61="",93352.13601=""),"-",(93352.13601-87217.61)/3438760.41277*100)</f>
        <v>0.1783935277147878</v>
      </c>
      <c r="G58" s="50">
        <f>IF(OR(4177554.78501="",97382.476="",93352.13601=""),"-",(97382.476-93352.13601)/4177554.78501*100)</f>
        <v>0.09647605351488754</v>
      </c>
    </row>
    <row r="59" spans="1:7" s="9" customFormat="1" ht="15" customHeight="1">
      <c r="A59" s="34" t="s">
        <v>276</v>
      </c>
      <c r="B59" s="35">
        <f>IF(106079.13615="","-",106079.13615)</f>
        <v>106079.13615</v>
      </c>
      <c r="C59" s="35">
        <f>IF(OR(104046.50816="",106079.13615=""),"-",106079.13615/104046.50816*100)</f>
        <v>101.95357636305707</v>
      </c>
      <c r="D59" s="35">
        <f>IF(104046.50816="","-",104046.50816/4177554.78501*100)</f>
        <v>2.490607867869073</v>
      </c>
      <c r="E59" s="35">
        <f>IF(106079.13615="","-",106079.13615/4272305.71982*100)</f>
        <v>2.482948157428895</v>
      </c>
      <c r="F59" s="50">
        <f>IF(OR(3438760.41277="",82123.82634="",104046.50816=""),"-",(104046.50816-82123.82634)/3438760.41277*100)</f>
        <v>0.6375169883481582</v>
      </c>
      <c r="G59" s="50">
        <f>IF(OR(4177554.78501="",106079.13615="",104046.50816=""),"-",(106079.13615-104046.50816)/4177554.78501*100)</f>
        <v>0.04865592660312993</v>
      </c>
    </row>
    <row r="60" spans="1:7" s="9" customFormat="1" ht="15.75">
      <c r="A60" s="34" t="s">
        <v>32</v>
      </c>
      <c r="B60" s="35">
        <f>IF(70963.87231="","-",70963.87231)</f>
        <v>70963.87231</v>
      </c>
      <c r="C60" s="35">
        <f>IF(OR(78567.80885="",70963.87231=""),"-",70963.87231/78567.80885*100)</f>
        <v>90.32181671946933</v>
      </c>
      <c r="D60" s="35">
        <f>IF(78567.80885="","-",78567.80885/4177554.78501*100)</f>
        <v>1.8807128306711582</v>
      </c>
      <c r="E60" s="35">
        <f>IF(70963.87231="","-",70963.87231/4272305.71982*100)</f>
        <v>1.6610204644481725</v>
      </c>
      <c r="F60" s="50">
        <f>IF(OR(3438760.41277="",59298.62544="",78567.80885=""),"-",(78567.80885-59298.62544)/3438760.41277*100)</f>
        <v>0.5603526008512536</v>
      </c>
      <c r="G60" s="50">
        <f>IF(OR(4177554.78501="",70963.87231="",78567.80885=""),"-",(70963.87231-78567.80885)/4177554.78501*100)</f>
        <v>-0.18201883473281114</v>
      </c>
    </row>
    <row r="61" spans="1:7" s="9" customFormat="1" ht="15" customHeight="1">
      <c r="A61" s="34" t="s">
        <v>33</v>
      </c>
      <c r="B61" s="35">
        <f>IF(128419.79573="","-",128419.79573)</f>
        <v>128419.79573</v>
      </c>
      <c r="C61" s="35">
        <f>IF(OR(123067.43019="",128419.79573=""),"-",128419.79573/123067.43019*100)</f>
        <v>104.3491324485582</v>
      </c>
      <c r="D61" s="35">
        <f>IF(123067.43019="","-",123067.43019/4177554.78501*100)</f>
        <v>2.9459201979012564</v>
      </c>
      <c r="E61" s="35">
        <f>IF(128419.79573="","-",128419.79573/4272305.71982*100)</f>
        <v>3.005866250026006</v>
      </c>
      <c r="F61" s="50">
        <f>IF(OR(3438760.41277="",99847.05428="",123067.43019=""),"-",(123067.43019-99847.05428)/3438760.41277*100)</f>
        <v>0.6752542521941929</v>
      </c>
      <c r="G61" s="50">
        <f>IF(OR(4177554.78501="",128419.79573="",123067.43019=""),"-",(128419.79573-123067.43019)/4177554.78501*100)</f>
        <v>0.12812197123555344</v>
      </c>
    </row>
    <row r="62" spans="1:7" s="9" customFormat="1" ht="15.75">
      <c r="A62" s="45" t="s">
        <v>277</v>
      </c>
      <c r="B62" s="33">
        <f>IF(1035858.18498="","-",1035858.18498)</f>
        <v>1035858.18498</v>
      </c>
      <c r="C62" s="33">
        <f>IF(1001267.82541="","-",1035858.18498/1001267.82541*100)</f>
        <v>103.45465605626904</v>
      </c>
      <c r="D62" s="33">
        <f>IF(1001267.82541="","-",1001267.82541/4177554.78501*100)</f>
        <v>23.967796400965767</v>
      </c>
      <c r="E62" s="33">
        <f>IF(1035858.18498="","-",1035858.18498/4272305.71982*100)</f>
        <v>24.245881566351073</v>
      </c>
      <c r="F62" s="49">
        <f>IF(3438760.41277="","-",(1001267.82541-752749.85573)/3438760.41277*100)</f>
        <v>7.22696378488937</v>
      </c>
      <c r="G62" s="49">
        <f>IF(4177554.78501="","-",(1035858.18498-1001267.82541)/4177554.78501*100)</f>
        <v>0.8280049299201989</v>
      </c>
    </row>
    <row r="63" spans="1:7" s="9" customFormat="1" ht="25.5">
      <c r="A63" s="34" t="s">
        <v>278</v>
      </c>
      <c r="B63" s="35">
        <f>IF(15416.9422699999="","-",15416.9422699999)</f>
        <v>15416.9422699999</v>
      </c>
      <c r="C63" s="35">
        <f>IF(OR(18774.34788="",15416.9422699999=""),"-",15416.9422699999/18774.34788*100)</f>
        <v>82.11705870446403</v>
      </c>
      <c r="D63" s="35">
        <f>IF(18774.34788="","-",18774.34788/4177554.78501*100)</f>
        <v>0.4494099741639907</v>
      </c>
      <c r="E63" s="35">
        <f>IF(15416.9422699999="","-",15416.9422699999/4272305.71982*100)</f>
        <v>0.36085765581985185</v>
      </c>
      <c r="F63" s="50">
        <f>IF(OR(3438760.41277="",11290.03475="",18774.34788=""),"-",(18774.34788-11290.03475)/3438760.41277*100)</f>
        <v>0.21764566970721919</v>
      </c>
      <c r="G63" s="50">
        <f>IF(OR(4177554.78501="",15416.9422699999="",18774.34788=""),"-",(15416.9422699999-18774.34788)/4177554.78501*100)</f>
        <v>-0.08036772185602982</v>
      </c>
    </row>
    <row r="64" spans="1:7" s="9" customFormat="1" ht="25.5">
      <c r="A64" s="34" t="s">
        <v>299</v>
      </c>
      <c r="B64" s="35">
        <f>IF(151726.1914="","-",151726.1914)</f>
        <v>151726.1914</v>
      </c>
      <c r="C64" s="35">
        <f>IF(OR(164924.47474="",151726.1914=""),"-",151726.1914/164924.47474*100)</f>
        <v>91.99737736875815</v>
      </c>
      <c r="D64" s="35">
        <f>IF(164924.47474="","-",164924.47474/4177554.78501*100)</f>
        <v>3.947871020908831</v>
      </c>
      <c r="E64" s="35">
        <f>IF(151726.1914="","-",151726.1914/4272305.71982*100)</f>
        <v>3.551388906840508</v>
      </c>
      <c r="F64" s="50">
        <f>IF(OR(3438760.41277="",116869.84099="",164924.47474=""),"-",(164924.47474-116869.84099)/3438760.41277*100)</f>
        <v>1.3974405885198298</v>
      </c>
      <c r="G64" s="50">
        <f>IF(OR(4177554.78501="",151726.1914="",164924.47474=""),"-",(151726.1914-164924.47474)/4177554.78501*100)</f>
        <v>-0.3159332197714889</v>
      </c>
    </row>
    <row r="65" spans="1:7" s="9" customFormat="1" ht="25.5">
      <c r="A65" s="34" t="s">
        <v>280</v>
      </c>
      <c r="B65" s="35">
        <f>IF(8192.83164="","-",8192.83164)</f>
        <v>8192.83164</v>
      </c>
      <c r="C65" s="35">
        <f>IF(OR(10320.90675="",8192.83164=""),"-",8192.83164/10320.90675*100)</f>
        <v>79.38092881228677</v>
      </c>
      <c r="D65" s="35">
        <f>IF(10320.90675="","-",10320.90675/4177554.78501*100)</f>
        <v>0.2470561675704103</v>
      </c>
      <c r="E65" s="35">
        <f>IF(8192.83164="","-",8192.83164/4272305.71982*100)</f>
        <v>0.19176604338008793</v>
      </c>
      <c r="F65" s="50">
        <f>IF(OR(3438760.41277="",7340.29977="",10320.90675=""),"-",(10320.90675-7340.29977)/3438760.41277*100)</f>
        <v>0.08667678530122003</v>
      </c>
      <c r="G65" s="50">
        <f>IF(OR(4177554.78501="",8192.83164="",10320.90675=""),"-",(8192.83164-10320.90675)/4177554.78501*100)</f>
        <v>-0.05094068706497898</v>
      </c>
    </row>
    <row r="66" spans="1:7" s="9" customFormat="1" ht="38.25">
      <c r="A66" s="34" t="s">
        <v>281</v>
      </c>
      <c r="B66" s="35">
        <f>IF(144114.59734="","-",144114.59734)</f>
        <v>144114.59734</v>
      </c>
      <c r="C66" s="35">
        <f>IF(OR(130568.6206="",144114.59734=""),"-",144114.59734/130568.6206*100)</f>
        <v>110.37460354390846</v>
      </c>
      <c r="D66" s="35">
        <f>IF(130568.6206="","-",130568.6206/4177554.78501*100)</f>
        <v>3.1254795525006482</v>
      </c>
      <c r="E66" s="35">
        <f>IF(144114.59734="","-",144114.59734/4272305.71982*100)</f>
        <v>3.3732276384488653</v>
      </c>
      <c r="F66" s="50">
        <f>IF(OR(3438760.41277="",108928.53149="",130568.6206=""),"-",(130568.6206-108928.53149)/3438760.41277*100)</f>
        <v>0.6292991227198762</v>
      </c>
      <c r="G66" s="50">
        <f>IF(OR(4177554.78501="",144114.59734="",130568.6206=""),"-",(144114.59734-130568.6206)/4177554.78501*100)</f>
        <v>0.3242561124178671</v>
      </c>
    </row>
    <row r="67" spans="1:7" s="9" customFormat="1" ht="25.5">
      <c r="A67" s="34" t="s">
        <v>282</v>
      </c>
      <c r="B67" s="35">
        <f>IF(32573.17972="","-",32573.17972)</f>
        <v>32573.17972</v>
      </c>
      <c r="C67" s="35">
        <f>IF(OR(39458.88355="",32573.17972=""),"-",32573.17972/39458.88355*100)</f>
        <v>82.5496739630891</v>
      </c>
      <c r="D67" s="35">
        <f>IF(39458.88355="","-",39458.88355/4177554.78501*100)</f>
        <v>0.944544969023202</v>
      </c>
      <c r="E67" s="35">
        <f>IF(32573.17972="","-",32573.17972/4272305.71982*100)</f>
        <v>0.7624262367013466</v>
      </c>
      <c r="F67" s="50">
        <f>IF(OR(3438760.41277="",31412.102="",39458.88355=""),"-",(39458.88355-31412.102)/3438760.41277*100)</f>
        <v>0.23400238993440467</v>
      </c>
      <c r="G67" s="50">
        <f>IF(OR(4177554.78501="",32573.17972="",39458.88355=""),"-",(32573.17972-39458.88355)/4177554.78501*100)</f>
        <v>-0.16482617665978772</v>
      </c>
    </row>
    <row r="68" spans="1:7" s="9" customFormat="1" ht="39" customHeight="1">
      <c r="A68" s="34" t="s">
        <v>283</v>
      </c>
      <c r="B68" s="35">
        <f>IF(116787.4954="","-",116787.4954)</f>
        <v>116787.4954</v>
      </c>
      <c r="C68" s="35">
        <f>IF(OR(103880.00731="",116787.4954=""),"-",116787.4954/103880.00731*100)</f>
        <v>112.42538234665436</v>
      </c>
      <c r="D68" s="35">
        <f>IF(103880.00731="","-",103880.00731/4177554.78501*100)</f>
        <v>2.4866222624475127</v>
      </c>
      <c r="E68" s="35">
        <f>IF(116787.4954="","-",116787.4954/4272305.71982*100)</f>
        <v>2.7335940604203874</v>
      </c>
      <c r="F68" s="50">
        <f>IF(OR(3438760.41277="",76124.76344="",103880.00731=""),"-",(103880.00731-76124.76344)/3438760.41277*100)</f>
        <v>0.8071293297122297</v>
      </c>
      <c r="G68" s="50">
        <f>IF(OR(4177554.78501="",116787.4954="",103880.00731=""),"-",(116787.4954-103880.00731)/4177554.78501*100)</f>
        <v>0.30897232362613053</v>
      </c>
    </row>
    <row r="69" spans="1:7" s="9" customFormat="1" ht="38.25" customHeight="1">
      <c r="A69" s="34" t="s">
        <v>284</v>
      </c>
      <c r="B69" s="35">
        <f>IF(320829.67495="","-",320829.67495)</f>
        <v>320829.67495</v>
      </c>
      <c r="C69" s="35">
        <f>IF(OR(311623.38335="",320829.67495=""),"-",320829.67495/311623.38335*100)</f>
        <v>102.95430063720859</v>
      </c>
      <c r="D69" s="35">
        <f>IF(311623.38335="","-",311623.38335/4177554.78501*100)</f>
        <v>7.459468502200721</v>
      </c>
      <c r="E69" s="35">
        <f>IF(320829.67495="","-",320829.67495/4272305.71982*100)</f>
        <v>7.509520525687406</v>
      </c>
      <c r="F69" s="50">
        <f>IF(OR(3438760.41277="",221143.24139="",311623.38335=""),"-",(311623.38335-221143.24139)/3438760.41277*100)</f>
        <v>2.6311848195064043</v>
      </c>
      <c r="G69" s="50">
        <f>IF(OR(4177554.78501="",320829.67495="",311623.38335=""),"-",(320829.67495-311623.38335)/4177554.78501*100)</f>
        <v>0.22037512549288948</v>
      </c>
    </row>
    <row r="70" spans="1:7" s="9" customFormat="1" ht="25.5">
      <c r="A70" s="34" t="s">
        <v>285</v>
      </c>
      <c r="B70" s="35">
        <f>IF(240136.00562="","-",240136.00562)</f>
        <v>240136.00562</v>
      </c>
      <c r="C70" s="35">
        <f>IF(OR(218506.16343="",240136.00562=""),"-",240136.00562/218506.16343*100)</f>
        <v>109.89896204778191</v>
      </c>
      <c r="D70" s="35">
        <f>IF(218506.16343="","-",218506.16343/4177554.78501*100)</f>
        <v>5.230479902119989</v>
      </c>
      <c r="E70" s="35">
        <f>IF(240136.00562="","-",240136.00562/4272305.71982*100)</f>
        <v>5.620758938340146</v>
      </c>
      <c r="F70" s="50">
        <f>IF(OR(3438760.41277="",177735.10105="",218506.16343=""),"-",(218506.16343-177735.10105)/3438760.41277*100)</f>
        <v>1.1856325386495294</v>
      </c>
      <c r="G70" s="50">
        <f>IF(OR(4177554.78501="",240136.00562="",218506.16343=""),"-",(240136.00562-218506.16343)/4177554.78501*100)</f>
        <v>0.5177632204277184</v>
      </c>
    </row>
    <row r="71" spans="1:7" s="9" customFormat="1" ht="15.75">
      <c r="A71" s="34" t="s">
        <v>34</v>
      </c>
      <c r="B71" s="35">
        <f>IF(6081.26664="","-",6081.26664)</f>
        <v>6081.26664</v>
      </c>
      <c r="C71" s="35" t="s">
        <v>178</v>
      </c>
      <c r="D71" s="35">
        <f>IF(3211.0378="","-",3211.0378/4177554.78501*100)</f>
        <v>0.0768640500304609</v>
      </c>
      <c r="E71" s="35">
        <f>IF(6081.26664="","-",6081.26664/4272305.71982*100)</f>
        <v>0.142341560712472</v>
      </c>
      <c r="F71" s="50">
        <f>IF(OR(3438760.41277="",1905.94085="",3211.0378=""),"-",(3211.0378-1905.94085)/3438760.41277*100)</f>
        <v>0.03795254083865397</v>
      </c>
      <c r="G71" s="50">
        <f>IF(OR(4177554.78501="",6081.26664="",3211.0378=""),"-",(6081.26664-3211.0378)/4177554.78501*100)</f>
        <v>0.06870595330787814</v>
      </c>
    </row>
    <row r="72" spans="1:7" s="9" customFormat="1" ht="15.75">
      <c r="A72" s="45" t="s">
        <v>35</v>
      </c>
      <c r="B72" s="33">
        <f>IF(462485.8414="","-",462485.8414)</f>
        <v>462485.8414</v>
      </c>
      <c r="C72" s="33">
        <f>IF(422580.00067="","-",462485.8414/422580.00067*100)</f>
        <v>109.44338129270892</v>
      </c>
      <c r="D72" s="33">
        <f>IF(422580.00067="","-",422580.00067/4177554.78501*100)</f>
        <v>10.115486748044846</v>
      </c>
      <c r="E72" s="33">
        <f>IF(462485.8414="","-",462485.8414/4272305.71982*100)</f>
        <v>10.825204742592375</v>
      </c>
      <c r="F72" s="49">
        <f>IF(3438760.41277="","-",(422580.00067-365282.00521)/3438760.41277*100)</f>
        <v>1.6662398243047458</v>
      </c>
      <c r="G72" s="49">
        <f>IF(4177554.78501="","-",(462485.8414-422580.00067)/4177554.78501*100)</f>
        <v>0.9552439832313168</v>
      </c>
    </row>
    <row r="73" spans="1:7" s="9" customFormat="1" ht="38.25">
      <c r="A73" s="34" t="s">
        <v>286</v>
      </c>
      <c r="B73" s="35">
        <f>IF(34941.35206="","-",34941.35206)</f>
        <v>34941.35206</v>
      </c>
      <c r="C73" s="35">
        <f>IF(OR(30650.34372="",34941.35206=""),"-",34941.35206/30650.34372*100)</f>
        <v>113.99987021091715</v>
      </c>
      <c r="D73" s="35">
        <f>IF(30650.34372="","-",30650.34372/4177554.78501*100)</f>
        <v>0.7336910058003376</v>
      </c>
      <c r="E73" s="35">
        <f>IF(34941.35206="","-",34941.35206/4272305.71982*100)</f>
        <v>0.8178570156602027</v>
      </c>
      <c r="F73" s="50">
        <f>IF(OR(3438760.41277="",27284.99702="",30650.34372=""),"-",(30650.34372-27284.99702)/3438760.41277*100)</f>
        <v>0.09786511114594164</v>
      </c>
      <c r="G73" s="50">
        <f>IF(OR(4177554.78501="",34941.35206="",30650.34372=""),"-",(34941.35206-30650.34372)/4177554.78501*100)</f>
        <v>0.10271578856121992</v>
      </c>
    </row>
    <row r="74" spans="1:7" s="9" customFormat="1" ht="14.25" customHeight="1">
      <c r="A74" s="34" t="s">
        <v>300</v>
      </c>
      <c r="B74" s="35">
        <f>IF(41711.77732="","-",41711.77732)</f>
        <v>41711.77732</v>
      </c>
      <c r="C74" s="35">
        <f>IF(OR(37400.02607="",41711.77732=""),"-",41711.77732/37400.02607*100)</f>
        <v>111.52873862154505</v>
      </c>
      <c r="D74" s="35">
        <f>IF(37400.02607="","-",37400.02607/4177554.78501*100)</f>
        <v>0.8952611753698514</v>
      </c>
      <c r="E74" s="35">
        <f>IF(41711.77732="","-",41711.77732/4272305.71982*100)</f>
        <v>0.9763294121600781</v>
      </c>
      <c r="F74" s="50">
        <f>IF(OR(3438760.41277="",32743.93057="",37400.02607=""),"-",(37400.02607-32743.93057)/3438760.41277*100)</f>
        <v>0.13540040424768668</v>
      </c>
      <c r="G74" s="50">
        <f>IF(OR(4177554.78501="",41711.77732="",37400.02607=""),"-",(41711.77732-37400.02607)/4177554.78501*100)</f>
        <v>0.10321232088856208</v>
      </c>
    </row>
    <row r="75" spans="1:7" s="9" customFormat="1" ht="15.75">
      <c r="A75" s="34" t="s">
        <v>288</v>
      </c>
      <c r="B75" s="35">
        <f>IF(6994.82613="","-",6994.82613)</f>
        <v>6994.82613</v>
      </c>
      <c r="C75" s="35">
        <f>IF(OR(6350.92726="",6994.82613=""),"-",6994.82613/6350.92726*100)</f>
        <v>110.13865918533602</v>
      </c>
      <c r="D75" s="35">
        <f>IF(6350.92726="","-",6350.92726/4177554.78501*100)</f>
        <v>0.15202499037926556</v>
      </c>
      <c r="E75" s="35">
        <f>IF(6994.82613="","-",6994.82613/4272305.71982*100)</f>
        <v>0.16372484996918021</v>
      </c>
      <c r="F75" s="50">
        <f>IF(OR(3438760.41277="",11279.39917="",6350.92726=""),"-",(6350.92726-11279.39917)/3438760.41277*100)</f>
        <v>-0.14332117735501101</v>
      </c>
      <c r="G75" s="50">
        <f>IF(OR(4177554.78501="",6994.82613="",6350.92726=""),"-",(6994.82613-6350.92726)/4177554.78501*100)</f>
        <v>0.015413295651093626</v>
      </c>
    </row>
    <row r="76" spans="1:7" s="9" customFormat="1" ht="15.75">
      <c r="A76" s="34" t="s">
        <v>289</v>
      </c>
      <c r="B76" s="35">
        <f>IF(106141.49024="","-",106141.49024)</f>
        <v>106141.49024</v>
      </c>
      <c r="C76" s="35">
        <f>IF(OR(107018.67744="",106141.49024=""),"-",106141.49024/107018.67744*100)</f>
        <v>99.18034195433614</v>
      </c>
      <c r="D76" s="35">
        <f>IF(107018.67744="","-",107018.67744/4177554.78501*100)</f>
        <v>2.561754015147974</v>
      </c>
      <c r="E76" s="35">
        <f>IF(106141.49024="","-",106141.49024/4272305.71982*100)</f>
        <v>2.4844076524671537</v>
      </c>
      <c r="F76" s="50">
        <f>IF(OR(3438760.41277="",93997.63102="",107018.67744=""),"-",(107018.67744-93997.63102)/3438760.41277*100)</f>
        <v>0.378655237848084</v>
      </c>
      <c r="G76" s="50">
        <f>IF(OR(4177554.78501="",106141.49024="",107018.67744=""),"-",(106141.49024-107018.67744)/4177554.78501*100)</f>
        <v>-0.020997622895277016</v>
      </c>
    </row>
    <row r="77" spans="1:7" ht="15.75">
      <c r="A77" s="34" t="s">
        <v>301</v>
      </c>
      <c r="B77" s="35">
        <f>IF(36289.4206="","-",36289.4206)</f>
        <v>36289.4206</v>
      </c>
      <c r="C77" s="35">
        <f>IF(OR(31260.59="",36289.4206=""),"-",36289.4206/31260.59*100)</f>
        <v>116.08680642303935</v>
      </c>
      <c r="D77" s="35">
        <f>IF(31260.59="","-",31260.59/4177554.78501*100)</f>
        <v>0.7482987443317316</v>
      </c>
      <c r="E77" s="35">
        <f>IF(36289.4206="","-",36289.4206/4272305.71982*100)</f>
        <v>0.8494106690831325</v>
      </c>
      <c r="F77" s="50">
        <f>IF(OR(3438760.41277="",31032.88818="",31260.59=""),"-",(31260.59-31032.88818)/3438760.41277*100)</f>
        <v>0.006621625023785225</v>
      </c>
      <c r="G77" s="50">
        <f>IF(OR(4177554.78501="",36289.4206="",31260.59=""),"-",(36289.4206-31260.59)/4177554.78501*100)</f>
        <v>0.12037737046667982</v>
      </c>
    </row>
    <row r="78" spans="1:7" ht="25.5">
      <c r="A78" s="34" t="s">
        <v>291</v>
      </c>
      <c r="B78" s="35">
        <f>IF(47545.4994799999="","-",47545.4994799999)</f>
        <v>47545.4994799999</v>
      </c>
      <c r="C78" s="35">
        <f>IF(OR(42064.45475="",47545.4994799999=""),"-",47545.4994799999/42064.45475*100)</f>
        <v>113.03011001230176</v>
      </c>
      <c r="D78" s="35">
        <f>IF(42064.45475="","-",42064.45475/4177554.78501*100)</f>
        <v>1.0069156938632295</v>
      </c>
      <c r="E78" s="35">
        <f>IF(47545.4994799999="","-",47545.4994799999/4272305.71982*100)</f>
        <v>1.1128768069997357</v>
      </c>
      <c r="F78" s="50">
        <f>IF(OR(3438760.41277="",34242.52556="",42064.45475=""),"-",(42064.45475-34242.52556)/3438760.41277*100)</f>
        <v>0.22746362790943184</v>
      </c>
      <c r="G78" s="50">
        <f>IF(OR(4177554.78501="",47545.4994799999="",42064.45475=""),"-",(47545.4994799999-42064.45475)/4177554.78501*100)</f>
        <v>0.1312022226415106</v>
      </c>
    </row>
    <row r="79" spans="1:7" ht="25.5">
      <c r="A79" s="34" t="s">
        <v>292</v>
      </c>
      <c r="B79" s="35">
        <f>IF(8646.21059="","-",8646.21059)</f>
        <v>8646.21059</v>
      </c>
      <c r="C79" s="35">
        <f>IF(OR(9022.4307="",8646.21059=""),"-",8646.21059/9022.4307*100)</f>
        <v>95.83016902529381</v>
      </c>
      <c r="D79" s="35">
        <f>IF(9022.4307="","-",9022.4307/4177554.78501*100)</f>
        <v>0.21597396477897784</v>
      </c>
      <c r="E79" s="35">
        <f>IF(8646.21059="","-",8646.21059/4272305.71982*100)</f>
        <v>0.20237808708044144</v>
      </c>
      <c r="F79" s="50">
        <f>IF(OR(3438760.41277="",7426.92287="",9022.4307=""),"-",(9022.4307-7426.92287)/3438760.41277*100)</f>
        <v>0.04639776077667425</v>
      </c>
      <c r="G79" s="50">
        <f>IF(OR(4177554.78501="",8646.21059="",9022.4307=""),"-",(8646.21059-9022.4307)/4177554.78501*100)</f>
        <v>-0.009005749280654847</v>
      </c>
    </row>
    <row r="80" spans="1:7" ht="15.75">
      <c r="A80" s="34" t="s">
        <v>36</v>
      </c>
      <c r="B80" s="35">
        <f>IF(180215.26498="","-",180215.26498)</f>
        <v>180215.26498</v>
      </c>
      <c r="C80" s="35">
        <f>IF(OR(158812.55073="",180215.26498=""),"-",180215.26498/158812.55073*100)</f>
        <v>113.47671462464398</v>
      </c>
      <c r="D80" s="35">
        <f>IF(158812.55073="","-",158812.55073/4177554.78501*100)</f>
        <v>3.8015671583734796</v>
      </c>
      <c r="E80" s="35">
        <f>IF(180215.26498="","-",180215.26498/4272305.71982*100)</f>
        <v>4.2182202491724485</v>
      </c>
      <c r="F80" s="50">
        <f>IF(OR(3438760.41277="",127273.71082="",158812.55073=""),"-",(158812.55073-127273.71082)/3438760.41277*100)</f>
        <v>0.9171572347081529</v>
      </c>
      <c r="G80" s="50">
        <f>IF(OR(4177554.78501="",180215.26498="",158812.55073=""),"-",(180215.26498-158812.55073)/4177554.78501*100)</f>
        <v>0.5123263571981806</v>
      </c>
    </row>
    <row r="81" spans="1:7" ht="25.5">
      <c r="A81" s="46" t="s">
        <v>293</v>
      </c>
      <c r="B81" s="47">
        <f>IF(145.19009="","-",145.19009)</f>
        <v>145.19009</v>
      </c>
      <c r="C81" s="47">
        <f>IF(308.39341="","-",145.19009/308.39341*100)</f>
        <v>47.07950471444898</v>
      </c>
      <c r="D81" s="47">
        <f>IF(308.39341="","-",308.39341/4177554.78501*100)</f>
        <v>0.007382151183428748</v>
      </c>
      <c r="E81" s="47">
        <f>IF(145.19009="","-",145.19009/4272305.71982*100)</f>
        <v>0.0033984012269168114</v>
      </c>
      <c r="F81" s="51">
        <f>IF(3438760.41277="","-",(308.39341-657.81722)/3438760.41277*100)</f>
        <v>-0.010161330481251271</v>
      </c>
      <c r="G81" s="51">
        <f>IF(4177554.78501="","-",(145.19009-308.39341)/4177554.78501*100)</f>
        <v>-0.003906670968998659</v>
      </c>
    </row>
    <row r="82" spans="1:7" ht="15.75">
      <c r="A82" s="38" t="s">
        <v>21</v>
      </c>
      <c r="B82" s="12"/>
      <c r="C82" s="12"/>
      <c r="D82" s="12"/>
      <c r="E82" s="12"/>
      <c r="F82" s="12"/>
      <c r="G82" s="12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42.125" style="0" customWidth="1"/>
    <col min="2" max="2" width="13.50390625" style="0" customWidth="1"/>
    <col min="3" max="3" width="13.375" style="0" customWidth="1"/>
    <col min="4" max="4" width="17.375" style="0" customWidth="1"/>
    <col min="6" max="6" width="12.125" style="0" bestFit="1" customWidth="1"/>
  </cols>
  <sheetData>
    <row r="1" spans="1:4" ht="15.75">
      <c r="A1" s="77" t="s">
        <v>130</v>
      </c>
      <c r="B1" s="77"/>
      <c r="C1" s="77"/>
      <c r="D1" s="77"/>
    </row>
    <row r="2" spans="1:4" ht="15.75">
      <c r="A2" s="77" t="s">
        <v>23</v>
      </c>
      <c r="B2" s="77"/>
      <c r="C2" s="77"/>
      <c r="D2" s="77"/>
    </row>
    <row r="3" ht="15.75">
      <c r="A3" s="5"/>
    </row>
    <row r="4" spans="1:5" ht="21" customHeight="1">
      <c r="A4" s="78"/>
      <c r="B4" s="76" t="s">
        <v>200</v>
      </c>
      <c r="C4" s="76"/>
      <c r="D4" s="80" t="s">
        <v>202</v>
      </c>
      <c r="E4" s="1"/>
    </row>
    <row r="5" spans="1:5" ht="36.75" customHeight="1">
      <c r="A5" s="79"/>
      <c r="B5" s="19">
        <v>2018</v>
      </c>
      <c r="C5" s="18">
        <v>2019</v>
      </c>
      <c r="D5" s="81"/>
      <c r="E5" s="1"/>
    </row>
    <row r="6" spans="1:6" ht="14.25" customHeight="1">
      <c r="A6" s="30" t="s">
        <v>152</v>
      </c>
      <c r="B6" s="31">
        <f>IF(-2218018.57618="","-",-2218018.57618)</f>
        <v>-2218018.57618</v>
      </c>
      <c r="C6" s="31">
        <f>IF(-2246057.99733="","-",-2246057.99733)</f>
        <v>-2246057.99733</v>
      </c>
      <c r="D6" s="48">
        <f>IF(-2218018.57618="","-",-2246057.99733/-2218018.57618*100)</f>
        <v>101.26416529830382</v>
      </c>
      <c r="F6" s="16"/>
    </row>
    <row r="7" spans="1:6" ht="14.25" customHeight="1">
      <c r="A7" s="39" t="s">
        <v>150</v>
      </c>
      <c r="B7" s="27"/>
      <c r="C7" s="27"/>
      <c r="D7" s="28"/>
      <c r="F7" s="16"/>
    </row>
    <row r="8" spans="1:6" ht="14.25" customHeight="1">
      <c r="A8" s="45" t="s">
        <v>237</v>
      </c>
      <c r="B8" s="33">
        <f>IF(27886.07416="","-",27886.07416)</f>
        <v>27886.07416</v>
      </c>
      <c r="C8" s="33">
        <f>IF(20281.33027="","-",20281.33027)</f>
        <v>20281.33027</v>
      </c>
      <c r="D8" s="49">
        <f>IF(27886.07416="","-",20281.33027/27886.07416*100)</f>
        <v>72.7292416768069</v>
      </c>
      <c r="F8" s="16"/>
    </row>
    <row r="9" spans="1:4" ht="15.75">
      <c r="A9" s="34" t="s">
        <v>24</v>
      </c>
      <c r="B9" s="35">
        <f>IF(OR(6374.10488="",6374.10488=0),"-",6374.10488)</f>
        <v>6374.10488</v>
      </c>
      <c r="C9" s="35">
        <f>IF(OR(4041.5796="",4041.5796=0),"-",4041.5796)</f>
        <v>4041.5796</v>
      </c>
      <c r="D9" s="50">
        <f>IF(OR(6374.10488="",4041.5796="",6374.10488=0,4041.5796=0),"-",4041.5796/6374.10488*100)</f>
        <v>63.40622998973936</v>
      </c>
    </row>
    <row r="10" spans="1:4" ht="15.75">
      <c r="A10" s="34" t="s">
        <v>238</v>
      </c>
      <c r="B10" s="35">
        <f>IF(OR(-25124.71177="",-25124.71177=0),"-",-25124.71177)</f>
        <v>-25124.71177</v>
      </c>
      <c r="C10" s="35">
        <f>IF(OR(-29789.32295="",-29789.32295=0),"-",-29789.32295)</f>
        <v>-29789.32295</v>
      </c>
      <c r="D10" s="50">
        <f>IF(OR(-25124.71177="",-29789.32295="",-25124.71177=0,-29789.32295=0),"-",-29789.32295/-25124.71177*100)</f>
        <v>118.56582962105757</v>
      </c>
    </row>
    <row r="11" spans="1:4" ht="15.75">
      <c r="A11" s="34" t="s">
        <v>239</v>
      </c>
      <c r="B11" s="35">
        <f>IF(OR(-24983.26176="",-24983.26176=0),"-",-24983.26176)</f>
        <v>-24983.26176</v>
      </c>
      <c r="C11" s="35">
        <f>IF(OR(-34389.02152="",-34389.02152=0),"-",-34389.02152)</f>
        <v>-34389.02152</v>
      </c>
      <c r="D11" s="50">
        <f>IF(OR(-24983.26176="",-34389.02152="",-24983.26176=0,-34389.02152=0),"-",-34389.02152/-24983.26176*100)</f>
        <v>137.648245654854</v>
      </c>
    </row>
    <row r="12" spans="1:4" ht="15.75">
      <c r="A12" s="34" t="s">
        <v>240</v>
      </c>
      <c r="B12" s="35">
        <f>IF(OR(-35796.95779="",-35796.95779=0),"-",-35796.95779)</f>
        <v>-35796.95779</v>
      </c>
      <c r="C12" s="35">
        <f>IF(OR(-39884.05761="",-39884.05761=0),"-",-39884.05761)</f>
        <v>-39884.05761</v>
      </c>
      <c r="D12" s="50">
        <f>IF(OR(-35796.95779="",-39884.05761="",-35796.95779=0,-39884.05761=0),"-",-39884.05761/-35796.95779*100)</f>
        <v>111.41745017544969</v>
      </c>
    </row>
    <row r="13" spans="1:4" ht="15.75">
      <c r="A13" s="34" t="s">
        <v>241</v>
      </c>
      <c r="B13" s="35">
        <f>IF(OR(107022.09269="",107022.09269=0),"-",107022.09269)</f>
        <v>107022.09269</v>
      </c>
      <c r="C13" s="35">
        <f>IF(OR(130803.41913="",130803.41913=0),"-",130803.41913)</f>
        <v>130803.41913</v>
      </c>
      <c r="D13" s="50">
        <f>IF(OR(107022.09269="",130803.41913="",107022.09269=0,130803.41913=0),"-",130803.41913/107022.09269*100)</f>
        <v>122.22095068621479</v>
      </c>
    </row>
    <row r="14" spans="1:4" ht="15.75">
      <c r="A14" s="34" t="s">
        <v>242</v>
      </c>
      <c r="B14" s="35">
        <f>IF(OR(79877.88513="",79877.88513=0),"-",79877.88513)</f>
        <v>79877.88513</v>
      </c>
      <c r="C14" s="35">
        <f>IF(OR(79501.28696="",79501.28696=0),"-",79501.28696)</f>
        <v>79501.28696</v>
      </c>
      <c r="D14" s="50">
        <f>IF(OR(79877.88513="",79501.28696="",79877.88513=0,79501.28696=0),"-",79501.28696/79877.88513*100)</f>
        <v>99.52853262278153</v>
      </c>
    </row>
    <row r="15" spans="1:4" ht="15.75">
      <c r="A15" s="34" t="s">
        <v>243</v>
      </c>
      <c r="B15" s="35">
        <f>IF(OR(12373.08104="",12373.08104=0),"-",12373.08104)</f>
        <v>12373.08104</v>
      </c>
      <c r="C15" s="35">
        <f>IF(OR(2816.13502="",2816.13502=0),"-",2816.13502)</f>
        <v>2816.13502</v>
      </c>
      <c r="D15" s="50">
        <f>IF(OR(12373.08104="",2816.13502="",12373.08104=0,2816.13502=0),"-",2816.13502/12373.08104*100)</f>
        <v>22.760175989278096</v>
      </c>
    </row>
    <row r="16" spans="1:4" ht="15.75">
      <c r="A16" s="34" t="s">
        <v>244</v>
      </c>
      <c r="B16" s="35">
        <f>IF(OR(-28975.90989="",-28975.90989=0),"-",-28975.90989)</f>
        <v>-28975.90989</v>
      </c>
      <c r="C16" s="35">
        <f>IF(OR(-29882.58897="",-29882.58897=0),"-",-29882.58897)</f>
        <v>-29882.58897</v>
      </c>
      <c r="D16" s="50">
        <f>IF(OR(-28975.90989="",-29882.58897="",-28975.90989=0,-29882.58897=0),"-",-29882.58897/-28975.90989*100)</f>
        <v>103.12907889154124</v>
      </c>
    </row>
    <row r="17" spans="1:4" ht="15.75">
      <c r="A17" s="34" t="s">
        <v>245</v>
      </c>
      <c r="B17" s="35">
        <f>IF(OR(-13837.14422="",-13837.14422=0),"-",-13837.14422)</f>
        <v>-13837.14422</v>
      </c>
      <c r="C17" s="35">
        <f>IF(OR(-9572.15567="",-9572.15567=0),"-",-9572.15567)</f>
        <v>-9572.15567</v>
      </c>
      <c r="D17" s="50">
        <f>IF(OR(-13837.14422="",-9572.15567="",-13837.14422=0,-9572.15567=0),"-",-9572.15567/-13837.14422*100)</f>
        <v>69.17724869965978</v>
      </c>
    </row>
    <row r="18" spans="1:4" ht="15.75">
      <c r="A18" s="34" t="s">
        <v>246</v>
      </c>
      <c r="B18" s="35">
        <f>IF(OR(-49043.10415="",-49043.10415=0),"-",-49043.10415)</f>
        <v>-49043.10415</v>
      </c>
      <c r="C18" s="35">
        <f>IF(OR(-53363.94372="",-53363.94372=0),"-",-53363.94372)</f>
        <v>-53363.94372</v>
      </c>
      <c r="D18" s="50">
        <f>IF(OR(-49043.10415="",-53363.94372="",-49043.10415=0,-53363.94372=0),"-",-53363.94372/-49043.10415*100)</f>
        <v>108.81028973366891</v>
      </c>
    </row>
    <row r="19" spans="1:4" ht="15.75">
      <c r="A19" s="45" t="s">
        <v>247</v>
      </c>
      <c r="B19" s="33">
        <f>IF(74467.53617="","-",74467.53617)</f>
        <v>74467.53617</v>
      </c>
      <c r="C19" s="33">
        <f>IF(65924.33369="","-",65924.33369)</f>
        <v>65924.33369</v>
      </c>
      <c r="D19" s="49">
        <f>IF(74467.53617="","-",65924.33369/74467.53617*100)</f>
        <v>88.52761495895749</v>
      </c>
    </row>
    <row r="20" spans="1:4" ht="15.75">
      <c r="A20" s="34" t="s">
        <v>248</v>
      </c>
      <c r="B20" s="35">
        <f>IF(OR(97665.86363="",97665.86363=0),"-",97665.86363)</f>
        <v>97665.86363</v>
      </c>
      <c r="C20" s="35">
        <f>IF(OR(92358.89534="",92358.89534=0),"-",92358.89534)</f>
        <v>92358.89534</v>
      </c>
      <c r="D20" s="50">
        <f>IF(OR(97665.86363="",92358.89534="",97665.86363=0,92358.89534=0),"-",92358.89534/97665.86363*100)</f>
        <v>94.56619939377686</v>
      </c>
    </row>
    <row r="21" spans="1:4" ht="15.75">
      <c r="A21" s="34" t="s">
        <v>249</v>
      </c>
      <c r="B21" s="35">
        <f>IF(OR(-23198.32746="",-23198.32746=0),"-",-23198.32746)</f>
        <v>-23198.32746</v>
      </c>
      <c r="C21" s="35">
        <f>IF(OR(-26434.56165="",-26434.56165=0),"-",-26434.56165)</f>
        <v>-26434.56165</v>
      </c>
      <c r="D21" s="50">
        <f>IF(OR(-23198.32746="",-26434.56165="",-23198.32746=0,-26434.56165=0),"-",-26434.56165/-23198.32746*100)</f>
        <v>113.95029100947089</v>
      </c>
    </row>
    <row r="22" spans="1:4" ht="15.75">
      <c r="A22" s="45" t="s">
        <v>25</v>
      </c>
      <c r="B22" s="33">
        <f>IF(85592.78758="","-",85592.78758)</f>
        <v>85592.78758</v>
      </c>
      <c r="C22" s="33">
        <f>IF(100856.23018="","-",100856.23018)</f>
        <v>100856.23018</v>
      </c>
      <c r="D22" s="49">
        <f>IF(85592.78758="","-",100856.23018/85592.78758*100)</f>
        <v>117.83262706070168</v>
      </c>
    </row>
    <row r="23" spans="1:4" ht="15.75">
      <c r="A23" s="34" t="s">
        <v>250</v>
      </c>
      <c r="B23" s="35">
        <f>IF(OR(2270.41908="",2270.41908=0),"-",2270.41908)</f>
        <v>2270.41908</v>
      </c>
      <c r="C23" s="35">
        <f>IF(OR(1171.54379="",1171.54379=0),"-",1171.54379)</f>
        <v>1171.54379</v>
      </c>
      <c r="D23" s="50">
        <f>IF(OR(2270.41908="",1171.54379="",2270.41908=0,1171.54379=0),"-",1171.54379/2270.41908*100)</f>
        <v>51.600332305170724</v>
      </c>
    </row>
    <row r="24" spans="1:4" ht="15.75">
      <c r="A24" s="34" t="s">
        <v>251</v>
      </c>
      <c r="B24" s="35">
        <f>IF(OR(127067.75205="",127067.75205=0),"-",127067.75205)</f>
        <v>127067.75205</v>
      </c>
      <c r="C24" s="35">
        <f>IF(OR(157879.22196="",157879.22196=0),"-",157879.22196)</f>
        <v>157879.22196</v>
      </c>
      <c r="D24" s="50">
        <f>IF(OR(127067.75205="",157879.22196="",127067.75205=0,157879.22196=0),"-",157879.22196/127067.75205*100)</f>
        <v>124.24806405473828</v>
      </c>
    </row>
    <row r="25" spans="1:4" ht="15.75">
      <c r="A25" s="34" t="s">
        <v>294</v>
      </c>
      <c r="B25" s="35">
        <f>IF(OR(-694.33369="",-694.33369=0),"-",-694.33369)</f>
        <v>-694.33369</v>
      </c>
      <c r="C25" s="35">
        <f>IF(OR(-1200.84742="",-1200.84742=0),"-",-1200.84742)</f>
        <v>-1200.84742</v>
      </c>
      <c r="D25" s="50" t="s">
        <v>106</v>
      </c>
    </row>
    <row r="26" spans="1:4" ht="15.75">
      <c r="A26" s="34" t="s">
        <v>252</v>
      </c>
      <c r="B26" s="35">
        <f>IF(OR(-25413.0935="",-25413.0935=0),"-",-25413.0935)</f>
        <v>-25413.0935</v>
      </c>
      <c r="C26" s="35">
        <f>IF(OR(-28519.08814="",-28519.08814=0),"-",-28519.08814)</f>
        <v>-28519.08814</v>
      </c>
      <c r="D26" s="50">
        <f>IF(OR(-25413.0935="",-28519.08814="",-25413.0935=0,-28519.08814=0),"-",-28519.08814/-25413.0935*100)</f>
        <v>112.22202499668134</v>
      </c>
    </row>
    <row r="27" spans="1:4" ht="15.75">
      <c r="A27" s="34" t="s">
        <v>253</v>
      </c>
      <c r="B27" s="35">
        <f>IF(OR(2000.05952="",2000.05952=0),"-",2000.05952)</f>
        <v>2000.05952</v>
      </c>
      <c r="C27" s="35">
        <f>IF(OR(1693.98176="",1693.98176=0),"-",1693.98176)</f>
        <v>1693.98176</v>
      </c>
      <c r="D27" s="50">
        <f>IF(OR(2000.05952="",1693.98176="",2000.05952=0,1693.98176=0),"-",1693.98176/2000.05952*100)</f>
        <v>84.69656743015327</v>
      </c>
    </row>
    <row r="28" spans="1:4" ht="25.5">
      <c r="A28" s="34" t="s">
        <v>254</v>
      </c>
      <c r="B28" s="35">
        <f>IF(OR(-5852.69922="",-5852.69922=0),"-",-5852.69922)</f>
        <v>-5852.69922</v>
      </c>
      <c r="C28" s="35">
        <f>IF(OR(-5421.78566="",-5421.78566=0),"-",-5421.78566)</f>
        <v>-5421.78566</v>
      </c>
      <c r="D28" s="50">
        <f>IF(OR(-5852.69922="",-5421.78566="",-5852.69922=0,-5421.78566=0),"-",-5421.78566/-5852.69922*100)</f>
        <v>92.6373534022136</v>
      </c>
    </row>
    <row r="29" spans="1:4" ht="25.5">
      <c r="A29" s="34" t="s">
        <v>255</v>
      </c>
      <c r="B29" s="35">
        <f>IF(OR(-2126.17421="",-2126.17421=0),"-",-2126.17421)</f>
        <v>-2126.17421</v>
      </c>
      <c r="C29" s="35">
        <f>IF(OR(-12432.33907="",-12432.33907=0),"-",-12432.33907)</f>
        <v>-12432.33907</v>
      </c>
      <c r="D29" s="50" t="s">
        <v>227</v>
      </c>
    </row>
    <row r="30" spans="1:4" ht="15.75">
      <c r="A30" s="34" t="s">
        <v>256</v>
      </c>
      <c r="B30" s="35">
        <f>IF(OR(12214.51631="",12214.51631=0),"-",12214.51631)</f>
        <v>12214.51631</v>
      </c>
      <c r="C30" s="35">
        <f>IF(OR(11435.13739="",11435.13739=0),"-",11435.13739)</f>
        <v>11435.13739</v>
      </c>
      <c r="D30" s="50">
        <f>IF(OR(12214.51631="",11435.13739="",12214.51631=0,11435.13739=0),"-",11435.13739/12214.51631*100)</f>
        <v>93.61924041673329</v>
      </c>
    </row>
    <row r="31" spans="1:4" ht="15.75">
      <c r="A31" s="34" t="s">
        <v>257</v>
      </c>
      <c r="B31" s="35">
        <f>IF(OR(-23873.65876="",-23873.65876=0),"-",-23873.65876)</f>
        <v>-23873.65876</v>
      </c>
      <c r="C31" s="35">
        <f>IF(OR(-23749.59443="",-23749.59443=0),"-",-23749.59443)</f>
        <v>-23749.59443</v>
      </c>
      <c r="D31" s="50">
        <f>IF(OR(-23873.65876="",-23749.59443="",-23873.65876=0,-23749.59443=0),"-",-23749.59443/-23873.65876*100)</f>
        <v>99.4803296333955</v>
      </c>
    </row>
    <row r="32" spans="1:4" ht="15.75">
      <c r="A32" s="45" t="s">
        <v>258</v>
      </c>
      <c r="B32" s="33">
        <f>IF(-675334.49531="","-",-675334.49531)</f>
        <v>-675334.49531</v>
      </c>
      <c r="C32" s="33">
        <f>IF(-657024.90611="","-",-657024.90611)</f>
        <v>-657024.90611</v>
      </c>
      <c r="D32" s="49">
        <f>IF(-675334.49531="","-",-657024.90611/-675334.49531*100)</f>
        <v>97.28881179220745</v>
      </c>
    </row>
    <row r="33" spans="1:4" ht="15.75">
      <c r="A33" s="34" t="s">
        <v>296</v>
      </c>
      <c r="B33" s="35">
        <f>IF(OR(-11894.97918="",-11894.97918=0),"-",-11894.97918)</f>
        <v>-11894.97918</v>
      </c>
      <c r="C33" s="35">
        <f>IF(OR(-14215.12266="",-14215.12266=0),"-",-14215.12266)</f>
        <v>-14215.12266</v>
      </c>
      <c r="D33" s="50">
        <f>IF(OR(-11894.97918="",-14215.12266="",-11894.97918=0,-14215.12266=0),"-",-14215.12266/-11894.97918*100)</f>
        <v>119.50523363589444</v>
      </c>
    </row>
    <row r="34" spans="1:4" ht="15.75">
      <c r="A34" s="34" t="s">
        <v>259</v>
      </c>
      <c r="B34" s="35">
        <f>IF(OR(-452933.66928="",-452933.66928=0),"-",-452933.66928)</f>
        <v>-452933.66928</v>
      </c>
      <c r="C34" s="35">
        <f>IF(OR(-423572.51702="",-423572.51702=0),"-",-423572.51702)</f>
        <v>-423572.51702</v>
      </c>
      <c r="D34" s="50">
        <f>IF(OR(-452933.66928="",-423572.51702="",-452933.66928=0,-423572.51702=0),"-",-423572.51702/-452933.66928*100)</f>
        <v>93.51756024084641</v>
      </c>
    </row>
    <row r="35" spans="1:4" ht="15.75">
      <c r="A35" s="34" t="s">
        <v>297</v>
      </c>
      <c r="B35" s="35">
        <f>IF(OR(-171151.99014="",-171151.99014=0),"-",-171151.99014)</f>
        <v>-171151.99014</v>
      </c>
      <c r="C35" s="35">
        <f>IF(OR(-188234.30589="",-188234.30589=0),"-",-188234.30589)</f>
        <v>-188234.30589</v>
      </c>
      <c r="D35" s="50">
        <f>IF(OR(-171151.99014="",-188234.30589="",-171151.99014=0,-188234.30589=0),"-",-188234.30589/-171151.99014*100)</f>
        <v>109.98078709807983</v>
      </c>
    </row>
    <row r="36" spans="1:4" ht="15.75">
      <c r="A36" s="34" t="s">
        <v>260</v>
      </c>
      <c r="B36" s="35">
        <f>IF(OR(-39353.85671="",-39353.85671=0),"-",-39353.85671)</f>
        <v>-39353.85671</v>
      </c>
      <c r="C36" s="35">
        <f>IF(OR(-31002.96054="",-31002.96054=0),"-",-31002.96054)</f>
        <v>-31002.96054</v>
      </c>
      <c r="D36" s="50">
        <f>IF(OR(-39353.85671="",-31002.96054="",-39353.85671=0,-31002.96054=0),"-",-31002.96054/-39353.85671*100)</f>
        <v>78.77998024046778</v>
      </c>
    </row>
    <row r="37" spans="1:4" ht="15.75">
      <c r="A37" s="45" t="s">
        <v>262</v>
      </c>
      <c r="B37" s="33">
        <f>IF(41408.32306="","-",41408.32306)</f>
        <v>41408.32306</v>
      </c>
      <c r="C37" s="33">
        <f>IF(31461.68939="","-",31461.68939)</f>
        <v>31461.68939</v>
      </c>
      <c r="D37" s="49">
        <f>IF(41408.32306="","-",31461.68939/41408.32306*100)</f>
        <v>75.97914396198202</v>
      </c>
    </row>
    <row r="38" spans="1:4" ht="15.75">
      <c r="A38" s="34" t="s">
        <v>298</v>
      </c>
      <c r="B38" s="35">
        <f>IF(OR(-1122.9021="",-1122.9021=0),"-",-1122.9021)</f>
        <v>-1122.9021</v>
      </c>
      <c r="C38" s="35">
        <f>IF(OR(-1227.90088="",-1227.90088=0),"-",-1227.90088)</f>
        <v>-1227.90088</v>
      </c>
      <c r="D38" s="50">
        <f>IF(OR(-1122.9021="",-1227.90088="",-1122.9021=0,-1227.90088=0),"-",-1227.90088/-1122.9021*100)</f>
        <v>109.35066200339281</v>
      </c>
    </row>
    <row r="39" spans="1:4" ht="15.75" customHeight="1">
      <c r="A39" s="34" t="s">
        <v>263</v>
      </c>
      <c r="B39" s="35">
        <f>IF(OR(44337.84687="",44337.84687=0),"-",44337.84687)</f>
        <v>44337.84687</v>
      </c>
      <c r="C39" s="35">
        <f>IF(OR(34637.00916="",34637.00916=0),"-",34637.00916)</f>
        <v>34637.00916</v>
      </c>
      <c r="D39" s="50">
        <f>IF(OR(44337.84687="",34637.00916="",44337.84687=0,34637.00916=0),"-",34637.00916/44337.84687*100)</f>
        <v>78.12063869848446</v>
      </c>
    </row>
    <row r="40" spans="1:4" ht="38.25">
      <c r="A40" s="34" t="s">
        <v>264</v>
      </c>
      <c r="B40" s="35">
        <f>IF(OR(-1806.62171="",-1806.62171=0),"-",-1806.62171)</f>
        <v>-1806.62171</v>
      </c>
      <c r="C40" s="35">
        <f>IF(OR(-1947.41889="",-1947.41889=0),"-",-1947.41889)</f>
        <v>-1947.41889</v>
      </c>
      <c r="D40" s="50">
        <f>IF(OR(-1806.62171="",-1947.41889="",-1806.62171=0,-1947.41889=0),"-",-1947.41889/-1806.62171*100)</f>
        <v>107.79339577403839</v>
      </c>
    </row>
    <row r="41" spans="1:4" ht="15.75" customHeight="1">
      <c r="A41" s="45" t="s">
        <v>265</v>
      </c>
      <c r="B41" s="33">
        <f>IF(-518279.50641="","-",-518279.50641)</f>
        <v>-518279.50641</v>
      </c>
      <c r="C41" s="33">
        <f>IF(-531328.89054="","-",-531328.89054)</f>
        <v>-531328.89054</v>
      </c>
      <c r="D41" s="49">
        <f>IF(-518279.50641="","-",-531328.89054/-518279.50641*100)</f>
        <v>102.51782753680348</v>
      </c>
    </row>
    <row r="42" spans="1:4" ht="14.25" customHeight="1">
      <c r="A42" s="34" t="s">
        <v>26</v>
      </c>
      <c r="B42" s="35">
        <f>IF(OR(2800.40206="",2800.40206=0),"-",2800.40206)</f>
        <v>2800.40206</v>
      </c>
      <c r="C42" s="35">
        <f>IF(OR(-954.51567="",-954.51567=0),"-",-954.51567)</f>
        <v>-954.51567</v>
      </c>
      <c r="D42" s="50" t="s">
        <v>22</v>
      </c>
    </row>
    <row r="43" spans="1:4" ht="15" customHeight="1">
      <c r="A43" s="34" t="s">
        <v>27</v>
      </c>
      <c r="B43" s="35">
        <f>IF(OR(-10857.66012="",-10857.66012=0),"-",-10857.66012)</f>
        <v>-10857.66012</v>
      </c>
      <c r="C43" s="35">
        <f>IF(OR(-12983.75937="",-12983.75937=0),"-",-12983.75937)</f>
        <v>-12983.75937</v>
      </c>
      <c r="D43" s="50">
        <f>IF(OR(-10857.66012="",-12983.75937="",-10857.66012=0,-12983.75937=0),"-",-12983.75937/-10857.66012*100)</f>
        <v>119.58156017504808</v>
      </c>
    </row>
    <row r="44" spans="1:4" ht="15.75">
      <c r="A44" s="34" t="s">
        <v>266</v>
      </c>
      <c r="B44" s="35">
        <f>IF(OR(-25899.75528="",-25899.75528=0),"-",-25899.75528)</f>
        <v>-25899.75528</v>
      </c>
      <c r="C44" s="35">
        <f>IF(OR(-28849.61936="",-28849.61936=0),"-",-28849.61936)</f>
        <v>-28849.61936</v>
      </c>
      <c r="D44" s="50">
        <f>IF(OR(-25899.75528="",-28849.61936="",-25899.75528=0,-28849.61936=0),"-",-28849.61936/-25899.75528*100)</f>
        <v>111.38954421811817</v>
      </c>
    </row>
    <row r="45" spans="1:4" ht="15.75">
      <c r="A45" s="34" t="s">
        <v>267</v>
      </c>
      <c r="B45" s="35">
        <f>IF(OR(-117697.38196="",-117697.38196=0),"-",-117697.38196)</f>
        <v>-117697.38196</v>
      </c>
      <c r="C45" s="35">
        <f>IF(OR(-124545.50913="",-124545.50913=0),"-",-124545.50913)</f>
        <v>-124545.50913</v>
      </c>
      <c r="D45" s="50">
        <f>IF(OR(-117697.38196="",-124545.50913="",-117697.38196=0,-124545.50913=0),"-",-124545.50913/-117697.38196*100)</f>
        <v>105.81841928508433</v>
      </c>
    </row>
    <row r="46" spans="1:4" ht="25.5">
      <c r="A46" s="34" t="s">
        <v>268</v>
      </c>
      <c r="B46" s="35">
        <f>IF(OR(-65548.55143="",-65548.55143=0),"-",-65548.55143)</f>
        <v>-65548.55143</v>
      </c>
      <c r="C46" s="35">
        <f>IF(OR(-71296.10419="",-71296.10419=0),"-",-71296.10419)</f>
        <v>-71296.10419</v>
      </c>
      <c r="D46" s="50">
        <f>IF(OR(-65548.55143="",-71296.10419="",-65548.55143=0,-71296.10419=0),"-",-71296.10419/-65548.55143*100)</f>
        <v>108.76839020025922</v>
      </c>
    </row>
    <row r="47" spans="1:4" ht="15.75">
      <c r="A47" s="34" t="s">
        <v>270</v>
      </c>
      <c r="B47" s="35">
        <f>IF(OR(-71974.83342="",-71974.83342=0),"-",-71974.83342)</f>
        <v>-71974.83342</v>
      </c>
      <c r="C47" s="35">
        <f>IF(OR(-69510.93135="",-69510.93135=0),"-",-69510.93135)</f>
        <v>-69510.93135</v>
      </c>
      <c r="D47" s="50">
        <f>IF(OR(-71974.83342="",-69510.93135="",-71974.83342=0,-69510.93135=0),"-",-69510.93135/-71974.83342*100)</f>
        <v>96.57671723167151</v>
      </c>
    </row>
    <row r="48" spans="1:4" ht="15.75">
      <c r="A48" s="34" t="s">
        <v>28</v>
      </c>
      <c r="B48" s="35">
        <f>IF(OR(-42016.37852="",-42016.37852=0),"-",-42016.37852)</f>
        <v>-42016.37852</v>
      </c>
      <c r="C48" s="35">
        <f>IF(OR(-38312.23206="",-38312.23206=0),"-",-38312.23206)</f>
        <v>-38312.23206</v>
      </c>
      <c r="D48" s="50">
        <f>IF(OR(-42016.37852="",-38312.23206="",-42016.37852=0,-38312.23206=0),"-",-38312.23206/-42016.37852*100)</f>
        <v>91.18404157979298</v>
      </c>
    </row>
    <row r="49" spans="1:4" ht="15.75">
      <c r="A49" s="34" t="s">
        <v>29</v>
      </c>
      <c r="B49" s="35">
        <f>IF(OR(-81400.38527="",-81400.38527=0),"-",-81400.38527)</f>
        <v>-81400.38527</v>
      </c>
      <c r="C49" s="35">
        <f>IF(OR(-83069.15134="",-83069.15134=0),"-",-83069.15134)</f>
        <v>-83069.15134</v>
      </c>
      <c r="D49" s="50">
        <f>IF(OR(-81400.38527="",-83069.15134="",-81400.38527=0,-83069.15134=0),"-",-83069.15134/-81400.38527*100)</f>
        <v>102.05007146399223</v>
      </c>
    </row>
    <row r="50" spans="1:4" ht="15.75">
      <c r="A50" s="34" t="s">
        <v>194</v>
      </c>
      <c r="B50" s="35">
        <f>IF(OR(-105684.96247="",-105684.96247=0),"-",-105684.96247)</f>
        <v>-105684.96247</v>
      </c>
      <c r="C50" s="35">
        <f>IF(OR(-101807.06807="",-101807.06807=0),"-",-101807.06807)</f>
        <v>-101807.06807</v>
      </c>
      <c r="D50" s="50">
        <f>IF(OR(-105684.96247="",-101807.06807="",-105684.96247=0,-101807.06807=0),"-",-101807.06807/-105684.96247*100)</f>
        <v>96.33070371662308</v>
      </c>
    </row>
    <row r="51" spans="1:4" ht="25.5">
      <c r="A51" s="45" t="s">
        <v>271</v>
      </c>
      <c r="B51" s="33">
        <f>IF(-714638.49743="","-",-714638.49743)</f>
        <v>-714638.49743</v>
      </c>
      <c r="C51" s="33">
        <f>IF(-709098.11153="","-",-709098.11153)</f>
        <v>-709098.11153</v>
      </c>
      <c r="D51" s="49">
        <f>IF(-714638.49743="","-",-709098.11153/-714638.49743*100)</f>
        <v>99.22472887761792</v>
      </c>
    </row>
    <row r="52" spans="1:4" ht="15" customHeight="1">
      <c r="A52" s="34" t="s">
        <v>272</v>
      </c>
      <c r="B52" s="35">
        <f>IF(OR(-41343.97006="",-41343.97006=0),"-",-41343.97006)</f>
        <v>-41343.97006</v>
      </c>
      <c r="C52" s="35">
        <f>IF(OR(-38889.59989="",-38889.59989=0),"-",-38889.59989)</f>
        <v>-38889.59989</v>
      </c>
      <c r="D52" s="50">
        <f>IF(OR(-41343.97006="",-38889.59989="",-41343.97006=0,-38889.59989=0),"-",-38889.59989/-41343.97006*100)</f>
        <v>94.06353534399787</v>
      </c>
    </row>
    <row r="53" spans="1:4" ht="15" customHeight="1">
      <c r="A53" s="34" t="s">
        <v>30</v>
      </c>
      <c r="B53" s="35">
        <f>IF(OR(-47997.47644="",-47997.47644=0),"-",-47997.47644)</f>
        <v>-47997.47644</v>
      </c>
      <c r="C53" s="35">
        <f>IF(OR(-47770.81242="",-47770.81242=0),"-",-47770.81242)</f>
        <v>-47770.81242</v>
      </c>
      <c r="D53" s="50">
        <f>IF(OR(-47997.47644="",-47770.81242="",-47997.47644=0,-47770.81242=0),"-",-47770.81242/-47997.47644*100)</f>
        <v>99.52775846396145</v>
      </c>
    </row>
    <row r="54" spans="1:4" ht="15.75">
      <c r="A54" s="34" t="s">
        <v>273</v>
      </c>
      <c r="B54" s="35">
        <f>IF(OR(-51624.64708="",-51624.64708=0),"-",-51624.64708)</f>
        <v>-51624.64708</v>
      </c>
      <c r="C54" s="35">
        <f>IF(OR(-52974.81229="",-52974.81229=0),"-",-52974.81229)</f>
        <v>-52974.81229</v>
      </c>
      <c r="D54" s="50">
        <f>IF(OR(-51624.64708="",-52974.81229="",-51624.64708=0,-52974.81229=0),"-",-52974.81229/-51624.64708*100)</f>
        <v>102.61535000502322</v>
      </c>
    </row>
    <row r="55" spans="1:4" ht="25.5">
      <c r="A55" s="34" t="s">
        <v>274</v>
      </c>
      <c r="B55" s="35">
        <f>IF(OR(-65745.31291="",-65745.31291=0),"-",-65745.31291)</f>
        <v>-65745.31291</v>
      </c>
      <c r="C55" s="35">
        <f>IF(OR(-69937.28996="",-69937.28996=0),"-",-69937.28996)</f>
        <v>-69937.28996</v>
      </c>
      <c r="D55" s="50">
        <f>IF(OR(-65745.31291="",-69937.28996="",-65745.31291=0,-69937.28996=0),"-",-69937.28996/-65745.31291*100)</f>
        <v>106.37608502333616</v>
      </c>
    </row>
    <row r="56" spans="1:4" ht="25.5">
      <c r="A56" s="34" t="s">
        <v>275</v>
      </c>
      <c r="B56" s="35">
        <f>IF(OR(-167854.60199="",-167854.60199=0),"-",-167854.60199)</f>
        <v>-167854.60199</v>
      </c>
      <c r="C56" s="35">
        <f>IF(OR(-155848.69932="",-155848.69932=0),"-",-155848.69932)</f>
        <v>-155848.69932</v>
      </c>
      <c r="D56" s="50">
        <f>IF(OR(-167854.60199="",-155848.69932="",-167854.60199=0,-155848.69932=0),"-",-155848.69932/-167854.60199*100)</f>
        <v>92.84743907663893</v>
      </c>
    </row>
    <row r="57" spans="1:4" ht="15.75">
      <c r="A57" s="34" t="s">
        <v>31</v>
      </c>
      <c r="B57" s="35">
        <f>IF(OR(-56113.3779="",-56113.3779=0),"-",-56113.3779)</f>
        <v>-56113.3779</v>
      </c>
      <c r="C57" s="35">
        <f>IF(OR(-60248.59518="",-60248.59518=0),"-",-60248.59518)</f>
        <v>-60248.59518</v>
      </c>
      <c r="D57" s="50">
        <f>IF(OR(-56113.3779="",-60248.59518="",-56113.3779=0,-60248.59518=0),"-",-60248.59518/-56113.3779*100)</f>
        <v>107.36939645189317</v>
      </c>
    </row>
    <row r="58" spans="1:4" ht="15.75">
      <c r="A58" s="34" t="s">
        <v>276</v>
      </c>
      <c r="B58" s="35">
        <f>IF(OR(-101882.82413="",-101882.82413=0),"-",-101882.82413)</f>
        <v>-101882.82413</v>
      </c>
      <c r="C58" s="35">
        <f>IF(OR(-103200.72378="",-103200.72378=0),"-",-103200.72378)</f>
        <v>-103200.72378</v>
      </c>
      <c r="D58" s="50">
        <f>IF(OR(-101882.82413="",-103200.72378="",-101882.82413=0,-103200.72378=0),"-",-103200.72378/-101882.82413*100)</f>
        <v>101.29354448235397</v>
      </c>
    </row>
    <row r="59" spans="1:4" ht="15.75">
      <c r="A59" s="34" t="s">
        <v>32</v>
      </c>
      <c r="B59" s="35">
        <f>IF(OR(-76900.72163="",-76900.72163=0),"-",-76900.72163)</f>
        <v>-76900.72163</v>
      </c>
      <c r="C59" s="35">
        <f>IF(OR(-69803.40086="",-69803.40086=0),"-",-69803.40086)</f>
        <v>-69803.40086</v>
      </c>
      <c r="D59" s="50">
        <f>IF(OR(-76900.72163="",-69803.40086="",-76900.72163=0,-69803.40086=0),"-",-69803.40086/-76900.72163*100)</f>
        <v>90.77080082011707</v>
      </c>
    </row>
    <row r="60" spans="1:4" ht="15.75">
      <c r="A60" s="34" t="s">
        <v>33</v>
      </c>
      <c r="B60" s="35">
        <f>IF(OR(-105175.56529="",-105175.56529=0),"-",-105175.56529)</f>
        <v>-105175.56529</v>
      </c>
      <c r="C60" s="35">
        <f>IF(OR(-110424.17783="",-110424.17783=0),"-",-110424.17783)</f>
        <v>-110424.17783</v>
      </c>
      <c r="D60" s="50">
        <f>IF(OR(-105175.56529="",-110424.17783="",-105175.56529=0,-110424.17783=0),"-",-110424.17783/-105175.56529*100)</f>
        <v>104.99033451879059</v>
      </c>
    </row>
    <row r="61" spans="1:4" ht="15.75">
      <c r="A61" s="45" t="s">
        <v>302</v>
      </c>
      <c r="B61" s="33">
        <f>IF(-580193.02858="","-",-580193.02858)</f>
        <v>-580193.02858</v>
      </c>
      <c r="C61" s="33">
        <f>IF(-541753.73548="","-",-541753.73548)</f>
        <v>-541753.73548</v>
      </c>
      <c r="D61" s="49">
        <f>IF(-580193.02858="","-",-541753.73548/-580193.02858*100)</f>
        <v>93.37474061105515</v>
      </c>
    </row>
    <row r="62" spans="1:4" ht="15.75">
      <c r="A62" s="34" t="s">
        <v>278</v>
      </c>
      <c r="B62" s="35">
        <f>IF(OR(-16518.42506="",-16518.42506=0),"-",-16518.42506)</f>
        <v>-16518.42506</v>
      </c>
      <c r="C62" s="35">
        <f>IF(OR(-11828.56859="",-11828.56859=0),"-",-11828.56859)</f>
        <v>-11828.56859</v>
      </c>
      <c r="D62" s="50">
        <f>IF(OR(-16518.42506="",-11828.56859="",-16518.42506=0,-11828.56859=0),"-",-11828.56859/-16518.42506*100)</f>
        <v>71.60833158751517</v>
      </c>
    </row>
    <row r="63" spans="1:4" ht="15.75">
      <c r="A63" s="34" t="s">
        <v>279</v>
      </c>
      <c r="B63" s="35">
        <f>IF(OR(-154153.88987="",-154153.88987=0),"-",-154153.88987)</f>
        <v>-154153.88987</v>
      </c>
      <c r="C63" s="35">
        <f>IF(OR(-141248.85864="",-141248.85864=0),"-",-141248.85864)</f>
        <v>-141248.85864</v>
      </c>
      <c r="D63" s="50">
        <f>IF(OR(-154153.88987="",-141248.85864="",-154153.88987=0,-141248.85864=0),"-",-141248.85864/-154153.88987*100)</f>
        <v>91.62847512905253</v>
      </c>
    </row>
    <row r="64" spans="1:4" ht="15.75">
      <c r="A64" s="34" t="s">
        <v>280</v>
      </c>
      <c r="B64" s="35">
        <f>IF(OR(-8609.20612="",-8609.20612=0),"-",-8609.20612)</f>
        <v>-8609.20612</v>
      </c>
      <c r="C64" s="35">
        <f>IF(OR(-6311.21713="",-6311.21713=0),"-",-6311.21713)</f>
        <v>-6311.21713</v>
      </c>
      <c r="D64" s="50">
        <f>IF(OR(-8609.20612="",-6311.21713="",-8609.20612=0,-6311.21713=0),"-",-6311.21713/-8609.20612*100)</f>
        <v>73.30777126288619</v>
      </c>
    </row>
    <row r="65" spans="1:4" ht="25.5">
      <c r="A65" s="34" t="s">
        <v>281</v>
      </c>
      <c r="B65" s="35">
        <f>IF(OR(-115440.14386="",-115440.14386=0),"-",-115440.14386)</f>
        <v>-115440.14386</v>
      </c>
      <c r="C65" s="35">
        <f>IF(OR(-126257.81988="",-126257.81988=0),"-",-126257.81988)</f>
        <v>-126257.81988</v>
      </c>
      <c r="D65" s="50">
        <f>IF(OR(-115440.14386="",-126257.81988="",-115440.14386=0,-126257.81988=0),"-",-126257.81988/-115440.14386*100)</f>
        <v>109.37080954535116</v>
      </c>
    </row>
    <row r="66" spans="1:4" ht="25.5">
      <c r="A66" s="34" t="s">
        <v>282</v>
      </c>
      <c r="B66" s="35">
        <f>IF(OR(-38510.42059="",-38510.42059=0),"-",-38510.42059)</f>
        <v>-38510.42059</v>
      </c>
      <c r="C66" s="35">
        <f>IF(OR(-31733.13542="",-31733.13542=0),"-",-31733.13542)</f>
        <v>-31733.13542</v>
      </c>
      <c r="D66" s="50">
        <f>IF(OR(-38510.42059="",-31733.13542="",-38510.42059=0,-31733.13542=0),"-",-31733.13542/-38510.42059*100)</f>
        <v>82.40142520863597</v>
      </c>
    </row>
    <row r="67" spans="1:4" ht="25.5">
      <c r="A67" s="34" t="s">
        <v>283</v>
      </c>
      <c r="B67" s="35">
        <f>IF(OR(-100722.62402="",-100722.62402=0),"-",-100722.62402)</f>
        <v>-100722.62402</v>
      </c>
      <c r="C67" s="35">
        <f>IF(OR(-114290.11626="",-114290.11626=0),"-",-114290.11626)</f>
        <v>-114290.11626</v>
      </c>
      <c r="D67" s="50">
        <f>IF(OR(-100722.62402="",-114290.11626="",-100722.62402=0,-114290.11626=0),"-",-114290.11626/-100722.62402*100)</f>
        <v>113.47015367402061</v>
      </c>
    </row>
    <row r="68" spans="1:4" ht="28.5" customHeight="1">
      <c r="A68" s="34" t="s">
        <v>284</v>
      </c>
      <c r="B68" s="35">
        <f>IF(OR(60122.8843="",60122.8843=0),"-",60122.8843)</f>
        <v>60122.8843</v>
      </c>
      <c r="C68" s="35">
        <f>IF(OR(115445.30479="",115445.30479=0),"-",115445.30479)</f>
        <v>115445.30479</v>
      </c>
      <c r="D68" s="50" t="s">
        <v>178</v>
      </c>
    </row>
    <row r="69" spans="1:4" ht="15.75">
      <c r="A69" s="34" t="s">
        <v>285</v>
      </c>
      <c r="B69" s="35">
        <f>IF(OR(-203574.53703="",-203574.53703=0),"-",-203574.53703)</f>
        <v>-203574.53703</v>
      </c>
      <c r="C69" s="35">
        <f>IF(OR(-222382.65232="",-222382.65232=0),"-",-222382.65232)</f>
        <v>-222382.65232</v>
      </c>
      <c r="D69" s="50">
        <f>IF(OR(-203574.53703="",-222382.65232="",-203574.53703=0,-222382.65232=0),"-",-222382.65232/-203574.53703*100)</f>
        <v>109.23893310253645</v>
      </c>
    </row>
    <row r="70" spans="1:4" ht="15.75">
      <c r="A70" s="34" t="s">
        <v>34</v>
      </c>
      <c r="B70" s="35">
        <f>IF(OR(-2786.66633="",-2786.66633=0),"-",-2786.66633)</f>
        <v>-2786.66633</v>
      </c>
      <c r="C70" s="35">
        <f>IF(OR(-3146.67203="",-3146.67203=0),"-",-3146.67203)</f>
        <v>-3146.67203</v>
      </c>
      <c r="D70" s="50">
        <f>IF(OR(-2786.66633="",-3146.67203="",-2786.66633=0,-3146.67203=0),"-",-3146.67203/-2786.66633*100)</f>
        <v>112.91886639330804</v>
      </c>
    </row>
    <row r="71" spans="1:4" ht="15.75">
      <c r="A71" s="45" t="s">
        <v>35</v>
      </c>
      <c r="B71" s="33">
        <f>IF(40594.84626="","-",40594.84626)</f>
        <v>40594.84626</v>
      </c>
      <c r="C71" s="33">
        <f>IF(-25910.14554="","-",-25910.14554)</f>
        <v>-25910.14554</v>
      </c>
      <c r="D71" s="49" t="s">
        <v>22</v>
      </c>
    </row>
    <row r="72" spans="1:4" ht="25.5">
      <c r="A72" s="34" t="s">
        <v>286</v>
      </c>
      <c r="B72" s="35">
        <f>IF(OR(-25002.15937="",-25002.15937=0),"-",-25002.15937)</f>
        <v>-25002.15937</v>
      </c>
      <c r="C72" s="35">
        <f>IF(OR(-28374.88797="",-28374.88797=0),"-",-28374.88797)</f>
        <v>-28374.88797</v>
      </c>
      <c r="D72" s="50">
        <f>IF(OR(-25002.15937="",-28374.88797="",-25002.15937=0,-28374.88797=0),"-",-28374.88797/-25002.15937*100)</f>
        <v>113.48974922560858</v>
      </c>
    </row>
    <row r="73" spans="1:4" ht="15.75">
      <c r="A73" s="34" t="s">
        <v>287</v>
      </c>
      <c r="B73" s="35">
        <f>IF(OR(81008.95834="",81008.95834=0),"-",81008.95834)</f>
        <v>81008.95834</v>
      </c>
      <c r="C73" s="35">
        <f>IF(OR(67725.40278="",67725.40278=0),"-",67725.40278)</f>
        <v>67725.40278</v>
      </c>
      <c r="D73" s="50">
        <f>IF(OR(81008.95834="",67725.40278="",81008.95834=0,67725.40278=0),"-",67725.40278/81008.95834*100)</f>
        <v>83.60236221746239</v>
      </c>
    </row>
    <row r="74" spans="1:4" ht="15.75">
      <c r="A74" s="34" t="s">
        <v>288</v>
      </c>
      <c r="B74" s="35">
        <f>IF(OR(6763.31832="",6763.31832=0),"-",6763.31832)</f>
        <v>6763.31832</v>
      </c>
      <c r="C74" s="35">
        <f>IF(OR(3218.89077="",3218.89077=0),"-",3218.89077)</f>
        <v>3218.89077</v>
      </c>
      <c r="D74" s="50">
        <f>IF(OR(6763.31832="",3218.89077="",6763.31832=0,3218.89077=0),"-",3218.89077/6763.31832*100)</f>
        <v>47.593364938647454</v>
      </c>
    </row>
    <row r="75" spans="1:4" ht="15.75">
      <c r="A75" s="34" t="s">
        <v>289</v>
      </c>
      <c r="B75" s="35">
        <f>IF(OR(129250.5733="",129250.5733=0),"-",129250.5733)</f>
        <v>129250.5733</v>
      </c>
      <c r="C75" s="35">
        <f>IF(OR(105252.13709="",105252.13709=0),"-",105252.13709)</f>
        <v>105252.13709</v>
      </c>
      <c r="D75" s="50">
        <f>IF(OR(129250.5733="",105252.13709="",129250.5733=0,105252.13709=0),"-",105252.13709/129250.5733*100)</f>
        <v>81.43262687562873</v>
      </c>
    </row>
    <row r="76" spans="1:4" ht="15.75">
      <c r="A76" s="34" t="s">
        <v>301</v>
      </c>
      <c r="B76" s="35">
        <f>IF(OR(-3182.57038="",-3182.57038=0),"-",-3182.57038)</f>
        <v>-3182.57038</v>
      </c>
      <c r="C76" s="35">
        <f>IF(OR(-9532.40767="",-9532.40767=0),"-",-9532.40767)</f>
        <v>-9532.40767</v>
      </c>
      <c r="D76" s="50" t="s">
        <v>228</v>
      </c>
    </row>
    <row r="77" spans="1:4" ht="15.75">
      <c r="A77" s="34" t="s">
        <v>291</v>
      </c>
      <c r="B77" s="35">
        <f>IF(OR(-25084.2326="",-25084.2326=0),"-",-25084.2326)</f>
        <v>-25084.2326</v>
      </c>
      <c r="C77" s="35">
        <f>IF(OR(-27343.06949="",-27343.06949=0),"-",-27343.06949)</f>
        <v>-27343.06949</v>
      </c>
      <c r="D77" s="50">
        <f>IF(OR(-25084.2326="",-27343.06949="",-25084.2326=0,-27343.06949=0),"-",-27343.06949/-25084.2326*100)</f>
        <v>109.0050069540497</v>
      </c>
    </row>
    <row r="78" spans="1:4" ht="25.5">
      <c r="A78" s="34" t="s">
        <v>292</v>
      </c>
      <c r="B78" s="35">
        <f>IF(OR(-6267.56268="",-6267.56268=0),"-",-6267.56268)</f>
        <v>-6267.56268</v>
      </c>
      <c r="C78" s="35">
        <f>IF(OR(-5563.30525="",-5563.30525=0),"-",-5563.30525)</f>
        <v>-5563.30525</v>
      </c>
      <c r="D78" s="50">
        <f>IF(OR(-6267.56268="",-5563.30525="",-6267.56268=0,-5563.30525=0),"-",-5563.30525/-6267.56268*100)</f>
        <v>88.76345613188188</v>
      </c>
    </row>
    <row r="79" spans="1:4" ht="15.75">
      <c r="A79" s="34" t="s">
        <v>36</v>
      </c>
      <c r="B79" s="35">
        <f>IF(OR(-116891.47867="",-116891.47867=0),"-",-116891.47867)</f>
        <v>-116891.47867</v>
      </c>
      <c r="C79" s="35">
        <f>IF(OR(-131292.9058="",-131292.9058=0),"-",-131292.9058)</f>
        <v>-131292.9058</v>
      </c>
      <c r="D79" s="50">
        <f>IF(OR(-116891.47867="",-131292.9058="",-116891.47867=0,-131292.9058=0),"-",-131292.9058/-116891.47867*100)</f>
        <v>112.32033959520449</v>
      </c>
    </row>
    <row r="80" spans="1:4" ht="16.5" customHeight="1">
      <c r="A80" s="46" t="s">
        <v>293</v>
      </c>
      <c r="B80" s="47">
        <f>IF(477.38432="","-",477.38432)</f>
        <v>477.38432</v>
      </c>
      <c r="C80" s="47">
        <f>IF(534.20834="","-",534.20834)</f>
        <v>534.20834</v>
      </c>
      <c r="D80" s="51">
        <f>IF(477.38432="","-",534.20834/477.38432*100)</f>
        <v>111.90320201551656</v>
      </c>
    </row>
    <row r="81" spans="1:4" ht="15.75">
      <c r="A81" s="38" t="s">
        <v>21</v>
      </c>
      <c r="B81" s="12"/>
      <c r="C81" s="12"/>
      <c r="D81" s="12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2019-11-14T08:23:50Z</cp:lastPrinted>
  <dcterms:created xsi:type="dcterms:W3CDTF">2016-09-01T07:59:47Z</dcterms:created>
  <dcterms:modified xsi:type="dcterms:W3CDTF">2019-11-14T13:45:38Z</dcterms:modified>
  <cp:category/>
  <cp:version/>
  <cp:contentType/>
  <cp:contentStatus/>
</cp:coreProperties>
</file>