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inaVudvud\Desktop\Nota informativa\"/>
    </mc:Choice>
  </mc:AlternateContent>
  <bookViews>
    <workbookView xWindow="0" yWindow="0" windowWidth="24000" windowHeight="1087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62913"/>
</workbook>
</file>

<file path=xl/calcChain.xml><?xml version="1.0" encoding="utf-8"?>
<calcChain xmlns="http://schemas.openxmlformats.org/spreadsheetml/2006/main">
  <c r="D128" i="3" l="1"/>
  <c r="C128" i="3"/>
  <c r="B128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C117" i="3"/>
  <c r="B117" i="3"/>
  <c r="C116" i="3"/>
  <c r="B116" i="3"/>
  <c r="C115" i="3"/>
  <c r="B115" i="3"/>
  <c r="D114" i="3"/>
  <c r="C114" i="3"/>
  <c r="B114" i="3"/>
  <c r="D113" i="3"/>
  <c r="C113" i="3"/>
  <c r="B113" i="3"/>
  <c r="C112" i="3"/>
  <c r="B112" i="3"/>
  <c r="C111" i="3"/>
  <c r="B111" i="3"/>
  <c r="D110" i="3"/>
  <c r="C110" i="3"/>
  <c r="B110" i="3"/>
  <c r="D109" i="3"/>
  <c r="C109" i="3"/>
  <c r="B109" i="3"/>
  <c r="D108" i="3"/>
  <c r="C108" i="3"/>
  <c r="B108" i="3"/>
  <c r="C107" i="3"/>
  <c r="B107" i="3"/>
  <c r="C106" i="3"/>
  <c r="B106" i="3"/>
  <c r="C105" i="3"/>
  <c r="B105" i="3"/>
  <c r="C104" i="3"/>
  <c r="B104" i="3"/>
  <c r="D103" i="3"/>
  <c r="C103" i="3"/>
  <c r="B103" i="3"/>
  <c r="C102" i="3"/>
  <c r="B102" i="3"/>
  <c r="C101" i="3"/>
  <c r="B101" i="3"/>
  <c r="D100" i="3"/>
  <c r="C100" i="3"/>
  <c r="B100" i="3"/>
  <c r="D99" i="3"/>
  <c r="C99" i="3"/>
  <c r="B99" i="3"/>
  <c r="C98" i="3"/>
  <c r="B98" i="3"/>
  <c r="D97" i="3"/>
  <c r="C97" i="3"/>
  <c r="B97" i="3"/>
  <c r="C96" i="3"/>
  <c r="B96" i="3"/>
  <c r="D95" i="3"/>
  <c r="C95" i="3"/>
  <c r="B95" i="3"/>
  <c r="D94" i="3"/>
  <c r="C94" i="3"/>
  <c r="B94" i="3"/>
  <c r="D93" i="3"/>
  <c r="C93" i="3"/>
  <c r="B93" i="3"/>
  <c r="C92" i="3"/>
  <c r="B92" i="3"/>
  <c r="C91" i="3"/>
  <c r="B91" i="3"/>
  <c r="D90" i="3"/>
  <c r="C90" i="3"/>
  <c r="B90" i="3"/>
  <c r="D89" i="3"/>
  <c r="C89" i="3"/>
  <c r="B89" i="3"/>
  <c r="C88" i="3"/>
  <c r="B88" i="3"/>
  <c r="D87" i="3"/>
  <c r="C87" i="3"/>
  <c r="B87" i="3"/>
  <c r="C86" i="3"/>
  <c r="B86" i="3"/>
  <c r="D85" i="3"/>
  <c r="C85" i="3"/>
  <c r="B85" i="3"/>
  <c r="C84" i="3"/>
  <c r="B84" i="3"/>
  <c r="D83" i="3"/>
  <c r="C83" i="3"/>
  <c r="B83" i="3"/>
  <c r="C82" i="3"/>
  <c r="B82" i="3"/>
  <c r="D81" i="3"/>
  <c r="C81" i="3"/>
  <c r="B81" i="3"/>
  <c r="D80" i="3"/>
  <c r="C80" i="3"/>
  <c r="B80" i="3"/>
  <c r="C79" i="3"/>
  <c r="B79" i="3"/>
  <c r="D78" i="3"/>
  <c r="C78" i="3"/>
  <c r="B78" i="3"/>
  <c r="C77" i="3"/>
  <c r="B77" i="3"/>
  <c r="C76" i="3"/>
  <c r="B76" i="3"/>
  <c r="D75" i="3"/>
  <c r="C75" i="3"/>
  <c r="B75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C69" i="3"/>
  <c r="B69" i="3"/>
  <c r="C68" i="3"/>
  <c r="B68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C59" i="3"/>
  <c r="B59" i="3"/>
  <c r="C58" i="3"/>
  <c r="B58" i="3"/>
  <c r="D57" i="3"/>
  <c r="C57" i="3"/>
  <c r="B57" i="3"/>
  <c r="C56" i="3"/>
  <c r="B56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C48" i="3"/>
  <c r="B48" i="3"/>
  <c r="D47" i="3"/>
  <c r="C47" i="3"/>
  <c r="B47" i="3"/>
  <c r="D46" i="3"/>
  <c r="C46" i="3"/>
  <c r="B46" i="3"/>
  <c r="D45" i="3"/>
  <c r="C45" i="3"/>
  <c r="B45" i="3"/>
  <c r="C44" i="3"/>
  <c r="B44" i="3"/>
  <c r="C43" i="3"/>
  <c r="B43" i="3"/>
  <c r="C42" i="3"/>
  <c r="B42" i="3"/>
  <c r="D41" i="3"/>
  <c r="C41" i="3"/>
  <c r="B41" i="3"/>
  <c r="D40" i="3"/>
  <c r="C40" i="3"/>
  <c r="B40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D28" i="3"/>
  <c r="C28" i="3"/>
  <c r="B28" i="3"/>
  <c r="D27" i="3"/>
  <c r="C27" i="3"/>
  <c r="B27" i="3"/>
  <c r="C26" i="3"/>
  <c r="B26" i="3"/>
  <c r="C25" i="3"/>
  <c r="B25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5" i="3"/>
  <c r="C5" i="3"/>
  <c r="E39" i="8" l="1"/>
  <c r="D39" i="8"/>
  <c r="B39" i="8"/>
  <c r="E38" i="8"/>
  <c r="D38" i="8"/>
  <c r="B38" i="8"/>
  <c r="E37" i="8"/>
  <c r="D37" i="8"/>
  <c r="B37" i="8"/>
  <c r="E36" i="8"/>
  <c r="D36" i="8"/>
  <c r="B36" i="8"/>
  <c r="E35" i="8"/>
  <c r="D35" i="8"/>
  <c r="B35" i="8"/>
  <c r="E34" i="8"/>
  <c r="D34" i="8"/>
  <c r="B34" i="8"/>
  <c r="E32" i="8"/>
  <c r="D32" i="8"/>
  <c r="C32" i="8"/>
  <c r="B32" i="8"/>
  <c r="E31" i="8"/>
  <c r="D31" i="8"/>
  <c r="B31" i="8"/>
  <c r="E30" i="8"/>
  <c r="D30" i="8"/>
  <c r="B30" i="8"/>
  <c r="E29" i="8"/>
  <c r="D29" i="8"/>
  <c r="B29" i="8"/>
  <c r="E28" i="8"/>
  <c r="D28" i="8"/>
  <c r="B28" i="8"/>
  <c r="E27" i="8"/>
  <c r="D27" i="8"/>
  <c r="B27" i="8"/>
  <c r="E26" i="8"/>
  <c r="D26" i="8"/>
  <c r="B26" i="8"/>
  <c r="E25" i="8"/>
  <c r="D25" i="8"/>
  <c r="B25" i="8"/>
  <c r="E23" i="8"/>
  <c r="D23" i="8"/>
  <c r="C23" i="8"/>
  <c r="B23" i="8"/>
  <c r="E22" i="8"/>
  <c r="D22" i="8"/>
  <c r="B22" i="8"/>
  <c r="E21" i="8"/>
  <c r="D21" i="8"/>
  <c r="B21" i="8"/>
  <c r="E20" i="8"/>
  <c r="D20" i="8"/>
  <c r="B20" i="8"/>
  <c r="E19" i="8"/>
  <c r="D19" i="8"/>
  <c r="B19" i="8"/>
  <c r="E18" i="8"/>
  <c r="D18" i="8"/>
  <c r="B18" i="8"/>
  <c r="E17" i="8"/>
  <c r="D17" i="8"/>
  <c r="B17" i="8"/>
  <c r="E15" i="8"/>
  <c r="D15" i="8"/>
  <c r="C15" i="8"/>
  <c r="B15" i="8"/>
  <c r="E14" i="8"/>
  <c r="D14" i="8"/>
  <c r="B14" i="8"/>
  <c r="E13" i="8"/>
  <c r="D13" i="8"/>
  <c r="B13" i="8"/>
  <c r="E12" i="8"/>
  <c r="D12" i="8"/>
  <c r="B12" i="8"/>
  <c r="E11" i="8"/>
  <c r="D11" i="8"/>
  <c r="B11" i="8"/>
  <c r="E10" i="8"/>
  <c r="D10" i="8"/>
  <c r="B10" i="8"/>
  <c r="E9" i="8"/>
  <c r="D9" i="8"/>
  <c r="B9" i="8"/>
  <c r="E8" i="8"/>
  <c r="D8" i="8"/>
  <c r="B8" i="8"/>
  <c r="C6" i="8"/>
  <c r="B6" i="8"/>
  <c r="D39" i="7" l="1"/>
  <c r="E38" i="7"/>
  <c r="D38" i="7"/>
  <c r="B38" i="7"/>
  <c r="E37" i="7"/>
  <c r="D37" i="7"/>
  <c r="B37" i="7"/>
  <c r="E36" i="7"/>
  <c r="D36" i="7"/>
  <c r="B36" i="7"/>
  <c r="E35" i="7"/>
  <c r="D35" i="7"/>
  <c r="B35" i="7"/>
  <c r="E34" i="7"/>
  <c r="D34" i="7"/>
  <c r="B34" i="7"/>
  <c r="E32" i="7"/>
  <c r="D32" i="7"/>
  <c r="C32" i="7"/>
  <c r="B32" i="7"/>
  <c r="E31" i="7"/>
  <c r="B31" i="7"/>
  <c r="E30" i="7"/>
  <c r="D30" i="7"/>
  <c r="B30" i="7"/>
  <c r="E29" i="7"/>
  <c r="D29" i="7"/>
  <c r="B29" i="7"/>
  <c r="E28" i="7"/>
  <c r="D28" i="7"/>
  <c r="B28" i="7"/>
  <c r="E27" i="7"/>
  <c r="D27" i="7"/>
  <c r="B27" i="7"/>
  <c r="E26" i="7"/>
  <c r="D26" i="7"/>
  <c r="B26" i="7"/>
  <c r="E25" i="7"/>
  <c r="D25" i="7"/>
  <c r="B25" i="7"/>
  <c r="E23" i="7"/>
  <c r="D23" i="7"/>
  <c r="C23" i="7"/>
  <c r="B23" i="7"/>
  <c r="D22" i="7"/>
  <c r="E21" i="7"/>
  <c r="D21" i="7"/>
  <c r="B21" i="7"/>
  <c r="E20" i="7"/>
  <c r="D20" i="7"/>
  <c r="B20" i="7"/>
  <c r="E19" i="7"/>
  <c r="D19" i="7"/>
  <c r="B19" i="7"/>
  <c r="E18" i="7"/>
  <c r="D18" i="7"/>
  <c r="B18" i="7"/>
  <c r="E17" i="7"/>
  <c r="D17" i="7"/>
  <c r="B17" i="7"/>
  <c r="E15" i="7"/>
  <c r="D15" i="7"/>
  <c r="C15" i="7"/>
  <c r="B15" i="7"/>
  <c r="E14" i="7"/>
  <c r="D14" i="7"/>
  <c r="B14" i="7"/>
  <c r="E13" i="7"/>
  <c r="D13" i="7"/>
  <c r="B13" i="7"/>
  <c r="E12" i="7"/>
  <c r="D12" i="7"/>
  <c r="B12" i="7"/>
  <c r="E11" i="7"/>
  <c r="D11" i="7"/>
  <c r="B11" i="7"/>
  <c r="E10" i="7"/>
  <c r="D10" i="7"/>
  <c r="B10" i="7"/>
  <c r="E9" i="7"/>
  <c r="D9" i="7"/>
  <c r="B9" i="7"/>
  <c r="E8" i="7"/>
  <c r="D8" i="7"/>
  <c r="B8" i="7"/>
  <c r="C6" i="7"/>
  <c r="B6" i="7"/>
  <c r="D80" i="4" l="1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C71" i="4"/>
  <c r="B71" i="4"/>
  <c r="C70" i="4"/>
  <c r="B70" i="4"/>
  <c r="D69" i="4"/>
  <c r="C69" i="4"/>
  <c r="B69" i="4"/>
  <c r="D68" i="4"/>
  <c r="C68" i="4"/>
  <c r="B68" i="4"/>
  <c r="D67" i="4"/>
  <c r="C67" i="4"/>
  <c r="B67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C42" i="4"/>
  <c r="B42" i="4"/>
  <c r="D41" i="4"/>
  <c r="C41" i="4"/>
  <c r="B41" i="4"/>
  <c r="D40" i="4"/>
  <c r="C40" i="4"/>
  <c r="B40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C15" i="4"/>
  <c r="B15" i="4"/>
  <c r="C14" i="4"/>
  <c r="B14" i="4"/>
  <c r="D13" i="4"/>
  <c r="C13" i="4"/>
  <c r="B13" i="4"/>
  <c r="D12" i="4"/>
  <c r="C12" i="4"/>
  <c r="B12" i="4"/>
  <c r="C11" i="4"/>
  <c r="B11" i="4"/>
  <c r="D10" i="4"/>
  <c r="C10" i="4"/>
  <c r="B10" i="4"/>
  <c r="C9" i="4"/>
  <c r="B9" i="4"/>
  <c r="C8" i="4"/>
  <c r="B8" i="4"/>
  <c r="D6" i="4"/>
  <c r="C6" i="4"/>
  <c r="B6" i="4"/>
  <c r="G80" i="6" l="1"/>
  <c r="F80" i="6"/>
  <c r="E80" i="6"/>
  <c r="D80" i="6"/>
  <c r="C80" i="6"/>
  <c r="B80" i="6"/>
  <c r="G79" i="6"/>
  <c r="F79" i="6"/>
  <c r="E79" i="6"/>
  <c r="D79" i="6"/>
  <c r="C79" i="6"/>
  <c r="B79" i="6"/>
  <c r="G78" i="6"/>
  <c r="F78" i="6"/>
  <c r="E78" i="6"/>
  <c r="D78" i="6"/>
  <c r="C78" i="6"/>
  <c r="B78" i="6"/>
  <c r="G77" i="6"/>
  <c r="F77" i="6"/>
  <c r="E77" i="6"/>
  <c r="D77" i="6"/>
  <c r="C77" i="6"/>
  <c r="B77" i="6"/>
  <c r="G76" i="6"/>
  <c r="F76" i="6"/>
  <c r="E76" i="6"/>
  <c r="D76" i="6"/>
  <c r="C76" i="6"/>
  <c r="B76" i="6"/>
  <c r="G75" i="6"/>
  <c r="F75" i="6"/>
  <c r="E75" i="6"/>
  <c r="D75" i="6"/>
  <c r="C75" i="6"/>
  <c r="B75" i="6"/>
  <c r="G74" i="6"/>
  <c r="F74" i="6"/>
  <c r="E74" i="6"/>
  <c r="D74" i="6"/>
  <c r="C74" i="6"/>
  <c r="B74" i="6"/>
  <c r="G73" i="6"/>
  <c r="F73" i="6"/>
  <c r="E73" i="6"/>
  <c r="D73" i="6"/>
  <c r="C73" i="6"/>
  <c r="B73" i="6"/>
  <c r="G72" i="6"/>
  <c r="F72" i="6"/>
  <c r="E72" i="6"/>
  <c r="D72" i="6"/>
  <c r="C72" i="6"/>
  <c r="B72" i="6"/>
  <c r="G71" i="6"/>
  <c r="F71" i="6"/>
  <c r="E71" i="6"/>
  <c r="D71" i="6"/>
  <c r="C71" i="6"/>
  <c r="B71" i="6"/>
  <c r="G70" i="6"/>
  <c r="F70" i="6"/>
  <c r="E70" i="6"/>
  <c r="D70" i="6"/>
  <c r="B70" i="6"/>
  <c r="G69" i="6"/>
  <c r="F69" i="6"/>
  <c r="E69" i="6"/>
  <c r="D69" i="6"/>
  <c r="C69" i="6"/>
  <c r="B69" i="6"/>
  <c r="G68" i="6"/>
  <c r="F68" i="6"/>
  <c r="E68" i="6"/>
  <c r="D68" i="6"/>
  <c r="C68" i="6"/>
  <c r="B68" i="6"/>
  <c r="G67" i="6"/>
  <c r="F67" i="6"/>
  <c r="E67" i="6"/>
  <c r="D67" i="6"/>
  <c r="C67" i="6"/>
  <c r="B67" i="6"/>
  <c r="G66" i="6"/>
  <c r="F66" i="6"/>
  <c r="E66" i="6"/>
  <c r="D66" i="6"/>
  <c r="C66" i="6"/>
  <c r="B66" i="6"/>
  <c r="G65" i="6"/>
  <c r="F65" i="6"/>
  <c r="E65" i="6"/>
  <c r="D65" i="6"/>
  <c r="C65" i="6"/>
  <c r="B65" i="6"/>
  <c r="G64" i="6"/>
  <c r="F64" i="6"/>
  <c r="E64" i="6"/>
  <c r="D64" i="6"/>
  <c r="C64" i="6"/>
  <c r="B64" i="6"/>
  <c r="G63" i="6"/>
  <c r="F63" i="6"/>
  <c r="E63" i="6"/>
  <c r="D63" i="6"/>
  <c r="C63" i="6"/>
  <c r="B63" i="6"/>
  <c r="G62" i="6"/>
  <c r="F62" i="6"/>
  <c r="E62" i="6"/>
  <c r="D62" i="6"/>
  <c r="C62" i="6"/>
  <c r="B62" i="6"/>
  <c r="G61" i="6"/>
  <c r="F61" i="6"/>
  <c r="E61" i="6"/>
  <c r="D61" i="6"/>
  <c r="C61" i="6"/>
  <c r="B61" i="6"/>
  <c r="G60" i="6"/>
  <c r="F60" i="6"/>
  <c r="E60" i="6"/>
  <c r="D60" i="6"/>
  <c r="C60" i="6"/>
  <c r="B60" i="6"/>
  <c r="G59" i="6"/>
  <c r="F59" i="6"/>
  <c r="E59" i="6"/>
  <c r="D59" i="6"/>
  <c r="C59" i="6"/>
  <c r="B59" i="6"/>
  <c r="G58" i="6"/>
  <c r="F58" i="6"/>
  <c r="E58" i="6"/>
  <c r="D58" i="6"/>
  <c r="C58" i="6"/>
  <c r="B58" i="6"/>
  <c r="G57" i="6"/>
  <c r="F57" i="6"/>
  <c r="E57" i="6"/>
  <c r="D57" i="6"/>
  <c r="C57" i="6"/>
  <c r="B57" i="6"/>
  <c r="G56" i="6"/>
  <c r="F56" i="6"/>
  <c r="E56" i="6"/>
  <c r="D56" i="6"/>
  <c r="C56" i="6"/>
  <c r="B56" i="6"/>
  <c r="G55" i="6"/>
  <c r="F55" i="6"/>
  <c r="E55" i="6"/>
  <c r="D55" i="6"/>
  <c r="C55" i="6"/>
  <c r="B55" i="6"/>
  <c r="G54" i="6"/>
  <c r="F54" i="6"/>
  <c r="E54" i="6"/>
  <c r="D54" i="6"/>
  <c r="C54" i="6"/>
  <c r="B54" i="6"/>
  <c r="G53" i="6"/>
  <c r="F53" i="6"/>
  <c r="E53" i="6"/>
  <c r="D53" i="6"/>
  <c r="C53" i="6"/>
  <c r="B53" i="6"/>
  <c r="G52" i="6"/>
  <c r="F52" i="6"/>
  <c r="E52" i="6"/>
  <c r="D52" i="6"/>
  <c r="C52" i="6"/>
  <c r="B52" i="6"/>
  <c r="G51" i="6"/>
  <c r="F51" i="6"/>
  <c r="E51" i="6"/>
  <c r="D51" i="6"/>
  <c r="C51" i="6"/>
  <c r="B51" i="6"/>
  <c r="G50" i="6"/>
  <c r="F50" i="6"/>
  <c r="E50" i="6"/>
  <c r="D50" i="6"/>
  <c r="C50" i="6"/>
  <c r="B50" i="6"/>
  <c r="G49" i="6"/>
  <c r="F49" i="6"/>
  <c r="E49" i="6"/>
  <c r="D49" i="6"/>
  <c r="C49" i="6"/>
  <c r="B49" i="6"/>
  <c r="G48" i="6"/>
  <c r="F48" i="6"/>
  <c r="E48" i="6"/>
  <c r="D48" i="6"/>
  <c r="C48" i="6"/>
  <c r="B48" i="6"/>
  <c r="G47" i="6"/>
  <c r="F47" i="6"/>
  <c r="E47" i="6"/>
  <c r="D47" i="6"/>
  <c r="C47" i="6"/>
  <c r="B47" i="6"/>
  <c r="G46" i="6"/>
  <c r="F46" i="6"/>
  <c r="E46" i="6"/>
  <c r="D46" i="6"/>
  <c r="C46" i="6"/>
  <c r="B46" i="6"/>
  <c r="G45" i="6"/>
  <c r="F45" i="6"/>
  <c r="E45" i="6"/>
  <c r="D45" i="6"/>
  <c r="C45" i="6"/>
  <c r="B45" i="6"/>
  <c r="G44" i="6"/>
  <c r="F44" i="6"/>
  <c r="E44" i="6"/>
  <c r="D44" i="6"/>
  <c r="C44" i="6"/>
  <c r="B44" i="6"/>
  <c r="G43" i="6"/>
  <c r="F43" i="6"/>
  <c r="E43" i="6"/>
  <c r="D43" i="6"/>
  <c r="C43" i="6"/>
  <c r="B43" i="6"/>
  <c r="G42" i="6"/>
  <c r="F42" i="6"/>
  <c r="E42" i="6"/>
  <c r="D42" i="6"/>
  <c r="C42" i="6"/>
  <c r="B42" i="6"/>
  <c r="G41" i="6"/>
  <c r="F41" i="6"/>
  <c r="E41" i="6"/>
  <c r="D41" i="6"/>
  <c r="C41" i="6"/>
  <c r="B41" i="6"/>
  <c r="G40" i="6"/>
  <c r="F40" i="6"/>
  <c r="E40" i="6"/>
  <c r="D40" i="6"/>
  <c r="C40" i="6"/>
  <c r="B40" i="6"/>
  <c r="G39" i="6"/>
  <c r="F39" i="6"/>
  <c r="E39" i="6"/>
  <c r="D39" i="6"/>
  <c r="C39" i="6"/>
  <c r="B39" i="6"/>
  <c r="G38" i="6"/>
  <c r="F38" i="6"/>
  <c r="E38" i="6"/>
  <c r="D38" i="6"/>
  <c r="C38" i="6"/>
  <c r="B38" i="6"/>
  <c r="G37" i="6"/>
  <c r="F37" i="6"/>
  <c r="E37" i="6"/>
  <c r="D37" i="6"/>
  <c r="C37" i="6"/>
  <c r="B37" i="6"/>
  <c r="G36" i="6"/>
  <c r="F36" i="6"/>
  <c r="E36" i="6"/>
  <c r="D36" i="6"/>
  <c r="C36" i="6"/>
  <c r="B36" i="6"/>
  <c r="G35" i="6"/>
  <c r="F35" i="6"/>
  <c r="E35" i="6"/>
  <c r="D35" i="6"/>
  <c r="C35" i="6"/>
  <c r="B35" i="6"/>
  <c r="G34" i="6"/>
  <c r="F34" i="6"/>
  <c r="E34" i="6"/>
  <c r="D34" i="6"/>
  <c r="C34" i="6"/>
  <c r="B34" i="6"/>
  <c r="G33" i="6"/>
  <c r="F33" i="6"/>
  <c r="E33" i="6"/>
  <c r="D33" i="6"/>
  <c r="C33" i="6"/>
  <c r="B33" i="6"/>
  <c r="G32" i="6"/>
  <c r="F32" i="6"/>
  <c r="E32" i="6"/>
  <c r="D32" i="6"/>
  <c r="C32" i="6"/>
  <c r="B32" i="6"/>
  <c r="G31" i="6"/>
  <c r="F31" i="6"/>
  <c r="E31" i="6"/>
  <c r="D31" i="6"/>
  <c r="C31" i="6"/>
  <c r="B31" i="6"/>
  <c r="G30" i="6"/>
  <c r="F30" i="6"/>
  <c r="E30" i="6"/>
  <c r="D30" i="6"/>
  <c r="C30" i="6"/>
  <c r="B30" i="6"/>
  <c r="G29" i="6"/>
  <c r="F29" i="6"/>
  <c r="E29" i="6"/>
  <c r="D29" i="6"/>
  <c r="C29" i="6"/>
  <c r="B29" i="6"/>
  <c r="G28" i="6"/>
  <c r="F28" i="6"/>
  <c r="E28" i="6"/>
  <c r="D28" i="6"/>
  <c r="C28" i="6"/>
  <c r="B28" i="6"/>
  <c r="G27" i="6"/>
  <c r="F27" i="6"/>
  <c r="E27" i="6"/>
  <c r="D27" i="6"/>
  <c r="C27" i="6"/>
  <c r="B27" i="6"/>
  <c r="G26" i="6"/>
  <c r="F26" i="6"/>
  <c r="E26" i="6"/>
  <c r="D26" i="6"/>
  <c r="C26" i="6"/>
  <c r="B26" i="6"/>
  <c r="G25" i="6"/>
  <c r="F25" i="6"/>
  <c r="E25" i="6"/>
  <c r="D25" i="6"/>
  <c r="C25" i="6"/>
  <c r="B25" i="6"/>
  <c r="G24" i="6"/>
  <c r="F24" i="6"/>
  <c r="E24" i="6"/>
  <c r="D24" i="6"/>
  <c r="C24" i="6"/>
  <c r="B24" i="6"/>
  <c r="G23" i="6"/>
  <c r="F23" i="6"/>
  <c r="E23" i="6"/>
  <c r="D23" i="6"/>
  <c r="C23" i="6"/>
  <c r="B23" i="6"/>
  <c r="G22" i="6"/>
  <c r="F22" i="6"/>
  <c r="E22" i="6"/>
  <c r="D22" i="6"/>
  <c r="C22" i="6"/>
  <c r="B22" i="6"/>
  <c r="G21" i="6"/>
  <c r="F21" i="6"/>
  <c r="E21" i="6"/>
  <c r="D21" i="6"/>
  <c r="C21" i="6"/>
  <c r="B21" i="6"/>
  <c r="G20" i="6"/>
  <c r="F20" i="6"/>
  <c r="E20" i="6"/>
  <c r="D20" i="6"/>
  <c r="C20" i="6"/>
  <c r="B20" i="6"/>
  <c r="G19" i="6"/>
  <c r="F19" i="6"/>
  <c r="E19" i="6"/>
  <c r="D19" i="6"/>
  <c r="C19" i="6"/>
  <c r="B19" i="6"/>
  <c r="G18" i="6"/>
  <c r="F18" i="6"/>
  <c r="E18" i="6"/>
  <c r="D18" i="6"/>
  <c r="C18" i="6"/>
  <c r="B18" i="6"/>
  <c r="G17" i="6"/>
  <c r="F17" i="6"/>
  <c r="E17" i="6"/>
  <c r="D17" i="6"/>
  <c r="C17" i="6"/>
  <c r="B17" i="6"/>
  <c r="G16" i="6"/>
  <c r="F16" i="6"/>
  <c r="E16" i="6"/>
  <c r="D16" i="6"/>
  <c r="C16" i="6"/>
  <c r="B16" i="6"/>
  <c r="G15" i="6"/>
  <c r="F15" i="6"/>
  <c r="E15" i="6"/>
  <c r="D15" i="6"/>
  <c r="C15" i="6"/>
  <c r="B15" i="6"/>
  <c r="G14" i="6"/>
  <c r="F14" i="6"/>
  <c r="E14" i="6"/>
  <c r="D14" i="6"/>
  <c r="C14" i="6"/>
  <c r="B14" i="6"/>
  <c r="G13" i="6"/>
  <c r="F13" i="6"/>
  <c r="E13" i="6"/>
  <c r="D13" i="6"/>
  <c r="C13" i="6"/>
  <c r="B13" i="6"/>
  <c r="G12" i="6"/>
  <c r="F12" i="6"/>
  <c r="E12" i="6"/>
  <c r="D12" i="6"/>
  <c r="C12" i="6"/>
  <c r="B12" i="6"/>
  <c r="G11" i="6"/>
  <c r="F11" i="6"/>
  <c r="E11" i="6"/>
  <c r="D11" i="6"/>
  <c r="C11" i="6"/>
  <c r="B11" i="6"/>
  <c r="G10" i="6"/>
  <c r="F10" i="6"/>
  <c r="E10" i="6"/>
  <c r="D10" i="6"/>
  <c r="C10" i="6"/>
  <c r="B10" i="6"/>
  <c r="G9" i="6"/>
  <c r="F9" i="6"/>
  <c r="E9" i="6"/>
  <c r="D9" i="6"/>
  <c r="C9" i="6"/>
  <c r="B9" i="6"/>
  <c r="G7" i="6"/>
  <c r="F7" i="6"/>
  <c r="C7" i="6"/>
  <c r="B7" i="6"/>
  <c r="G77" i="5" l="1"/>
  <c r="F77" i="5"/>
  <c r="E77" i="5"/>
  <c r="D77" i="5"/>
  <c r="C77" i="5"/>
  <c r="B77" i="5"/>
  <c r="G76" i="5"/>
  <c r="F76" i="5"/>
  <c r="E76" i="5"/>
  <c r="D76" i="5"/>
  <c r="C76" i="5"/>
  <c r="B76" i="5"/>
  <c r="G75" i="5"/>
  <c r="F75" i="5"/>
  <c r="E75" i="5"/>
  <c r="D75" i="5"/>
  <c r="C75" i="5"/>
  <c r="B75" i="5"/>
  <c r="G74" i="5"/>
  <c r="F74" i="5"/>
  <c r="E74" i="5"/>
  <c r="D74" i="5"/>
  <c r="C74" i="5"/>
  <c r="B74" i="5"/>
  <c r="G73" i="5"/>
  <c r="F73" i="5"/>
  <c r="E73" i="5"/>
  <c r="D73" i="5"/>
  <c r="C73" i="5"/>
  <c r="B73" i="5"/>
  <c r="G72" i="5"/>
  <c r="F72" i="5"/>
  <c r="E72" i="5"/>
  <c r="D72" i="5"/>
  <c r="C72" i="5"/>
  <c r="B72" i="5"/>
  <c r="G71" i="5"/>
  <c r="F71" i="5"/>
  <c r="E71" i="5"/>
  <c r="D71" i="5"/>
  <c r="C71" i="5"/>
  <c r="B71" i="5"/>
  <c r="G70" i="5"/>
  <c r="F70" i="5"/>
  <c r="E70" i="5"/>
  <c r="D70" i="5"/>
  <c r="C70" i="5"/>
  <c r="B70" i="5"/>
  <c r="G69" i="5"/>
  <c r="F69" i="5"/>
  <c r="E69" i="5"/>
  <c r="D69" i="5"/>
  <c r="C69" i="5"/>
  <c r="B69" i="5"/>
  <c r="G68" i="5"/>
  <c r="F68" i="5"/>
  <c r="E68" i="5"/>
  <c r="D68" i="5"/>
  <c r="C68" i="5"/>
  <c r="B68" i="5"/>
  <c r="G67" i="5"/>
  <c r="F67" i="5"/>
  <c r="E67" i="5"/>
  <c r="D67" i="5"/>
  <c r="C67" i="5"/>
  <c r="B67" i="5"/>
  <c r="G66" i="5"/>
  <c r="F66" i="5"/>
  <c r="E66" i="5"/>
  <c r="D66" i="5"/>
  <c r="C66" i="5"/>
  <c r="B66" i="5"/>
  <c r="G65" i="5"/>
  <c r="F65" i="5"/>
  <c r="E65" i="5"/>
  <c r="D65" i="5"/>
  <c r="C65" i="5"/>
  <c r="B65" i="5"/>
  <c r="G64" i="5"/>
  <c r="F64" i="5"/>
  <c r="E64" i="5"/>
  <c r="D64" i="5"/>
  <c r="C64" i="5"/>
  <c r="B64" i="5"/>
  <c r="G63" i="5"/>
  <c r="F63" i="5"/>
  <c r="E63" i="5"/>
  <c r="D63" i="5"/>
  <c r="C63" i="5"/>
  <c r="B63" i="5"/>
  <c r="G62" i="5"/>
  <c r="F62" i="5"/>
  <c r="E62" i="5"/>
  <c r="D62" i="5"/>
  <c r="C62" i="5"/>
  <c r="B62" i="5"/>
  <c r="G61" i="5"/>
  <c r="F61" i="5"/>
  <c r="E61" i="5"/>
  <c r="D61" i="5"/>
  <c r="C61" i="5"/>
  <c r="B61" i="5"/>
  <c r="G60" i="5"/>
  <c r="F60" i="5"/>
  <c r="E60" i="5"/>
  <c r="D60" i="5"/>
  <c r="C60" i="5"/>
  <c r="B60" i="5"/>
  <c r="G59" i="5"/>
  <c r="F59" i="5"/>
  <c r="E59" i="5"/>
  <c r="D59" i="5"/>
  <c r="C59" i="5"/>
  <c r="B59" i="5"/>
  <c r="G58" i="5"/>
  <c r="F58" i="5"/>
  <c r="E58" i="5"/>
  <c r="D58" i="5"/>
  <c r="C58" i="5"/>
  <c r="B58" i="5"/>
  <c r="G57" i="5"/>
  <c r="F57" i="5"/>
  <c r="E57" i="5"/>
  <c r="D57" i="5"/>
  <c r="C57" i="5"/>
  <c r="B57" i="5"/>
  <c r="G56" i="5"/>
  <c r="F56" i="5"/>
  <c r="E56" i="5"/>
  <c r="D56" i="5"/>
  <c r="B56" i="5"/>
  <c r="G55" i="5"/>
  <c r="F55" i="5"/>
  <c r="E55" i="5"/>
  <c r="D55" i="5"/>
  <c r="C55" i="5"/>
  <c r="B55" i="5"/>
  <c r="G54" i="5"/>
  <c r="F54" i="5"/>
  <c r="E54" i="5"/>
  <c r="D54" i="5"/>
  <c r="C54" i="5"/>
  <c r="B54" i="5"/>
  <c r="G53" i="5"/>
  <c r="F53" i="5"/>
  <c r="E53" i="5"/>
  <c r="D53" i="5"/>
  <c r="C53" i="5"/>
  <c r="B53" i="5"/>
  <c r="G52" i="5"/>
  <c r="F52" i="5"/>
  <c r="E52" i="5"/>
  <c r="D52" i="5"/>
  <c r="C52" i="5"/>
  <c r="B52" i="5"/>
  <c r="G51" i="5"/>
  <c r="F51" i="5"/>
  <c r="E51" i="5"/>
  <c r="D51" i="5"/>
  <c r="C51" i="5"/>
  <c r="B51" i="5"/>
  <c r="G50" i="5"/>
  <c r="F50" i="5"/>
  <c r="E50" i="5"/>
  <c r="D50" i="5"/>
  <c r="C50" i="5"/>
  <c r="B50" i="5"/>
  <c r="G49" i="5"/>
  <c r="F49" i="5"/>
  <c r="E49" i="5"/>
  <c r="D49" i="5"/>
  <c r="B49" i="5"/>
  <c r="G48" i="5"/>
  <c r="F48" i="5"/>
  <c r="E48" i="5"/>
  <c r="D48" i="5"/>
  <c r="C48" i="5"/>
  <c r="B48" i="5"/>
  <c r="G47" i="5"/>
  <c r="F47" i="5"/>
  <c r="E47" i="5"/>
  <c r="D47" i="5"/>
  <c r="C47" i="5"/>
  <c r="B47" i="5"/>
  <c r="G46" i="5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B39" i="5"/>
  <c r="G38" i="5"/>
  <c r="F38" i="5"/>
  <c r="E38" i="5"/>
  <c r="D38" i="5"/>
  <c r="C38" i="5"/>
  <c r="B38" i="5"/>
  <c r="G37" i="5"/>
  <c r="F37" i="5"/>
  <c r="E37" i="5"/>
  <c r="D37" i="5"/>
  <c r="B37" i="5"/>
  <c r="G36" i="5"/>
  <c r="F36" i="5"/>
  <c r="E36" i="5"/>
  <c r="D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G23" i="5"/>
  <c r="F23" i="5"/>
  <c r="E23" i="5"/>
  <c r="D23" i="5"/>
  <c r="C23" i="5"/>
  <c r="B23" i="5"/>
  <c r="G22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B10" i="5"/>
  <c r="G9" i="5"/>
  <c r="F9" i="5"/>
  <c r="E9" i="5"/>
  <c r="D9" i="5"/>
  <c r="C9" i="5"/>
  <c r="B9" i="5"/>
  <c r="G7" i="5"/>
  <c r="F7" i="5"/>
  <c r="C7" i="5"/>
  <c r="B7" i="5"/>
  <c r="G110" i="2" l="1"/>
  <c r="F110" i="2"/>
  <c r="E110" i="2"/>
  <c r="D110" i="2"/>
  <c r="C110" i="2"/>
  <c r="B110" i="2"/>
  <c r="G109" i="2"/>
  <c r="F109" i="2"/>
  <c r="E109" i="2"/>
  <c r="D109" i="2"/>
  <c r="C109" i="2"/>
  <c r="B109" i="2"/>
  <c r="G108" i="2"/>
  <c r="F108" i="2"/>
  <c r="E108" i="2"/>
  <c r="D108" i="2"/>
  <c r="B108" i="2"/>
  <c r="G107" i="2"/>
  <c r="F107" i="2"/>
  <c r="E107" i="2"/>
  <c r="D107" i="2"/>
  <c r="C107" i="2"/>
  <c r="B107" i="2"/>
  <c r="G106" i="2"/>
  <c r="F106" i="2"/>
  <c r="E106" i="2"/>
  <c r="D106" i="2"/>
  <c r="C106" i="2"/>
  <c r="B106" i="2"/>
  <c r="G105" i="2"/>
  <c r="F105" i="2"/>
  <c r="E105" i="2"/>
  <c r="D105" i="2"/>
  <c r="B105" i="2"/>
  <c r="G104" i="2"/>
  <c r="F104" i="2"/>
  <c r="E104" i="2"/>
  <c r="D104" i="2"/>
  <c r="B104" i="2"/>
  <c r="G103" i="2"/>
  <c r="F103" i="2"/>
  <c r="E103" i="2"/>
  <c r="D103" i="2"/>
  <c r="B103" i="2"/>
  <c r="G102" i="2"/>
  <c r="F102" i="2"/>
  <c r="E102" i="2"/>
  <c r="D102" i="2"/>
  <c r="C102" i="2"/>
  <c r="B102" i="2"/>
  <c r="G101" i="2"/>
  <c r="F101" i="2"/>
  <c r="E101" i="2"/>
  <c r="D101" i="2"/>
  <c r="C101" i="2"/>
  <c r="B101" i="2"/>
  <c r="G100" i="2"/>
  <c r="F100" i="2"/>
  <c r="E100" i="2"/>
  <c r="D100" i="2"/>
  <c r="C100" i="2"/>
  <c r="B100" i="2"/>
  <c r="G99" i="2"/>
  <c r="F99" i="2"/>
  <c r="E99" i="2"/>
  <c r="D99" i="2"/>
  <c r="B99" i="2"/>
  <c r="G98" i="2"/>
  <c r="F98" i="2"/>
  <c r="E98" i="2"/>
  <c r="D98" i="2"/>
  <c r="C98" i="2"/>
  <c r="B98" i="2"/>
  <c r="G97" i="2"/>
  <c r="F97" i="2"/>
  <c r="E97" i="2"/>
  <c r="D97" i="2"/>
  <c r="B97" i="2"/>
  <c r="G96" i="2"/>
  <c r="F96" i="2"/>
  <c r="E96" i="2"/>
  <c r="D96" i="2"/>
  <c r="C96" i="2"/>
  <c r="B96" i="2"/>
  <c r="G95" i="2"/>
  <c r="F95" i="2"/>
  <c r="E95" i="2"/>
  <c r="D95" i="2"/>
  <c r="B95" i="2"/>
  <c r="G94" i="2"/>
  <c r="F94" i="2"/>
  <c r="E94" i="2"/>
  <c r="D94" i="2"/>
  <c r="C94" i="2"/>
  <c r="B94" i="2"/>
  <c r="G93" i="2"/>
  <c r="F93" i="2"/>
  <c r="E93" i="2"/>
  <c r="D93" i="2"/>
  <c r="C93" i="2"/>
  <c r="B93" i="2"/>
  <c r="G92" i="2"/>
  <c r="F92" i="2"/>
  <c r="E92" i="2"/>
  <c r="D92" i="2"/>
  <c r="B92" i="2"/>
  <c r="G91" i="2"/>
  <c r="F91" i="2"/>
  <c r="E91" i="2"/>
  <c r="D91" i="2"/>
  <c r="C91" i="2"/>
  <c r="B91" i="2"/>
  <c r="G90" i="2"/>
  <c r="F90" i="2"/>
  <c r="E90" i="2"/>
  <c r="D90" i="2"/>
  <c r="C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C86" i="2"/>
  <c r="B86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C78" i="2"/>
  <c r="B78" i="2"/>
  <c r="G77" i="2"/>
  <c r="F77" i="2"/>
  <c r="E77" i="2"/>
  <c r="D77" i="2"/>
  <c r="B77" i="2"/>
  <c r="G76" i="2"/>
  <c r="F76" i="2"/>
  <c r="E76" i="2"/>
  <c r="D76" i="2"/>
  <c r="B76" i="2"/>
  <c r="G75" i="2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D73" i="2"/>
  <c r="C73" i="2"/>
  <c r="B73" i="2"/>
  <c r="G72" i="2"/>
  <c r="F72" i="2"/>
  <c r="E72" i="2"/>
  <c r="D72" i="2"/>
  <c r="C72" i="2"/>
  <c r="B72" i="2"/>
  <c r="G71" i="2"/>
  <c r="F71" i="2"/>
  <c r="E71" i="2"/>
  <c r="D71" i="2"/>
  <c r="B71" i="2"/>
  <c r="G70" i="2"/>
  <c r="F70" i="2"/>
  <c r="E70" i="2"/>
  <c r="D70" i="2"/>
  <c r="C70" i="2"/>
  <c r="B70" i="2"/>
  <c r="G69" i="2"/>
  <c r="F69" i="2"/>
  <c r="E69" i="2"/>
  <c r="D69" i="2"/>
  <c r="C69" i="2"/>
  <c r="B69" i="2"/>
  <c r="G68" i="2"/>
  <c r="F68" i="2"/>
  <c r="E68" i="2"/>
  <c r="D68" i="2"/>
  <c r="B68" i="2"/>
  <c r="G67" i="2"/>
  <c r="F67" i="2"/>
  <c r="E67" i="2"/>
  <c r="D67" i="2"/>
  <c r="C67" i="2"/>
  <c r="B67" i="2"/>
  <c r="G66" i="2"/>
  <c r="F66" i="2"/>
  <c r="E66" i="2"/>
  <c r="D66" i="2"/>
  <c r="C66" i="2"/>
  <c r="B66" i="2"/>
  <c r="G65" i="2"/>
  <c r="F65" i="2"/>
  <c r="E65" i="2"/>
  <c r="D65" i="2"/>
  <c r="C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C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C42" i="2"/>
  <c r="B42" i="2"/>
  <c r="G41" i="2"/>
  <c r="F41" i="2"/>
  <c r="E41" i="2"/>
  <c r="D41" i="2"/>
  <c r="B41" i="2"/>
  <c r="G40" i="2"/>
  <c r="F40" i="2"/>
  <c r="E40" i="2"/>
  <c r="D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6" i="2"/>
  <c r="F6" i="2"/>
  <c r="C6" i="2"/>
  <c r="B6" i="2"/>
  <c r="G98" i="1" l="1"/>
  <c r="F98" i="1"/>
  <c r="E98" i="1"/>
  <c r="D98" i="1"/>
  <c r="C98" i="1"/>
  <c r="B98" i="1"/>
  <c r="G97" i="1"/>
  <c r="F97" i="1"/>
  <c r="E97" i="1"/>
  <c r="D97" i="1"/>
  <c r="B97" i="1"/>
  <c r="G96" i="1"/>
  <c r="F96" i="1"/>
  <c r="E96" i="1"/>
  <c r="D96" i="1"/>
  <c r="C96" i="1"/>
  <c r="B96" i="1"/>
  <c r="G95" i="1"/>
  <c r="F95" i="1"/>
  <c r="E95" i="1"/>
  <c r="D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B80" i="1"/>
  <c r="G79" i="1"/>
  <c r="F79" i="1"/>
  <c r="E79" i="1"/>
  <c r="D79" i="1"/>
  <c r="B79" i="1"/>
  <c r="G78" i="1"/>
  <c r="F78" i="1"/>
  <c r="E78" i="1"/>
  <c r="D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B75" i="1"/>
  <c r="G74" i="1"/>
  <c r="F74" i="1"/>
  <c r="E74" i="1"/>
  <c r="D74" i="1"/>
  <c r="C74" i="1"/>
  <c r="B74" i="1"/>
  <c r="G73" i="1"/>
  <c r="F73" i="1"/>
  <c r="E73" i="1"/>
  <c r="D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B68" i="1"/>
  <c r="G67" i="1"/>
  <c r="F67" i="1"/>
  <c r="E67" i="1"/>
  <c r="D67" i="1"/>
  <c r="B67" i="1"/>
  <c r="G66" i="1"/>
  <c r="F66" i="1"/>
  <c r="E66" i="1"/>
  <c r="D66" i="1"/>
  <c r="B66" i="1"/>
  <c r="G65" i="1"/>
  <c r="F65" i="1"/>
  <c r="E65" i="1"/>
  <c r="D65" i="1"/>
  <c r="B65" i="1"/>
  <c r="G64" i="1"/>
  <c r="F64" i="1"/>
  <c r="E64" i="1"/>
  <c r="D64" i="1"/>
  <c r="C64" i="1"/>
  <c r="B64" i="1"/>
  <c r="G63" i="1"/>
  <c r="F63" i="1"/>
  <c r="E63" i="1"/>
  <c r="D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B32" i="1"/>
  <c r="G31" i="1"/>
  <c r="F31" i="1"/>
  <c r="E31" i="1"/>
  <c r="D31" i="1"/>
  <c r="C31" i="1"/>
  <c r="B31" i="1"/>
  <c r="G30" i="1"/>
  <c r="F30" i="1"/>
  <c r="E30" i="1"/>
  <c r="D30" i="1"/>
  <c r="B30" i="1"/>
  <c r="G29" i="1"/>
  <c r="F29" i="1"/>
  <c r="E29" i="1"/>
  <c r="D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B22" i="1"/>
  <c r="G21" i="1"/>
  <c r="F21" i="1"/>
  <c r="E21" i="1"/>
  <c r="D21" i="1"/>
  <c r="B21" i="1"/>
  <c r="G20" i="1"/>
  <c r="F20" i="1"/>
  <c r="E20" i="1"/>
  <c r="D20" i="1"/>
  <c r="C20" i="1"/>
  <c r="B20" i="1"/>
  <c r="G19" i="1"/>
  <c r="F19" i="1"/>
  <c r="E19" i="1"/>
  <c r="D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B15" i="1"/>
  <c r="G14" i="1"/>
  <c r="F14" i="1"/>
  <c r="E14" i="1"/>
  <c r="D14" i="1"/>
  <c r="B14" i="1"/>
  <c r="G13" i="1"/>
  <c r="F13" i="1"/>
  <c r="E13" i="1"/>
  <c r="D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6" i="1"/>
  <c r="F6" i="1"/>
  <c r="C6" i="1"/>
  <c r="B6" i="1"/>
</calcChain>
</file>

<file path=xl/sharedStrings.xml><?xml version="1.0" encoding="utf-8"?>
<sst xmlns="http://schemas.openxmlformats.org/spreadsheetml/2006/main" count="796" uniqueCount="310">
  <si>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</si>
  <si>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</si>
  <si>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</si>
  <si>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</si>
  <si>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</si>
  <si>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</si>
  <si>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</si>
  <si>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</si>
  <si>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</si>
  <si>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</si>
  <si>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</si>
  <si>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</si>
  <si>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</si>
  <si>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</si>
  <si>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</si>
  <si>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</si>
  <si>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</si>
  <si>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</si>
  <si>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</si>
  <si>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</si>
  <si>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</si>
  <si>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</si>
  <si>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</si>
  <si>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</si>
  <si>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</si>
  <si>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</si>
  <si>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</si>
  <si>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</si>
  <si>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</si>
  <si>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</si>
  <si>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</si>
  <si>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</si>
  <si>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</si>
  <si>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</si>
  <si>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</si>
  <si>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</si>
  <si>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</si>
  <si>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</si>
  <si>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</si>
  <si>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</si>
  <si>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</si>
  <si>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</si>
  <si>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</si>
  <si>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</si>
  <si>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</si>
  <si>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</si>
  <si>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</si>
  <si>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</si>
  <si>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</si>
  <si>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</si>
  <si>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</si>
  <si>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</si>
  <si>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</si>
  <si>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</si>
  <si>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</si>
  <si>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</si>
  <si>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</si>
  <si>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</si>
  <si>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</si>
  <si>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</si>
  <si>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</si>
  <si>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</si>
  <si>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</si>
  <si>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</si>
  <si>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</si>
  <si>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</si>
  <si>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</si>
  <si>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</si>
  <si>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</si>
  <si>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</si>
  <si>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</si>
  <si>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</si>
  <si>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</si>
  <si>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</si>
  <si>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</si>
  <si>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</si>
  <si>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</si>
  <si>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</si>
  <si>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</si>
  <si>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</si>
  <si>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</si>
  <si>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</si>
  <si>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</si>
  <si>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</si>
  <si>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</si>
  <si>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</si>
  <si>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</si>
  <si>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</si>
  <si>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</si>
  <si>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</si>
  <si>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</si>
  <si>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</si>
  <si>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</si>
  <si>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</si>
  <si>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</si>
  <si>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</si>
  <si>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</si>
  <si>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</si>
  <si>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</si>
  <si>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</si>
  <si>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de 2,2 ori</t>
  </si>
  <si>
    <t>mii dolari        SUA</t>
  </si>
  <si>
    <t>EXPORT - total</t>
  </si>
  <si>
    <t>Oman</t>
  </si>
  <si>
    <t>Albania</t>
  </si>
  <si>
    <t>de 1,8 ori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</si>
  <si>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</si>
  <si>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</si>
  <si>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</si>
  <si>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</si>
  <si>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</si>
  <si>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</si>
  <si>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</si>
  <si>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de 2,3 ori</t>
  </si>
  <si>
    <t>mii dolari         SUA</t>
  </si>
  <si>
    <t>Belize</t>
  </si>
  <si>
    <t>de 3,2 ori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</si>
  <si>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</si>
  <si>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</si>
  <si>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</si>
  <si>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</si>
  <si>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</si>
  <si>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</si>
  <si>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</si>
  <si>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</si>
  <si>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</si>
  <si>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</si>
  <si>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</si>
  <si>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Regatul Unit al Marii Britanii şi Irlandei de Nord</t>
  </si>
  <si>
    <t>Franţa</t>
  </si>
  <si>
    <t>Croaţia</t>
  </si>
  <si>
    <t>Federaţia Rusă</t>
  </si>
  <si>
    <t>de 1,5 ori</t>
  </si>
  <si>
    <t>Kârgâzstan</t>
  </si>
  <si>
    <t>Elveţia</t>
  </si>
  <si>
    <t>Siria</t>
  </si>
  <si>
    <t>Afganistan</t>
  </si>
  <si>
    <t>IMPORT - total</t>
  </si>
  <si>
    <t>de 3,0 ori</t>
  </si>
  <si>
    <t>San Marino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</si>
  <si>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</si>
  <si>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</si>
  <si>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</si>
  <si>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</si>
  <si>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</si>
  <si>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</si>
  <si>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2020¹</t>
  </si>
  <si>
    <t>Bosnia şi Herţegovina</t>
  </si>
  <si>
    <t>Burkina Faso</t>
  </si>
  <si>
    <t>Macedonia de Nord</t>
  </si>
  <si>
    <t>Andorra</t>
  </si>
  <si>
    <t>Cote D'Ivoire</t>
  </si>
  <si>
    <t>de 2,5 ori</t>
  </si>
  <si>
    <t>Insulele Feroe</t>
  </si>
  <si>
    <t>Antigua şi Barbuda</t>
  </si>
  <si>
    <t>Insulele Folkland</t>
  </si>
  <si>
    <t>Laos</t>
  </si>
  <si>
    <t>de 2,6 ori</t>
  </si>
  <si>
    <t xml:space="preserve"> - </t>
  </si>
  <si>
    <t xml:space="preserve"> -</t>
  </si>
  <si>
    <t xml:space="preserve">     din care:</t>
  </si>
  <si>
    <t>de 5,4 ori</t>
  </si>
  <si>
    <t>Republica Yemen</t>
  </si>
  <si>
    <t>Zimbabwe</t>
  </si>
  <si>
    <t>Madagascar</t>
  </si>
  <si>
    <t>Camerun</t>
  </si>
  <si>
    <t xml:space="preserve">EXPORT - total      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</si>
  <si>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</si>
  <si>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</si>
  <si>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grupe de ţări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</si>
  <si>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</si>
  <si>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pe grupe de ţări și moduri de transport a mărfurilor</t>
    </r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</si>
  <si>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</si>
  <si>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</si>
  <si>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</si>
  <si>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Insulele Georgia si Sandwich de Sud</t>
  </si>
  <si>
    <t>Liechtenstein</t>
  </si>
  <si>
    <t>Tanzania</t>
  </si>
  <si>
    <t>Sierra Leone</t>
  </si>
  <si>
    <t>Mali</t>
  </si>
  <si>
    <t>de 4,1 ori</t>
  </si>
  <si>
    <t>de 4,5 ori</t>
  </si>
  <si>
    <t>de 2,8 ori</t>
  </si>
  <si>
    <t>de 2,4 ori</t>
  </si>
  <si>
    <t>Ţările Uniunii Europene (UE-27) - total</t>
  </si>
  <si>
    <t xml:space="preserve">Ţările CSI - total </t>
  </si>
  <si>
    <t xml:space="preserve">Celelalte ţări ale lumii - total </t>
  </si>
  <si>
    <t>Țările Uniunii Europene (UE-27) - total</t>
  </si>
  <si>
    <t xml:space="preserve">Țările CSI - total </t>
  </si>
  <si>
    <t>Celelalte țări ale lumii - total</t>
  </si>
  <si>
    <t xml:space="preserve">Celelalte țări ale lumii - total </t>
  </si>
  <si>
    <t>Ianuarie - aprilie 2020</t>
  </si>
  <si>
    <t>în % faţă de ianuarie-aprilie 2019¹</t>
  </si>
  <si>
    <t>ianuarie - aprilie</t>
  </si>
  <si>
    <t>Ianuarie - aprilie</t>
  </si>
  <si>
    <t>Ianuarie - aprilie 2020    în % faţă de                          ianuarie - aprilie 2019¹</t>
  </si>
  <si>
    <t>în % faţă de ianuarie - aprilie 2019¹</t>
  </si>
  <si>
    <t>Ianuarie - aprilie 2020      în % faţă de                          ianuarie - aprilie 2019¹</t>
  </si>
  <si>
    <t>Ţările CSI - total</t>
  </si>
  <si>
    <t>Celelalte ţări ale lumii - total</t>
  </si>
  <si>
    <t>Liberia</t>
  </si>
  <si>
    <t>de 331,8 ori</t>
  </si>
  <si>
    <t>de 15,9 ori</t>
  </si>
  <si>
    <t>de 68,1 ori</t>
  </si>
  <si>
    <t>de 8,7 ori</t>
  </si>
  <si>
    <t>de 13,9 ori</t>
  </si>
  <si>
    <t>de 922,6 ori</t>
  </si>
  <si>
    <t>de 115,2 ori</t>
  </si>
  <si>
    <t>Ţarile CSI - total</t>
  </si>
  <si>
    <t>Sri Lanka</t>
  </si>
  <si>
    <t>Cambodgia</t>
  </si>
  <si>
    <t>de 34,3 ori</t>
  </si>
  <si>
    <t>de 18,4 ori</t>
  </si>
  <si>
    <t>de 53,4 ori</t>
  </si>
  <si>
    <t>de 30,7 ori</t>
  </si>
  <si>
    <t>de 3,4 ori</t>
  </si>
  <si>
    <t>de 3,1 ori</t>
  </si>
  <si>
    <t>Produse alimentare și animale vii</t>
  </si>
  <si>
    <t>Carne și preparate din carne</t>
  </si>
  <si>
    <t>Produse lactate și ouă de păsări</t>
  </si>
  <si>
    <t>Pește, crustacee, moluște</t>
  </si>
  <si>
    <t>Cereale și preparate pe bază de cereale</t>
  </si>
  <si>
    <t>Legume și fructe</t>
  </si>
  <si>
    <t>Zahăr, preparate pe bază de zahăr; miere</t>
  </si>
  <si>
    <t>Cafea, ceai, cacao, condimente și înlocuitori ai acestora</t>
  </si>
  <si>
    <t>Hrană destinată animalelor (exclusiv cereale nemăcinate)</t>
  </si>
  <si>
    <t>Produse și preparate alimentare diverse</t>
  </si>
  <si>
    <t xml:space="preserve">Băuturi și tutun </t>
  </si>
  <si>
    <t>Bauturi (alcoolice și nealcoolice)</t>
  </si>
  <si>
    <t>Tutun brut și prelucrat</t>
  </si>
  <si>
    <t>Piei crude, piei tăbăcite și blănuri brute</t>
  </si>
  <si>
    <t>Semințe și fructe oleaginoase</t>
  </si>
  <si>
    <t>Cauciuc brut (inclusiv cauciuc sintetic și regenerat)</t>
  </si>
  <si>
    <t>Lemn și plută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</si>
  <si>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</si>
  <si>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</si>
  <si>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</si>
  <si>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</si>
  <si>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</si>
  <si>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</si>
  <si>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</si>
  <si>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Energie electrică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</si>
  <si>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</si>
  <si>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</si>
  <si>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</si>
  <si>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</si>
  <si>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</si>
  <si>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</si>
  <si>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</si>
  <si>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</si>
  <si>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Mărfuri manufacturate, clasificate mai ales după materia primă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</si>
  <si>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</si>
  <si>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</si>
  <si>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</si>
  <si>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</si>
  <si>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</si>
  <si>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</si>
  <si>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</si>
  <si>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</si>
  <si>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</si>
  <si>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</si>
  <si>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</si>
  <si>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</si>
  <si>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</si>
  <si>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</si>
  <si>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</si>
  <si>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</si>
  <si>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</si>
  <si>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</si>
  <si>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</si>
  <si>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ştiintifice şi de control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</si>
  <si>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</si>
  <si>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</si>
  <si>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</si>
  <si>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</si>
  <si>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</si>
  <si>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</si>
  <si>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</si>
  <si>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</si>
  <si>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</si>
  <si>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</si>
  <si>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</si>
  <si>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</si>
  <si>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</si>
  <si>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</si>
  <si>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</si>
  <si>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</si>
  <si>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</si>
  <si>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</si>
  <si>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</si>
  <si>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Uleiuri și grăsimi de origine animală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</si>
  <si>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</si>
  <si>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</si>
  <si>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</si>
  <si>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</si>
  <si>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de 5,8 ori</t>
  </si>
  <si>
    <t>BALANŢA COMERCIALĂ – total, mii dolari SUA</t>
  </si>
  <si>
    <t>Franța</t>
  </si>
  <si>
    <t>Croația</t>
  </si>
  <si>
    <t>Federația Rusă</t>
  </si>
  <si>
    <t>Regatul Unit al Marii Britanii și Irlandei de Nord</t>
  </si>
  <si>
    <t>Insulele Georgia și Sandwich de Sud</t>
  </si>
  <si>
    <t>Antigua și Barbuda</t>
  </si>
  <si>
    <t>Mauritius</t>
  </si>
  <si>
    <t>Republica Dominicană</t>
  </si>
  <si>
    <t>Cuba</t>
  </si>
  <si>
    <t>Bosnia și Herțegovina</t>
  </si>
  <si>
    <t>Elveția</t>
  </si>
  <si>
    <t>de 7,4 ori</t>
  </si>
  <si>
    <t>de 30,5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</si>
</sst>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9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05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164" fontId="11" fillId="0" borderId="0" xfId="0" applyNumberFormat="1" applyFont="1" applyFill="1" applyAlignment="1" applyProtection="1">
      <alignment horizontal="right"/>
    </xf>
    <xf numFmtId="164" fontId="9" fillId="0" borderId="0" xfId="0" applyNumberFormat="1" applyFont="1" applyFill="1" applyAlignment="1" applyProtection="1">
      <alignment horizontal="right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2" fontId="12" fillId="0" borderId="0" xfId="0" applyNumberFormat="1" applyFont="1" applyFill="1" applyAlignment="1" applyProtection="1">
      <alignment horizontal="right"/>
    </xf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38" fontId="23" fillId="0" borderId="0" xfId="0" applyNumberFormat="1" applyFont="1" applyFill="1" applyBorder="1" applyAlignment="1" applyProtection="1">
      <alignment horizontal="left" vertical="top" wrapText="1"/>
    </xf>
    <xf numFmtId="4" fontId="22" fillId="0" borderId="0" xfId="0" applyNumberFormat="1" applyFont="1" applyFill="1" applyBorder="1" applyAlignment="1" applyProtection="1">
      <alignment horizontal="right" vertical="top" wrapText="1"/>
    </xf>
    <xf numFmtId="4" fontId="22" fillId="0" borderId="0" xfId="0" applyNumberFormat="1" applyFont="1" applyFill="1" applyBorder="1" applyAlignment="1" applyProtection="1">
      <alignment horizontal="right" vertical="top" wrapText="1" inden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0" xfId="0" applyFont="1"/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4" fontId="24" fillId="0" borderId="0" xfId="0" applyNumberFormat="1" applyFont="1" applyFill="1" applyAlignment="1" applyProtection="1">
      <alignment horizontal="right" vertical="top" wrapText="1"/>
    </xf>
    <xf numFmtId="4" fontId="25" fillId="0" borderId="0" xfId="0" applyNumberFormat="1" applyFont="1" applyAlignment="1">
      <alignment horizontal="right" vertical="top" wrapText="1"/>
    </xf>
    <xf numFmtId="4" fontId="24" fillId="0" borderId="0" xfId="0" applyNumberFormat="1" applyFont="1" applyFill="1" applyAlignment="1" applyProtection="1">
      <alignment horizontal="right" vertical="top"/>
    </xf>
    <xf numFmtId="4" fontId="24" fillId="0" borderId="0" xfId="0" applyNumberFormat="1" applyFont="1" applyAlignment="1">
      <alignment horizontal="right" vertical="top" wrapText="1"/>
    </xf>
    <xf numFmtId="4" fontId="24" fillId="0" borderId="0" xfId="0" applyNumberFormat="1" applyFont="1" applyFill="1" applyBorder="1" applyAlignment="1" applyProtection="1">
      <alignment horizontal="right" vertical="top" wrapText="1"/>
    </xf>
    <xf numFmtId="4" fontId="26" fillId="0" borderId="0" xfId="0" applyNumberFormat="1" applyFont="1" applyAlignment="1">
      <alignment horizontal="right" vertical="top" indent="1"/>
    </xf>
    <xf numFmtId="4" fontId="22" fillId="0" borderId="0" xfId="0" applyNumberFormat="1" applyFont="1" applyFill="1" applyBorder="1" applyAlignment="1" applyProtection="1">
      <alignment horizontal="right" vertical="top"/>
    </xf>
    <xf numFmtId="0" fontId="27" fillId="0" borderId="5" xfId="0" applyNumberFormat="1" applyFont="1" applyFill="1" applyBorder="1" applyAlignment="1" applyProtection="1">
      <alignment horizontal="left" vertical="top" wrapText="1"/>
    </xf>
    <xf numFmtId="4" fontId="27" fillId="0" borderId="5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Alignment="1" applyProtection="1">
      <alignment horizontal="left" vertical="top" wrapText="1"/>
    </xf>
    <xf numFmtId="4" fontId="11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Fill="1" applyAlignment="1" applyProtection="1">
      <alignment horizontal="right" vertical="top"/>
    </xf>
    <xf numFmtId="38" fontId="9" fillId="0" borderId="3" xfId="0" applyNumberFormat="1" applyFont="1" applyFill="1" applyBorder="1" applyAlignment="1" applyProtection="1">
      <alignment horizontal="left" vertical="top" wrapText="1"/>
    </xf>
    <xf numFmtId="4" fontId="9" fillId="0" borderId="3" xfId="0" applyNumberFormat="1" applyFont="1" applyFill="1" applyBorder="1" applyAlignment="1" applyProtection="1">
      <alignment horizontal="right" vertical="top"/>
    </xf>
    <xf numFmtId="4" fontId="27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38" fontId="9" fillId="0" borderId="0" xfId="0" applyNumberFormat="1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right" vertical="top"/>
    </xf>
    <xf numFmtId="38" fontId="11" fillId="0" borderId="0" xfId="0" applyNumberFormat="1" applyFont="1" applyFill="1" applyAlignment="1" applyProtection="1">
      <alignment horizontal="left" vertical="top" wrapText="1"/>
    </xf>
    <xf numFmtId="4" fontId="27" fillId="0" borderId="0" xfId="0" applyNumberFormat="1" applyFont="1" applyAlignment="1">
      <alignment horizontal="left" vertical="top" wrapText="1"/>
    </xf>
    <xf numFmtId="4" fontId="9" fillId="0" borderId="0" xfId="0" applyNumberFormat="1" applyFont="1" applyAlignment="1">
      <alignment horizontal="left" vertical="top" wrapText="1"/>
    </xf>
    <xf numFmtId="4" fontId="27" fillId="0" borderId="5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top" indent="1"/>
    </xf>
    <xf numFmtId="4" fontId="11" fillId="0" borderId="3" xfId="0" applyNumberFormat="1" applyFont="1" applyFill="1" applyBorder="1" applyAlignment="1" applyProtection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/>
    </xf>
    <xf numFmtId="4" fontId="27" fillId="0" borderId="0" xfId="0" applyNumberFormat="1" applyFont="1" applyFill="1" applyAlignment="1" applyProtection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Fill="1" applyAlignment="1" applyProtection="1">
      <alignment horizontal="right" vertical="top" wrapText="1"/>
    </xf>
    <xf numFmtId="4" fontId="9" fillId="0" borderId="3" xfId="0" applyNumberFormat="1" applyFont="1" applyBorder="1" applyAlignment="1">
      <alignment horizontal="right" vertical="top" wrapText="1"/>
    </xf>
    <xf numFmtId="0" fontId="2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Fill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Fill="1" applyAlignment="1" applyProtection="1">
      <alignment horizontal="left" vertical="top" wrapTex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4" fontId="26" fillId="0" borderId="0" xfId="0" applyNumberFormat="1" applyFont="1" applyAlignment="1">
      <alignment horizontal="right" vertical="top"/>
    </xf>
    <xf numFmtId="4" fontId="28" fillId="0" borderId="0" xfId="0" applyNumberFormat="1" applyFont="1" applyFill="1" applyAlignment="1" applyProtection="1">
      <alignment horizontal="right" vertical="top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 builtinId="0"/>
    <cellStyle name="Normal 2" xfId="4"/>
    <cellStyle name="Normal 3" xfId="3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9"/>
  <sheetViews>
    <sheetView tabSelected="1" zoomScaleNormal="100" workbookViewId="0">
      <selection activeCell="A87" sqref="A87"/>
    </sheetView>
  </sheetViews>
  <sheetFormatPr defaultRowHeight="15.75" x14ac:dyDescent="0.25"/>
  <cols>
    <col min="1" max="1" width="27.5" style="9" customWidth="1"/>
    <col min="2" max="2" width="13.125" style="9" customWidth="1"/>
    <col min="3" max="3" width="10.75" style="9" customWidth="1"/>
    <col min="4" max="4" width="8.875" style="9" customWidth="1"/>
    <col min="5" max="5" width="9" style="9" customWidth="1"/>
    <col min="6" max="6" width="9.75" style="9" customWidth="1"/>
    <col min="7" max="7" width="10" style="9" customWidth="1"/>
  </cols>
  <sheetData>
    <row r="1" spans="1:7" x14ac:dyDescent="0.25">
      <c r="A1" s="76" t="s">
        <v>167</v>
      </c>
      <c r="B1" s="76"/>
      <c r="C1" s="76"/>
      <c r="D1" s="76"/>
      <c r="E1" s="76"/>
      <c r="F1" s="76"/>
      <c r="G1" s="76"/>
    </row>
    <row r="3" spans="1:7" ht="54" customHeight="1" x14ac:dyDescent="0.25">
      <c r="A3" s="77"/>
      <c r="B3" s="80" t="s">
        <v>191</v>
      </c>
      <c r="C3" s="81"/>
      <c r="D3" s="80" t="s">
        <v>111</v>
      </c>
      <c r="E3" s="81"/>
      <c r="F3" s="82" t="s">
        <v>1</v>
      </c>
      <c r="G3" s="83"/>
    </row>
    <row r="4" spans="1:7" ht="24" customHeight="1" x14ac:dyDescent="0.25">
      <c r="A4" s="78"/>
      <c r="B4" s="84" t="s">
        <v>101</v>
      </c>
      <c r="C4" s="86" t="s">
        <v>192</v>
      </c>
      <c r="D4" s="88" t="s">
        <v>193</v>
      </c>
      <c r="E4" s="88"/>
      <c r="F4" s="88" t="s">
        <v>193</v>
      </c>
      <c r="G4" s="80"/>
    </row>
    <row r="5" spans="1:7" ht="29.25" customHeight="1" x14ac:dyDescent="0.25">
      <c r="A5" s="79"/>
      <c r="B5" s="85"/>
      <c r="C5" s="87"/>
      <c r="D5" s="23">
        <v>2019</v>
      </c>
      <c r="E5" s="23">
        <v>2020</v>
      </c>
      <c r="F5" s="23" t="s">
        <v>126</v>
      </c>
      <c r="G5" s="19" t="s">
        <v>146</v>
      </c>
    </row>
    <row r="6" spans="1:7" ht="15.75" customHeight="1" x14ac:dyDescent="0.25">
      <c r="A6" s="43" t="s">
        <v>102</v>
      </c>
      <c r="B6" s="44">
        <f>IF(824834.53122="","-",824834.53122)</f>
        <v>824834.53122</v>
      </c>
      <c r="C6" s="44">
        <f>IF(948466.87002="","-",824834.53122/948466.87002*100)</f>
        <v>86.965033496911389</v>
      </c>
      <c r="D6" s="44">
        <v>100</v>
      </c>
      <c r="E6" s="44">
        <v>100</v>
      </c>
      <c r="F6" s="44">
        <f>IF(877651.01761="","-",(948466.87002-877651.01761)/877651.01761*100)</f>
        <v>8.0687939726708482</v>
      </c>
      <c r="G6" s="44">
        <f>IF(948466.87002="","-",(824834.53122-948466.87002)/948466.87002*100)</f>
        <v>-13.034966503088613</v>
      </c>
    </row>
    <row r="7" spans="1:7" ht="15.75" customHeight="1" x14ac:dyDescent="0.25">
      <c r="A7" s="52" t="s">
        <v>143</v>
      </c>
      <c r="B7" s="51"/>
      <c r="C7" s="51"/>
      <c r="D7" s="51"/>
      <c r="E7" s="51"/>
      <c r="F7" s="51"/>
      <c r="G7" s="51"/>
    </row>
    <row r="8" spans="1:7" ht="15.75" customHeight="1" x14ac:dyDescent="0.25">
      <c r="A8" s="45" t="s">
        <v>184</v>
      </c>
      <c r="B8" s="46">
        <f>IF(529513.41594="","-",529513.41594)</f>
        <v>529513.41593999998</v>
      </c>
      <c r="C8" s="46">
        <f>IF(585280.73053="","-",529513.41594/585280.73053*100)</f>
        <v>90.471698164485957</v>
      </c>
      <c r="D8" s="46">
        <f>IF(585280.73053="","-",585280.73053/948466.87002*100)</f>
        <v>61.708083753906791</v>
      </c>
      <c r="E8" s="46">
        <f>IF(529513.41594="","-",529513.41594/824834.53122*100)</f>
        <v>64.196320097899502</v>
      </c>
      <c r="F8" s="46">
        <f>IF(877651.01761="","-",(585280.73053-563383.20077)/877651.01761*100)</f>
        <v>2.4950155951087281</v>
      </c>
      <c r="G8" s="46">
        <f>IF(948466.87002="","-",(529513.41594-585280.73053)/948466.87002*100)</f>
        <v>-5.8797324769840422</v>
      </c>
    </row>
    <row r="9" spans="1:7" ht="15.75" customHeight="1" x14ac:dyDescent="0.25">
      <c r="A9" s="47" t="s">
        <v>2</v>
      </c>
      <c r="B9" s="48">
        <f>IF(202976.34442="","-",202976.34442)</f>
        <v>202976.34442000001</v>
      </c>
      <c r="C9" s="48">
        <f>IF(OR(258147.78313="",202976.34442=""),"-",202976.34442/258147.78313*100)</f>
        <v>78.627963393272154</v>
      </c>
      <c r="D9" s="48">
        <f>IF(258147.78313="","-",258147.78313/948466.87002*100)</f>
        <v>27.217374827710799</v>
      </c>
      <c r="E9" s="48">
        <f>IF(202976.34442="","-",202976.34442/824834.53122*100)</f>
        <v>24.608128871590868</v>
      </c>
      <c r="F9" s="48">
        <f>IF(OR(877651.01761="",220622.30211="",258147.78313=""),"-",(258147.78313-220622.30211)/877651.01761*100)</f>
        <v>4.2756722509350666</v>
      </c>
      <c r="G9" s="48">
        <f>IF(OR(948466.87002="",202976.34442="",258147.78313=""),"-",(202976.34442-258147.78313)/948466.87002*100)</f>
        <v>-5.8169073115686798</v>
      </c>
    </row>
    <row r="10" spans="1:7" ht="15.75" customHeight="1" x14ac:dyDescent="0.25">
      <c r="A10" s="47" t="s">
        <v>4</v>
      </c>
      <c r="B10" s="48">
        <f>IF(72591.49708="","-",72591.49708)</f>
        <v>72591.497080000001</v>
      </c>
      <c r="C10" s="48">
        <f>IF(OR(83395.70219="",72591.49708=""),"-",72591.49708/83395.70219*100)</f>
        <v>87.044649992412275</v>
      </c>
      <c r="D10" s="48">
        <f>IF(83395.70219="","-",83395.70219/948466.87002*100)</f>
        <v>8.7926847870017291</v>
      </c>
      <c r="E10" s="48">
        <f>IF(72591.49708="","-",72591.49708/824834.53122*100)</f>
        <v>8.8007344906657874</v>
      </c>
      <c r="F10" s="48">
        <f>IF(OR(877651.01761="",77517.95028="",83395.70219=""),"-",(83395.70219-77517.95028)/877651.01761*100)</f>
        <v>0.66971401981691503</v>
      </c>
      <c r="G10" s="48">
        <f>IF(OR(948466.87002="",72591.49708="",83395.70219=""),"-",(72591.49708-83395.70219)/948466.87002*100)</f>
        <v>-1.1391230892199926</v>
      </c>
    </row>
    <row r="11" spans="1:7" ht="13.5" customHeight="1" x14ac:dyDescent="0.25">
      <c r="A11" s="47" t="s">
        <v>3</v>
      </c>
      <c r="B11" s="48">
        <f>IF(71370.52435="","-",71370.52435)</f>
        <v>71370.524350000007</v>
      </c>
      <c r="C11" s="48">
        <f>IF(OR(98423.23123="",71370.52435=""),"-",71370.52435/98423.23123*100)</f>
        <v>72.513900893192613</v>
      </c>
      <c r="D11" s="48">
        <f>IF(98423.23123="","-",98423.23123/948466.87002*100)</f>
        <v>10.377086890544167</v>
      </c>
      <c r="E11" s="48">
        <f>IF(71370.52435="","-",71370.52435/824834.53122*100)</f>
        <v>8.6527081067322644</v>
      </c>
      <c r="F11" s="48">
        <f>IF(OR(877651.01761="",103918.87684="",98423.23123=""),"-",(98423.23123-103918.87684)/877651.01761*100)</f>
        <v>-0.62617663510100108</v>
      </c>
      <c r="G11" s="48">
        <f>IF(OR(948466.87002="",71370.52435="",98423.23123=""),"-",(71370.52435-98423.23123)/948466.87002*100)</f>
        <v>-2.8522563871344864</v>
      </c>
    </row>
    <row r="12" spans="1:7" ht="15.75" customHeight="1" x14ac:dyDescent="0.25">
      <c r="A12" s="47" t="s">
        <v>5</v>
      </c>
      <c r="B12" s="48">
        <f>IF(35111.5963="","-",35111.5963)</f>
        <v>35111.596299999997</v>
      </c>
      <c r="C12" s="48">
        <f>IF(OR(34323.76548="",35111.5963=""),"-",35111.5963/34323.76548*100)</f>
        <v>102.29529251520802</v>
      </c>
      <c r="D12" s="48">
        <f>IF(34323.76548="","-",34323.76548/948466.87002*100)</f>
        <v>3.6188681507954228</v>
      </c>
      <c r="E12" s="48">
        <f>IF(35111.5963="","-",35111.5963/824834.53122*100)</f>
        <v>4.256804846429862</v>
      </c>
      <c r="F12" s="48">
        <f>IF(OR(877651.01761="",29677.13317="",34323.76548=""),"-",(34323.76548-29677.13317)/877651.01761*100)</f>
        <v>0.52943963110230396</v>
      </c>
      <c r="G12" s="48">
        <f>IF(OR(948466.87002="",35111.5963="",34323.76548=""),"-",(35111.5963-34323.76548)/948466.87002*100)</f>
        <v>8.306360980045438E-2</v>
      </c>
    </row>
    <row r="13" spans="1:7" s="14" customFormat="1" x14ac:dyDescent="0.25">
      <c r="A13" s="47" t="s">
        <v>7</v>
      </c>
      <c r="B13" s="48">
        <f>IF(27218.5145="","-",27218.5145)</f>
        <v>27218.514500000001</v>
      </c>
      <c r="C13" s="48" t="s">
        <v>106</v>
      </c>
      <c r="D13" s="48">
        <f>IF(16104.20487="","-",16104.20487/948466.87002*100)</f>
        <v>1.6979195983577597</v>
      </c>
      <c r="E13" s="48">
        <f>IF(27218.5145="","-",27218.5145/824834.53122*100)</f>
        <v>3.299875728983062</v>
      </c>
      <c r="F13" s="48">
        <f>IF(OR(877651.01761="",13346.83798="",16104.20487=""),"-",(16104.20487-13346.83798)/877651.01761*100)</f>
        <v>0.31417577541342118</v>
      </c>
      <c r="G13" s="48">
        <f>IF(OR(948466.87002="",27218.5145="",16104.20487=""),"-",(27218.5145-16104.20487)/948466.87002*100)</f>
        <v>1.1718184347088094</v>
      </c>
    </row>
    <row r="14" spans="1:7" s="14" customFormat="1" x14ac:dyDescent="0.25">
      <c r="A14" s="47" t="s">
        <v>41</v>
      </c>
      <c r="B14" s="48">
        <f>IF(18500.92789="","-",18500.92789)</f>
        <v>18500.927889999999</v>
      </c>
      <c r="C14" s="48" t="s">
        <v>107</v>
      </c>
      <c r="D14" s="48">
        <f>IF(11895.90062="","-",11895.90062/948466.87002*100)</f>
        <v>1.2542241585886027</v>
      </c>
      <c r="E14" s="48">
        <f>IF(18500.92789="","-",18500.92789/824834.53122*100)</f>
        <v>2.2429865857623059</v>
      </c>
      <c r="F14" s="48">
        <f>IF(OR(877651.01761="",12106.81866="",11895.90062=""),"-",(11895.90062-12106.81866)/877651.01761*100)</f>
        <v>-2.4032107952699451E-2</v>
      </c>
      <c r="G14" s="48">
        <f>IF(OR(948466.87002="",18500.92789="",11895.90062=""),"-",(18500.92789-11895.90062)/948466.87002*100)</f>
        <v>0.69638987705081579</v>
      </c>
    </row>
    <row r="15" spans="1:7" s="14" customFormat="1" x14ac:dyDescent="0.25">
      <c r="A15" s="47" t="s">
        <v>9</v>
      </c>
      <c r="B15" s="48">
        <f>IF(16241.45687="","-",16241.45687)</f>
        <v>16241.45687</v>
      </c>
      <c r="C15" s="48" t="s">
        <v>108</v>
      </c>
      <c r="D15" s="48">
        <f>IF(8653.08494="","-",8653.08494/948466.87002*100)</f>
        <v>0.91232337296267774</v>
      </c>
      <c r="E15" s="48">
        <f>IF(16241.45687="","-",16241.45687/824834.53122*100)</f>
        <v>1.9690563689152916</v>
      </c>
      <c r="F15" s="48">
        <f>IF(OR(877651.01761="",12914.10148="",8653.08494=""),"-",(8653.08494-12914.10148)/877651.01761*100)</f>
        <v>-0.48550237560294812</v>
      </c>
      <c r="G15" s="48">
        <f>IF(OR(948466.87002="",16241.45687="",8653.08494=""),"-",(16241.45687-8653.08494)/948466.87002*100)</f>
        <v>0.80006715783757265</v>
      </c>
    </row>
    <row r="16" spans="1:7" s="14" customFormat="1" x14ac:dyDescent="0.25">
      <c r="A16" s="47" t="s">
        <v>6</v>
      </c>
      <c r="B16" s="48">
        <f>IF(15205.32653="","-",15205.32653)</f>
        <v>15205.32653</v>
      </c>
      <c r="C16" s="48">
        <f>IF(OR(13834.40704="",15205.32653=""),"-",15205.32653/13834.40704*100)</f>
        <v>109.90949222497359</v>
      </c>
      <c r="D16" s="48">
        <f>IF(13834.40704="","-",13834.40704/948466.87002*100)</f>
        <v>1.4586073037752261</v>
      </c>
      <c r="E16" s="48">
        <f>IF(15205.32653="","-",15205.32653/824834.53122*100)</f>
        <v>1.8434396178237153</v>
      </c>
      <c r="F16" s="48">
        <f>IF(OR(877651.01761="",18571.46893="",13834.40704=""),"-",(13834.40704-18571.46893)/877651.01761*100)</f>
        <v>-0.53974322309793044</v>
      </c>
      <c r="G16" s="48">
        <f>IF(OR(948466.87002="",15205.32653="",13834.40704=""),"-",(15205.32653-13834.40704)/948466.87002*100)</f>
        <v>0.14454057736050305</v>
      </c>
    </row>
    <row r="17" spans="1:7" s="14" customFormat="1" x14ac:dyDescent="0.25">
      <c r="A17" s="47" t="s">
        <v>129</v>
      </c>
      <c r="B17" s="48">
        <f>IF(14373.34846="","-",14373.34846)</f>
        <v>14373.348459999999</v>
      </c>
      <c r="C17" s="48">
        <f>IF(OR(12974.08512="",14373.34846=""),"-",14373.34846/12974.08512*100)</f>
        <v>110.78506366389556</v>
      </c>
      <c r="D17" s="48">
        <f>IF(12974.08512="","-",12974.08512/948466.87002*100)</f>
        <v>1.367900717473286</v>
      </c>
      <c r="E17" s="48">
        <f>IF(14373.34846="","-",14373.34846/824834.53122*100)</f>
        <v>1.7425735606316823</v>
      </c>
      <c r="F17" s="48">
        <f>IF(OR(877651.01761="",16996.41854="",12974.08512=""),"-",(12974.08512-16996.41854)/877651.01761*100)</f>
        <v>-0.45830670041875293</v>
      </c>
      <c r="G17" s="48">
        <f>IF(OR(948466.87002="",14373.34846="",12974.08512=""),"-",(14373.34846-12974.08512)/948466.87002*100)</f>
        <v>0.14752896323837791</v>
      </c>
    </row>
    <row r="18" spans="1:7" s="14" customFormat="1" x14ac:dyDescent="0.25">
      <c r="A18" s="47" t="s">
        <v>10</v>
      </c>
      <c r="B18" s="48">
        <f>IF(12528.30206="","-",12528.30206)</f>
        <v>12528.30206</v>
      </c>
      <c r="C18" s="48">
        <f>IF(OR(13709.63237="",12528.30206=""),"-",12528.30206/13709.63237*100)</f>
        <v>91.383209424455202</v>
      </c>
      <c r="D18" s="48">
        <f>IF(13709.63237="","-",13709.63237/948466.87002*100)</f>
        <v>1.4454518975144497</v>
      </c>
      <c r="E18" s="48">
        <f>IF(12528.30206="","-",12528.30206/824834.53122*100)</f>
        <v>1.5188867082794875</v>
      </c>
      <c r="F18" s="48">
        <f>IF(OR(877651.01761="",12875.95622="",13709.63237=""),"-",(13709.63237-12875.95622)/877651.01761*100)</f>
        <v>9.4989481385237606E-2</v>
      </c>
      <c r="G18" s="48">
        <f>IF(OR(948466.87002="",12528.30206="",13709.63237=""),"-",(12528.30206-13709.63237)/948466.87002*100)</f>
        <v>-0.12455156287905859</v>
      </c>
    </row>
    <row r="19" spans="1:7" s="16" customFormat="1" x14ac:dyDescent="0.25">
      <c r="A19" s="47" t="s">
        <v>52</v>
      </c>
      <c r="B19" s="48">
        <f>IF(8883.20258="","-",8883.20258)</f>
        <v>8883.2025799999992</v>
      </c>
      <c r="C19" s="48" t="s">
        <v>201</v>
      </c>
      <c r="D19" s="48">
        <f>IF(26.77361="","-",26.77361/948466.87002*100)</f>
        <v>2.822830279716089E-3</v>
      </c>
      <c r="E19" s="48">
        <f>IF(8883.20258="","-",8883.20258/824834.53122*100)</f>
        <v>1.0769678333981716</v>
      </c>
      <c r="F19" s="48">
        <f>IF(OR(877651.01761="",4852.10767="",26.77361=""),"-",(26.77361-4852.10767)/877651.01761*100)</f>
        <v>-0.54980099870905919</v>
      </c>
      <c r="G19" s="48">
        <f>IF(OR(948466.87002="",8883.20258="",26.77361=""),"-",(8883.20258-26.77361)/948466.87002*100)</f>
        <v>0.93376260678596468</v>
      </c>
    </row>
    <row r="20" spans="1:7" s="14" customFormat="1" x14ac:dyDescent="0.25">
      <c r="A20" s="47" t="s">
        <v>8</v>
      </c>
      <c r="B20" s="48">
        <f>IF(7672.33915="","-",7672.33915)</f>
        <v>7672.3391499999998</v>
      </c>
      <c r="C20" s="48">
        <f>IF(OR(10549.53079="",7672.33915=""),"-",7672.33915/10549.53079*100)</f>
        <v>72.72682835593676</v>
      </c>
      <c r="D20" s="48">
        <f>IF(10549.53079="","-",10549.53079/948466.87002*100)</f>
        <v>1.1122719331016324</v>
      </c>
      <c r="E20" s="48">
        <f>IF(7672.33915="","-",7672.33915/824834.53122*100)</f>
        <v>0.93016706498113766</v>
      </c>
      <c r="F20" s="48">
        <f>IF(OR(877651.01761="",15120.60656="",10549.53079=""),"-",(10549.53079-15120.60656)/877651.01761*100)</f>
        <v>-0.52083068079244677</v>
      </c>
      <c r="G20" s="48">
        <f>IF(OR(948466.87002="",7672.33915="",10549.53079=""),"-",(7672.33915-10549.53079)/948466.87002*100)</f>
        <v>-0.30335183346354844</v>
      </c>
    </row>
    <row r="21" spans="1:7" s="14" customFormat="1" x14ac:dyDescent="0.25">
      <c r="A21" s="47" t="s">
        <v>48</v>
      </c>
      <c r="B21" s="48">
        <f>IF(7103.49316="","-",7103.49316)</f>
        <v>7103.49316</v>
      </c>
      <c r="C21" s="48" t="s">
        <v>106</v>
      </c>
      <c r="D21" s="48">
        <f>IF(4292.97223="","-",4292.97223/948466.87002*100)</f>
        <v>0.45262226501485242</v>
      </c>
      <c r="E21" s="48">
        <f>IF(7103.49316="","-",7103.49316/824834.53122*100)</f>
        <v>0.86120220373089051</v>
      </c>
      <c r="F21" s="48">
        <f>IF(OR(877651.01761="",1318.65657="",4292.97223=""),"-",(4292.97223-1318.65657)/877651.01761*100)</f>
        <v>0.33889502778673825</v>
      </c>
      <c r="G21" s="48">
        <f>IF(OR(948466.87002="",7103.49316="",4292.97223=""),"-",(7103.49316-4292.97223)/948466.87002*100)</f>
        <v>0.29632251993585557</v>
      </c>
    </row>
    <row r="22" spans="1:7" s="14" customFormat="1" x14ac:dyDescent="0.25">
      <c r="A22" s="47" t="s">
        <v>43</v>
      </c>
      <c r="B22" s="48">
        <f>IF(4852.21634="","-",4852.21634)</f>
        <v>4852.2163399999999</v>
      </c>
      <c r="C22" s="48" t="s">
        <v>20</v>
      </c>
      <c r="D22" s="48">
        <f>IF(2369.67324="","-",2369.67324/948466.87002*100)</f>
        <v>0.24984248948516585</v>
      </c>
      <c r="E22" s="48">
        <f>IF(4852.21634="","-",4852.21634/824834.53122*100)</f>
        <v>0.58826542249912372</v>
      </c>
      <c r="F22" s="48">
        <f>IF(OR(877651.01761="",2645.57449="",2369.67324=""),"-",(2369.67324-2645.57449)/877651.01761*100)</f>
        <v>-3.1436327704755372E-2</v>
      </c>
      <c r="G22" s="48">
        <f>IF(OR(948466.87002="",4852.21634="",2369.67324=""),"-",(4852.21634-2369.67324)/948466.87002*100)</f>
        <v>0.26174273224194444</v>
      </c>
    </row>
    <row r="23" spans="1:7" s="14" customFormat="1" x14ac:dyDescent="0.25">
      <c r="A23" s="47" t="s">
        <v>45</v>
      </c>
      <c r="B23" s="48">
        <f>IF(3864.22769="","-",3864.22769)</f>
        <v>3864.2276900000002</v>
      </c>
      <c r="C23" s="48">
        <f>IF(OR(3530.85724="",3864.22769=""),"-",3864.22769/3530.85724*100)</f>
        <v>109.44162925148456</v>
      </c>
      <c r="D23" s="48">
        <f>IF(3530.85724="","-",3530.85724/948466.87002*100)</f>
        <v>0.37226996024916986</v>
      </c>
      <c r="E23" s="48">
        <f>IF(3864.22769="","-",3864.22769/824834.53122*100)</f>
        <v>0.4684851983930014</v>
      </c>
      <c r="F23" s="48">
        <f>IF(OR(877651.01761="",6696.03526="",3530.85724=""),"-",(3530.85724-6696.03526)/877651.01761*100)</f>
        <v>-0.36064198143578108</v>
      </c>
      <c r="G23" s="48">
        <f>IF(OR(948466.87002="",3864.22769="",3530.85724=""),"-",(3864.22769-3530.85724)/948466.87002*100)</f>
        <v>3.5148349461375565E-2</v>
      </c>
    </row>
    <row r="24" spans="1:7" s="14" customFormat="1" x14ac:dyDescent="0.25">
      <c r="A24" s="47" t="s">
        <v>42</v>
      </c>
      <c r="B24" s="48">
        <f>IF(3463.09252="","-",3463.09252)</f>
        <v>3463.0925200000001</v>
      </c>
      <c r="C24" s="48">
        <f>IF(OR(5082.16003="",3463.09252=""),"-",3463.09252/5082.16003*100)</f>
        <v>68.142138373395539</v>
      </c>
      <c r="D24" s="48">
        <f>IF(5082.16003="","-",5082.16003/948466.87002*100)</f>
        <v>0.53582894570611983</v>
      </c>
      <c r="E24" s="48">
        <f>IF(3463.09252="","-",3463.09252/824834.53122*100)</f>
        <v>0.4198529994710325</v>
      </c>
      <c r="F24" s="48">
        <f>IF(OR(877651.01761="",5075.7208="",5082.16003=""),"-",(5082.16003-5075.7208)/877651.01761*100)</f>
        <v>7.3368911683542755E-4</v>
      </c>
      <c r="G24" s="48">
        <f>IF(OR(948466.87002="",3463.09252="",5082.16003=""),"-",(3463.09252-5082.16003)/948466.87002*100)</f>
        <v>-0.1707036440783492</v>
      </c>
    </row>
    <row r="25" spans="1:7" s="14" customFormat="1" x14ac:dyDescent="0.25">
      <c r="A25" s="47" t="s">
        <v>47</v>
      </c>
      <c r="B25" s="48">
        <f>IF(2328.14457="","-",2328.14457)</f>
        <v>2328.1445699999999</v>
      </c>
      <c r="C25" s="48" t="s">
        <v>113</v>
      </c>
      <c r="D25" s="48">
        <f>IF(1026.14482="","-",1026.14482/948466.87002*100)</f>
        <v>0.10818984325497442</v>
      </c>
      <c r="E25" s="48">
        <f>IF(2328.14457="","-",2328.14457/824834.53122*100)</f>
        <v>0.2822559533918248</v>
      </c>
      <c r="F25" s="48">
        <f>IF(OR(877651.01761="",1256.47745="",1026.14482=""),"-",(1026.14482-1256.47745)/877651.01761*100)</f>
        <v>-2.6244216138122518E-2</v>
      </c>
      <c r="G25" s="48">
        <f>IF(OR(948466.87002="",2328.14457="",1026.14482=""),"-",(2328.14457-1026.14482)/948466.87002*100)</f>
        <v>0.13727414115925263</v>
      </c>
    </row>
    <row r="26" spans="1:7" s="9" customFormat="1" x14ac:dyDescent="0.25">
      <c r="A26" s="47" t="s">
        <v>44</v>
      </c>
      <c r="B26" s="48">
        <f>IF(2319.88383="","-",2319.88383)</f>
        <v>2319.8838300000002</v>
      </c>
      <c r="C26" s="48">
        <f>IF(OR(2938.64359="",2319.88383=""),"-",2319.88383/2938.64359*100)</f>
        <v>78.944035196864419</v>
      </c>
      <c r="D26" s="48">
        <f>IF(2938.64359="","-",2938.64359/948466.87002*100)</f>
        <v>0.30983091585877259</v>
      </c>
      <c r="E26" s="48">
        <f>IF(2319.88383="","-",2319.88383/824834.53122*100)</f>
        <v>0.28125445070403343</v>
      </c>
      <c r="F26" s="48">
        <f>IF(OR(877651.01761="",3445.45744="",2938.64359=""),"-",(2938.64359-3445.45744)/877651.01761*100)</f>
        <v>-5.7746625917456842E-2</v>
      </c>
      <c r="G26" s="48">
        <f>IF(OR(948466.87002="",2319.88383="",2938.64359=""),"-",(2319.88383-2938.64359)/948466.87002*100)</f>
        <v>-6.5237888592455773E-2</v>
      </c>
    </row>
    <row r="27" spans="1:7" s="9" customFormat="1" x14ac:dyDescent="0.25">
      <c r="A27" s="47" t="s">
        <v>46</v>
      </c>
      <c r="B27" s="48">
        <f>IF(1404.05322="","-",1404.05322)</f>
        <v>1404.05322</v>
      </c>
      <c r="C27" s="48">
        <f>IF(OR(2440.17441="",1404.05322=""),"-",1404.05322/2440.17441*100)</f>
        <v>57.539051890967087</v>
      </c>
      <c r="D27" s="48">
        <f>IF(2440.17441="","-",2440.17441/948466.87002*100)</f>
        <v>0.25727566108329591</v>
      </c>
      <c r="E27" s="48">
        <f>IF(1404.05322="","-",1404.05322/824834.53122*100)</f>
        <v>0.17022241029643687</v>
      </c>
      <c r="F27" s="48">
        <f>IF(OR(877651.01761="",2063.2324="",2440.17441=""),"-",(2440.17441-2063.2324)/877651.01761*100)</f>
        <v>4.2948962906290522E-2</v>
      </c>
      <c r="G27" s="48">
        <f>IF(OR(948466.87002="",1404.05322="",2440.17441=""),"-",(1404.05322-2440.17441)/948466.87002*100)</f>
        <v>-0.10924168494974966</v>
      </c>
    </row>
    <row r="28" spans="1:7" s="14" customFormat="1" x14ac:dyDescent="0.25">
      <c r="A28" s="47" t="s">
        <v>50</v>
      </c>
      <c r="B28" s="48">
        <f>IF(459.8223="","-",459.8223)</f>
        <v>459.82229999999998</v>
      </c>
      <c r="C28" s="48">
        <f>IF(OR(365.4901="",459.8223=""),"-",459.8223/365.4901*100)</f>
        <v>125.80978253583339</v>
      </c>
      <c r="D28" s="48">
        <f>IF(365.4901="","-",365.4901/948466.87002*100)</f>
        <v>3.8534830425051431E-2</v>
      </c>
      <c r="E28" s="48">
        <f>IF(459.8223="","-",459.8223/824834.53122*100)</f>
        <v>5.5747217483715659E-2</v>
      </c>
      <c r="F28" s="48">
        <f>IF(OR(877651.01761="",9.38847="",365.4901=""),"-",(365.4901-9.38847)/877651.01761*100)</f>
        <v>4.0574399488503776E-2</v>
      </c>
      <c r="G28" s="48">
        <f>IF(OR(948466.87002="",459.8223="",365.4901=""),"-",(459.8223-365.4901)/948466.87002*100)</f>
        <v>9.9457559332579385E-3</v>
      </c>
    </row>
    <row r="29" spans="1:7" s="14" customFormat="1" x14ac:dyDescent="0.25">
      <c r="A29" s="47" t="s">
        <v>49</v>
      </c>
      <c r="B29" s="48">
        <f>IF(412.95671="","-",412.95671)</f>
        <v>412.95670999999999</v>
      </c>
      <c r="C29" s="48" t="s">
        <v>152</v>
      </c>
      <c r="D29" s="48">
        <f>IF(162.20684="","-",162.20684/948466.87002*100)</f>
        <v>1.7102003783914941E-2</v>
      </c>
      <c r="E29" s="48">
        <f>IF(412.95671="","-",412.95671/824834.53122*100)</f>
        <v>5.0065400316012733E-2</v>
      </c>
      <c r="F29" s="48">
        <f>IF(OR(877651.01761="",811.29002="",162.20684=""),"-",(162.20684-811.29002)/877651.01761*100)</f>
        <v>-7.395686519769204E-2</v>
      </c>
      <c r="G29" s="48">
        <f>IF(OR(948466.87002="",412.95671="",162.20684=""),"-",(412.95671-162.20684)/948466.87002*100)</f>
        <v>2.643738837126831E-2</v>
      </c>
    </row>
    <row r="30" spans="1:7" s="9" customFormat="1" x14ac:dyDescent="0.25">
      <c r="A30" s="47" t="s">
        <v>130</v>
      </c>
      <c r="B30" s="48">
        <f>IF(345.01853="","-",345.01853)</f>
        <v>345.01853</v>
      </c>
      <c r="C30" s="48" t="s">
        <v>96</v>
      </c>
      <c r="D30" s="48">
        <f>IF(166.64133="","-",166.64133/948466.87002*100)</f>
        <v>1.7569546735616195E-2</v>
      </c>
      <c r="E30" s="48">
        <f>IF(345.01853="","-",345.01853/824834.53122*100)</f>
        <v>4.182881741016449E-2</v>
      </c>
      <c r="F30" s="48">
        <f>IF(OR(877651.01761="",248.66286="",166.64133=""),"-",(166.64133-248.66286)/877651.01761*100)</f>
        <v>-9.3455745340966182E-3</v>
      </c>
      <c r="G30" s="48">
        <f>IF(OR(948466.87002="",345.01853="",166.64133=""),"-",(345.01853-166.64133)/948466.87002*100)</f>
        <v>1.8806898336495254E-2</v>
      </c>
    </row>
    <row r="31" spans="1:7" s="9" customFormat="1" x14ac:dyDescent="0.25">
      <c r="A31" s="47" t="s">
        <v>51</v>
      </c>
      <c r="B31" s="48">
        <f>IF(121.21804="","-",121.21804)</f>
        <v>121.21804</v>
      </c>
      <c r="C31" s="48">
        <f>IF(OR(328.94668="",121.21804=""),"-",121.21804/328.94668*100)</f>
        <v>36.85036128043609</v>
      </c>
      <c r="D31" s="48">
        <f>IF(328.94668="","-",328.94668/948466.87002*100)</f>
        <v>3.4681936754740163E-2</v>
      </c>
      <c r="E31" s="48">
        <f>IF(121.21804="","-",121.21804/824834.53122*100)</f>
        <v>1.4696043316798132E-2</v>
      </c>
      <c r="F31" s="48">
        <f>IF(OR(877651.01761="",402.38309="",328.94668=""),"-",(328.94668-402.38309)/877651.01761*100)</f>
        <v>-8.3673816273785433E-3</v>
      </c>
      <c r="G31" s="48">
        <f>IF(OR(948466.87002="",121.21804="",328.94668=""),"-",(121.21804-328.94668)/948466.87002*100)</f>
        <v>-2.1901517761566063E-2</v>
      </c>
    </row>
    <row r="32" spans="1:7" s="9" customFormat="1" x14ac:dyDescent="0.25">
      <c r="A32" s="47" t="s">
        <v>54</v>
      </c>
      <c r="B32" s="48">
        <f>IF(103.15197="","-",103.15197)</f>
        <v>103.15197000000001</v>
      </c>
      <c r="C32" s="48" t="s">
        <v>202</v>
      </c>
      <c r="D32" s="48">
        <f>IF(6.49691="","-",6.49691/948466.87002*100)</f>
        <v>6.8499071558113581E-4</v>
      </c>
      <c r="E32" s="48">
        <f>IF(103.15197="","-",103.15197/824834.53122*100)</f>
        <v>1.2505777352389639E-2</v>
      </c>
      <c r="F32" s="48">
        <f>IF(OR(877651.01761="",311.63585="",6.49691=""),"-",(6.49691-311.63585)/877651.01761*100)</f>
        <v>-3.4767684863050423E-2</v>
      </c>
      <c r="G32" s="48">
        <f>IF(OR(948466.87002="",103.15197="",6.49691=""),"-",(103.15197-6.49691)/948466.87002*100)</f>
        <v>1.0190662747973672E-2</v>
      </c>
    </row>
    <row r="33" spans="1:7" s="9" customFormat="1" x14ac:dyDescent="0.25">
      <c r="A33" s="47" t="s">
        <v>53</v>
      </c>
      <c r="B33" s="48">
        <f>IF(34.72929="","-",34.72929)</f>
        <v>34.729289999999999</v>
      </c>
      <c r="C33" s="48">
        <f>IF(OR(31.66733="",34.72929=""),"-",34.72929/31.66733*100)</f>
        <v>109.66914482528207</v>
      </c>
      <c r="D33" s="48">
        <f>IF(31.66733="","-",31.66733/948466.87002*100)</f>
        <v>3.3387913696270952E-3</v>
      </c>
      <c r="E33" s="48">
        <f>IF(34.72929="","-",34.72929/824834.53122*100)</f>
        <v>4.210455392626742E-3</v>
      </c>
      <c r="F33" s="48" t="str">
        <f>IF(OR(877651.01761="",""="",31.66733=""),"-",(31.66733-"")/877651.01761*100)</f>
        <v>-</v>
      </c>
      <c r="G33" s="48">
        <f>IF(OR(948466.87002="",34.72929="",31.66733=""),"-",(34.72929-31.66733)/948466.87002*100)</f>
        <v>3.2283257294326288E-4</v>
      </c>
    </row>
    <row r="34" spans="1:7" s="9" customFormat="1" x14ac:dyDescent="0.25">
      <c r="A34" s="47" t="s">
        <v>55</v>
      </c>
      <c r="B34" s="48">
        <f>IF(25.65794="","-",25.65794)</f>
        <v>25.65794</v>
      </c>
      <c r="C34" s="48">
        <f>IF(OR(39.75135="",25.65794=""),"-",25.65794/39.75135*100)</f>
        <v>64.546084598384695</v>
      </c>
      <c r="D34" s="48">
        <f>IF(39.75135="","-",39.75135/948466.87002*100)</f>
        <v>4.1911163432795263E-3</v>
      </c>
      <c r="E34" s="48">
        <f>IF(25.65794="","-",25.65794/824834.53122*100)</f>
        <v>3.1106772363239618E-3</v>
      </c>
      <c r="F34" s="48">
        <f>IF(OR(877651.01761="",4.42339="",39.75135=""),"-",(39.75135-4.42339)/877651.01761*100)</f>
        <v>4.0252855965693893E-3</v>
      </c>
      <c r="G34" s="48">
        <f>IF(OR(948466.87002="",25.65794="",39.75135=""),"-",(25.65794-39.75135)/948466.87002*100)</f>
        <v>-1.4859148427295956E-3</v>
      </c>
    </row>
    <row r="35" spans="1:7" s="9" customFormat="1" x14ac:dyDescent="0.25">
      <c r="A35" s="47" t="s">
        <v>56</v>
      </c>
      <c r="B35" s="48">
        <f>IF(2.36964="","-",2.36964)</f>
        <v>2.36964</v>
      </c>
      <c r="C35" s="48">
        <f>IF(OR(460.80304="",2.36964=""),"-",2.36964/460.80304*100)</f>
        <v>0.51424139910188094</v>
      </c>
      <c r="D35" s="48">
        <f>IF(460.80304="","-",460.80304/948466.87002*100)</f>
        <v>4.8583989021175111E-2</v>
      </c>
      <c r="E35" s="48">
        <f>IF(2.36964="","-",2.36964/824834.53122*100)</f>
        <v>2.8728671149292235E-4</v>
      </c>
      <c r="F35" s="48">
        <f>IF(OR(877651.01761="",573.68424="",460.80304=""),"-",(460.80304-573.68424)/877651.01761*100)</f>
        <v>-1.2861740912395413E-2</v>
      </c>
      <c r="G35" s="48">
        <f>IF(OR(948466.87002="",2.36964="",460.80304=""),"-",(2.36964-460.80304)/948466.87002*100)</f>
        <v>-4.8334150036293114E-2</v>
      </c>
    </row>
    <row r="36" spans="1:7" s="9" customFormat="1" x14ac:dyDescent="0.25">
      <c r="A36" s="45" t="s">
        <v>198</v>
      </c>
      <c r="B36" s="46">
        <f>IF(128972.24029="","-",128972.24029)</f>
        <v>128972.24029</v>
      </c>
      <c r="C36" s="46">
        <f>IF(138986.19225="","-",128972.24029/138986.19225*100)</f>
        <v>92.795002296352209</v>
      </c>
      <c r="D36" s="46">
        <f>IF(138986.19225="","-",138986.19225/948466.87002*100)</f>
        <v>14.653774068784209</v>
      </c>
      <c r="E36" s="46">
        <f>IF(128972.24029="","-",128972.24029/824834.53122*100)</f>
        <v>15.636134934753418</v>
      </c>
      <c r="F36" s="46">
        <f>IF(877651.01761="","-",(138986.19225-142764.8402)/877651.01761*100)</f>
        <v>-0.43054105495028588</v>
      </c>
      <c r="G36" s="46">
        <f>IF(948466.87002="","-",(128972.24029-138986.19225)/948466.87002*100)</f>
        <v>-1.0558040851536363</v>
      </c>
    </row>
    <row r="37" spans="1:7" s="9" customFormat="1" x14ac:dyDescent="0.25">
      <c r="A37" s="47" t="s">
        <v>131</v>
      </c>
      <c r="B37" s="48">
        <f>IF(78161.18934="","-",78161.18934)</f>
        <v>78161.189339999997</v>
      </c>
      <c r="C37" s="48">
        <f>IF(OR(80626.87187="",78161.18934=""),"-",78161.18934/80626.87187*100)</f>
        <v>96.941860110887617</v>
      </c>
      <c r="D37" s="48">
        <f>IF(80626.87187="","-",80626.87187/948466.87002*100)</f>
        <v>8.5007578460067723</v>
      </c>
      <c r="E37" s="48">
        <f>IF(78161.18934="","-",78161.18934/824834.53122*100)</f>
        <v>9.4759841376176368</v>
      </c>
      <c r="F37" s="48">
        <f>IF(OR(877651.01761="",74326.54526="",80626.87187=""),"-",(80626.87187-74326.54526)/877651.01761*100)</f>
        <v>0.71786239445798339</v>
      </c>
      <c r="G37" s="48">
        <f>IF(OR(948466.87002="",78161.18934="",80626.87187=""),"-",(78161.18934-80626.87187)/948466.87002*100)</f>
        <v>-0.25996506656558416</v>
      </c>
    </row>
    <row r="38" spans="1:7" s="9" customFormat="1" ht="14.25" customHeight="1" x14ac:dyDescent="0.25">
      <c r="A38" s="47" t="s">
        <v>11</v>
      </c>
      <c r="B38" s="48">
        <f>IF(24385.36998="","-",24385.36998)</f>
        <v>24385.369979999999</v>
      </c>
      <c r="C38" s="48">
        <f>IF(OR(29232.55218="",24385.36998=""),"-",24385.36998/29232.55218*100)</f>
        <v>83.418545975208119</v>
      </c>
      <c r="D38" s="48">
        <f>IF(29232.55218="","-",29232.55218/948466.87002*100)</f>
        <v>3.0820846888814977</v>
      </c>
      <c r="E38" s="48">
        <f>IF(24385.36998="","-",24385.36998/824834.53122*100)</f>
        <v>2.9563953807719439</v>
      </c>
      <c r="F38" s="48">
        <f>IF(OR(877651.01761="",35259.40404="",29232.55218=""),"-",(29232.55218-35259.40404)/877651.01761*100)</f>
        <v>-0.68670254338816739</v>
      </c>
      <c r="G38" s="48">
        <f>IF(OR(948466.87002="",24385.36998="",29232.55218=""),"-",(24385.36998-29232.55218)/948466.87002*100)</f>
        <v>-0.51105445569203578</v>
      </c>
    </row>
    <row r="39" spans="1:7" s="15" customFormat="1" ht="14.25" customHeight="1" x14ac:dyDescent="0.2">
      <c r="A39" s="47" t="s">
        <v>12</v>
      </c>
      <c r="B39" s="48">
        <f>IF(20165.65512="","-",20165.65512)</f>
        <v>20165.655119999999</v>
      </c>
      <c r="C39" s="48">
        <f>IF(OR(23341.71894="",20165.65512=""),"-",20165.65512/23341.71894*100)</f>
        <v>86.393187973156188</v>
      </c>
      <c r="D39" s="48">
        <f>IF(23341.71894="","-",23341.71894/948466.87002*100)</f>
        <v>2.4609946512425678</v>
      </c>
      <c r="E39" s="48">
        <f>IF(20165.65512="","-",20165.65512/824834.53122*100)</f>
        <v>2.444812184350877</v>
      </c>
      <c r="F39" s="48">
        <f>IF(OR(877651.01761="",24727.47955="",23341.71894=""),"-",(23341.71894-24727.47955)/877651.01761*100)</f>
        <v>-0.1578942634594869</v>
      </c>
      <c r="G39" s="48">
        <f>IF(OR(948466.87002="",20165.65512="",23341.71894=""),"-",(20165.65512-23341.71894)/948466.87002*100)</f>
        <v>-0.3348629161852566</v>
      </c>
    </row>
    <row r="40" spans="1:7" s="15" customFormat="1" ht="14.25" customHeight="1" x14ac:dyDescent="0.2">
      <c r="A40" s="47" t="s">
        <v>13</v>
      </c>
      <c r="B40" s="48">
        <f>IF(3581.82872="","-",3581.82872)</f>
        <v>3581.82872</v>
      </c>
      <c r="C40" s="48">
        <f>IF(OR(2545.94653="",3581.82872=""),"-",3581.82872/2545.94653*100)</f>
        <v>140.68750768304625</v>
      </c>
      <c r="D40" s="48">
        <f>IF(2545.94653="","-",2545.94653/948466.87002*100)</f>
        <v>0.26842756562981634</v>
      </c>
      <c r="E40" s="48">
        <f>IF(3581.82872="","-",3581.82872/824834.53122*100)</f>
        <v>0.43424815334806272</v>
      </c>
      <c r="F40" s="48">
        <f>IF(OR(877651.01761="",4731.31817="",2545.94653=""),"-",(2545.94653-4731.31817)/877651.01761*100)</f>
        <v>-0.24900234787525863</v>
      </c>
      <c r="G40" s="48">
        <f>IF(OR(948466.87002="",3581.82872="",2545.94653=""),"-",(3581.82872-2545.94653)/948466.87002*100)</f>
        <v>0.10921648638904556</v>
      </c>
    </row>
    <row r="41" spans="1:7" s="15" customFormat="1" ht="14.25" customHeight="1" x14ac:dyDescent="0.2">
      <c r="A41" s="47" t="s">
        <v>15</v>
      </c>
      <c r="B41" s="48">
        <f>IF(1132.69734="","-",1132.69734)</f>
        <v>1132.6973399999999</v>
      </c>
      <c r="C41" s="48">
        <f>IF(OR(1128.70152="",1132.69734=""),"-",1132.69734/1128.70152*100)</f>
        <v>100.35401919189407</v>
      </c>
      <c r="D41" s="48">
        <f>IF(1128.70152="","-",1128.70152/948466.87002*100)</f>
        <v>0.11900273543304675</v>
      </c>
      <c r="E41" s="48">
        <f>IF(1132.69734="","-",1132.69734/824834.53122*100)</f>
        <v>0.13732419014085706</v>
      </c>
      <c r="F41" s="48">
        <f>IF(OR(877651.01761="",845.20167="",1128.70152=""),"-",(1128.70152-845.20167)/877651.01761*100)</f>
        <v>3.2302116024660987E-2</v>
      </c>
      <c r="G41" s="48">
        <f>IF(OR(948466.87002="",1132.69734="",1128.70152=""),"-",(1132.69734-1128.70152)/948466.87002*100)</f>
        <v>4.2129252231188724E-4</v>
      </c>
    </row>
    <row r="42" spans="1:7" s="13" customFormat="1" ht="14.25" customHeight="1" x14ac:dyDescent="0.2">
      <c r="A42" s="47" t="s">
        <v>14</v>
      </c>
      <c r="B42" s="48">
        <f>IF(912.94479="","-",912.94479)</f>
        <v>912.94479000000001</v>
      </c>
      <c r="C42" s="48">
        <f>IF(OR(1306.58021="",912.94479=""),"-",912.94479/1306.58021*100)</f>
        <v>69.872846918445205</v>
      </c>
      <c r="D42" s="48">
        <f>IF(1306.58021="","-",1306.58021/948466.87002*100)</f>
        <v>0.13775707421097888</v>
      </c>
      <c r="E42" s="48">
        <f>IF(912.94479="","-",912.94479/824834.53122*100)</f>
        <v>0.11068217387185252</v>
      </c>
      <c r="F42" s="48">
        <f>IF(OR(877651.01761="",1594.69013="",1306.58021=""),"-",(1306.58021-1594.69013)/877651.01761*100)</f>
        <v>-3.2827389727704583E-2</v>
      </c>
      <c r="G42" s="48">
        <f>IF(OR(948466.87002="",912.94479="",1306.58021=""),"-",(912.94479-1306.58021)/948466.87002*100)</f>
        <v>-4.1502284628212642E-2</v>
      </c>
    </row>
    <row r="43" spans="1:7" s="15" customFormat="1" ht="14.25" customHeight="1" x14ac:dyDescent="0.2">
      <c r="A43" s="47" t="s">
        <v>17</v>
      </c>
      <c r="B43" s="48">
        <f>IF(268.04648="","-",268.04648)</f>
        <v>268.04647999999997</v>
      </c>
      <c r="C43" s="48">
        <f>IF(OR(346.55142="",268.04648=""),"-",268.04648/346.55142*100)</f>
        <v>77.34681335312375</v>
      </c>
      <c r="D43" s="48">
        <f>IF(346.55142="","-",346.55142/948466.87002*100)</f>
        <v>3.6538062736202095E-2</v>
      </c>
      <c r="E43" s="48">
        <f>IF(268.04648="","-",268.04648/824834.53122*100)</f>
        <v>3.2497000289686773E-2</v>
      </c>
      <c r="F43" s="48">
        <f>IF(OR(877651.01761="",707.32884="",346.55142=""),"-",(346.55142-707.32884)/877651.01761*100)</f>
        <v>-4.1107161361523988E-2</v>
      </c>
      <c r="G43" s="48">
        <f>IF(OR(948466.87002="",268.04648="",346.55142=""),"-",(268.04648-346.55142)/948466.87002*100)</f>
        <v>-8.2770355487846014E-3</v>
      </c>
    </row>
    <row r="44" spans="1:7" s="13" customFormat="1" ht="14.25" customHeight="1" x14ac:dyDescent="0.2">
      <c r="A44" s="47" t="s">
        <v>133</v>
      </c>
      <c r="B44" s="48">
        <f>IF(253.48503="","-",253.48503)</f>
        <v>253.48502999999999</v>
      </c>
      <c r="C44" s="48">
        <f>IF(OR(230.13975="",253.48503=""),"-",253.48503/230.13975*100)</f>
        <v>110.14395818193077</v>
      </c>
      <c r="D44" s="48">
        <f>IF(230.13975="","-",230.13975/948466.87002*100)</f>
        <v>2.4264395233451547E-2</v>
      </c>
      <c r="E44" s="48">
        <f>IF(253.48503="","-",253.48503/824834.53122*100)</f>
        <v>3.0731621968478239E-2</v>
      </c>
      <c r="F44" s="48">
        <f>IF(OR(877651.01761="",303.09767="",230.13975=""),"-",(230.13975-303.09767)/877651.01761*100)</f>
        <v>-8.3128622352284642E-3</v>
      </c>
      <c r="G44" s="48">
        <f>IF(OR(948466.87002="",253.48503="",230.13975=""),"-",(253.48503-230.13975)/948466.87002*100)</f>
        <v>2.4613701055797264E-3</v>
      </c>
    </row>
    <row r="45" spans="1:7" s="13" customFormat="1" ht="14.25" customHeight="1" x14ac:dyDescent="0.2">
      <c r="A45" s="47" t="s">
        <v>18</v>
      </c>
      <c r="B45" s="48">
        <f>IF(111.02349="","-",111.02349)</f>
        <v>111.02349</v>
      </c>
      <c r="C45" s="48" t="s">
        <v>132</v>
      </c>
      <c r="D45" s="48">
        <f>IF(73.92006="","-",73.92006/948466.87002*100)</f>
        <v>7.7936364818352892E-3</v>
      </c>
      <c r="E45" s="48">
        <f>IF(111.02349="","-",111.02349/824834.53122*100)</f>
        <v>1.3460092394020759E-2</v>
      </c>
      <c r="F45" s="48">
        <f>IF(OR(877651.01761="",213.82839="",73.92006=""),"-",(73.92006-213.82839)/877651.01761*100)</f>
        <v>-1.5941225748361269E-2</v>
      </c>
      <c r="G45" s="48">
        <f>IF(OR(948466.87002="",111.02349="",73.92006=""),"-",(111.02349-73.92006)/948466.87002*100)</f>
        <v>3.9119373773400861E-3</v>
      </c>
    </row>
    <row r="46" spans="1:7" s="13" customFormat="1" ht="14.25" customHeight="1" x14ac:dyDescent="0.2">
      <c r="A46" s="47" t="s">
        <v>16</v>
      </c>
      <c r="B46" s="48" t="str">
        <f>IF(""="","-","")</f>
        <v>-</v>
      </c>
      <c r="C46" s="48" t="str">
        <f>IF(OR(153.20977="",""=""),"-",""/153.20977*100)</f>
        <v>-</v>
      </c>
      <c r="D46" s="48">
        <f>IF(153.20977="","-",153.20977/948466.87002*100)</f>
        <v>1.6153412928041368E-2</v>
      </c>
      <c r="E46" s="48" t="str">
        <f>IF(""="","-",""/824834.53122*100)</f>
        <v>-</v>
      </c>
      <c r="F46" s="48">
        <f>IF(OR(877651.01761="",55.94648="",153.20977=""),"-",(153.20977-55.94648)/877651.01761*100)</f>
        <v>1.1082228362802477E-2</v>
      </c>
      <c r="G46" s="48" t="str">
        <f>IF(OR(948466.87002="",""="",153.20977=""),"-",(""-153.20977)/948466.87002*100)</f>
        <v>-</v>
      </c>
    </row>
    <row r="47" spans="1:7" s="13" customFormat="1" ht="14.25" customHeight="1" x14ac:dyDescent="0.2">
      <c r="A47" s="45" t="s">
        <v>199</v>
      </c>
      <c r="B47" s="46">
        <f>IF(166348.87499="","-",166348.87499)</f>
        <v>166348.87499000001</v>
      </c>
      <c r="C47" s="46">
        <f>IF(224199.94724="","-",166348.87499/224199.94724*100)</f>
        <v>74.19666107767992</v>
      </c>
      <c r="D47" s="46">
        <f>IF(224199.94724="","-",224199.94724/948466.87002*100)</f>
        <v>23.638142177308985</v>
      </c>
      <c r="E47" s="46">
        <f>IF(166348.87499="","-",166348.87499/824834.53122*100)</f>
        <v>20.16754496734708</v>
      </c>
      <c r="F47" s="46">
        <f>IF(877651.01761="","-",(224199.94724-171502.97664)/877651.01761*100)</f>
        <v>6.0043194325123936</v>
      </c>
      <c r="G47" s="46">
        <f>IF(948466.87002="","-",(166348.87499-224199.94724)/948466.87002*100)</f>
        <v>-6.0994299409509276</v>
      </c>
    </row>
    <row r="48" spans="1:7" s="9" customFormat="1" x14ac:dyDescent="0.25">
      <c r="A48" s="47" t="s">
        <v>57</v>
      </c>
      <c r="B48" s="48">
        <f>IF(52061.00263="","-",52061.00263)</f>
        <v>52061.002630000003</v>
      </c>
      <c r="C48" s="48">
        <f>IF(OR(95759.85917="",52061.00263=""),"-",52061.00263/95759.85917*100)</f>
        <v>54.366206342865908</v>
      </c>
      <c r="D48" s="48">
        <f>IF(95759.85917="","-",95759.85917/948466.87002*100)</f>
        <v>10.09627876279756</v>
      </c>
      <c r="E48" s="48">
        <f>IF(52061.00263="","-",52061.00263/824834.53122*100)</f>
        <v>6.311690485726559</v>
      </c>
      <c r="F48" s="48">
        <f>IF(OR(877651.01761="",37989.82219="",95759.85917=""),"-",(95759.85917-37989.82219)/877651.01761*100)</f>
        <v>6.5823471768218411</v>
      </c>
      <c r="G48" s="48">
        <f>IF(OR(948466.87002="",52061.00263="",95759.85917=""),"-",(52061.00263-95759.85917)/948466.87002*100)</f>
        <v>-4.6073150176640887</v>
      </c>
    </row>
    <row r="49" spans="1:7" s="9" customFormat="1" x14ac:dyDescent="0.25">
      <c r="A49" s="47" t="s">
        <v>134</v>
      </c>
      <c r="B49" s="48">
        <f>IF(31804.13443="","-",31804.13443)</f>
        <v>31804.134429999998</v>
      </c>
      <c r="C49" s="48">
        <f>IF(OR(27795.22601="",31804.13443=""),"-",31804.13443/27795.22601*100)</f>
        <v>114.42301069456207</v>
      </c>
      <c r="D49" s="48">
        <f>IF(27795.22601="","-",27795.22601/948466.87002*100)</f>
        <v>2.9305426355497151</v>
      </c>
      <c r="E49" s="48">
        <f>IF(31804.13443="","-",31804.13443/824834.53122*100)</f>
        <v>3.8558199525132628</v>
      </c>
      <c r="F49" s="48">
        <f>IF(OR(877651.01761="",24760.19445="",27795.22601=""),"-",(27795.22601-24760.19445)/877651.01761*100)</f>
        <v>0.34581302808318171</v>
      </c>
      <c r="G49" s="48">
        <f>IF(OR(948466.87002="",31804.13443="",27795.22601=""),"-",(31804.13443-27795.22601)/948466.87002*100)</f>
        <v>0.42267247773403677</v>
      </c>
    </row>
    <row r="50" spans="1:7" s="14" customFormat="1" ht="25.5" x14ac:dyDescent="0.25">
      <c r="A50" s="47" t="s">
        <v>128</v>
      </c>
      <c r="B50" s="48">
        <f>IF(12561.24668="","-",12561.24668)</f>
        <v>12561.24668</v>
      </c>
      <c r="C50" s="48">
        <f>IF(OR(16767.65278="",12561.24668=""),"-",12561.24668/16767.65278*100)</f>
        <v>74.913566286288528</v>
      </c>
      <c r="D50" s="48">
        <f>IF(16767.65278="","-",16767.65278/948466.87002*100)</f>
        <v>1.7678691064503311</v>
      </c>
      <c r="E50" s="48">
        <f>IF(12561.24668="","-",12561.24668/824834.53122*100)</f>
        <v>1.5228807966394005</v>
      </c>
      <c r="F50" s="48">
        <f>IF(OR(877651.01761="",31294.57658="",16767.65278=""),"-",(16767.65278-31294.57658)/877651.01761*100)</f>
        <v>-1.655205031216098</v>
      </c>
      <c r="G50" s="48">
        <f>IF(OR(948466.87002="",12561.24668="",16767.65278=""),"-",(12561.24668-16767.65278)/948466.87002*100)</f>
        <v>-0.44349531153484584</v>
      </c>
    </row>
    <row r="51" spans="1:7" s="16" customFormat="1" x14ac:dyDescent="0.25">
      <c r="A51" s="47" t="s">
        <v>19</v>
      </c>
      <c r="B51" s="48">
        <f>IF(7777.5547="","-",7777.5547)</f>
        <v>7777.5546999999997</v>
      </c>
      <c r="C51" s="48">
        <f>IF(OR(7124.40858="",7777.5547=""),"-",7777.5547/7124.40858*100)</f>
        <v>109.16772406671824</v>
      </c>
      <c r="D51" s="48">
        <f>IF(7124.40858="","-",7124.40858/948466.87002*100)</f>
        <v>0.75114996687757474</v>
      </c>
      <c r="E51" s="48">
        <f>IF(7777.5547="","-",7777.5547/824834.53122*100)</f>
        <v>0.9429230234209931</v>
      </c>
      <c r="F51" s="48">
        <f>IF(OR(877651.01761="",6531.48066="",7124.40858=""),"-",(7124.40858-6531.48066)/877651.01761*100)</f>
        <v>6.7558506525138923E-2</v>
      </c>
      <c r="G51" s="48">
        <f>IF(OR(948466.87002="",7777.5547="",7124.40858=""),"-",(7777.5547-7124.40858)/948466.87002*100)</f>
        <v>6.8863356290581532E-2</v>
      </c>
    </row>
    <row r="52" spans="1:7" s="9" customFormat="1" x14ac:dyDescent="0.25">
      <c r="A52" s="47" t="s">
        <v>61</v>
      </c>
      <c r="B52" s="48">
        <f>IF(6499.03867="","-",6499.03867)</f>
        <v>6499.0386699999999</v>
      </c>
      <c r="C52" s="48" t="s">
        <v>113</v>
      </c>
      <c r="D52" s="48">
        <f>IF(2797.26433="","-",2797.26433/948466.87002*100)</f>
        <v>0.29492483273991582</v>
      </c>
      <c r="E52" s="48">
        <f>IF(6499.03867="","-",6499.03867/824834.53122*100)</f>
        <v>0.78792029479990044</v>
      </c>
      <c r="F52" s="48">
        <f>IF(OR(877651.01761="",4162.06219="",2797.26433=""),"-",(2797.26433-4162.06219)/877651.01761*100)</f>
        <v>-0.1555057571421255</v>
      </c>
      <c r="G52" s="48">
        <f>IF(OR(948466.87002="",6499.03867="",2797.26433=""),"-",(6499.03867-2797.26433)/948466.87002*100)</f>
        <v>0.39029031556178045</v>
      </c>
    </row>
    <row r="53" spans="1:7" s="16" customFormat="1" x14ac:dyDescent="0.25">
      <c r="A53" s="47" t="s">
        <v>59</v>
      </c>
      <c r="B53" s="48">
        <f>IF(6368.53897="","-",6368.53897)</f>
        <v>6368.5389699999996</v>
      </c>
      <c r="C53" s="48">
        <f>IF(OR(5641.67708="",6368.53897=""),"-",6368.53897/5641.67708*100)</f>
        <v>112.88379110844109</v>
      </c>
      <c r="D53" s="48">
        <f>IF(5641.67708="","-",5641.67708/948466.87002*100)</f>
        <v>0.59482067938556848</v>
      </c>
      <c r="E53" s="48">
        <f>IF(6368.53897="","-",6368.53897/824834.53122*100)</f>
        <v>0.77209897609165223</v>
      </c>
      <c r="F53" s="48">
        <f>IF(OR(877651.01761="",7463.12046="",5641.67708=""),"-",(5641.67708-7463.12046)/877651.01761*100)</f>
        <v>-0.20753617821353576</v>
      </c>
      <c r="G53" s="48">
        <f>IF(OR(948466.87002="",6368.53897="",5641.67708=""),"-",(6368.53897-5641.67708)/948466.87002*100)</f>
        <v>7.6635453801846776E-2</v>
      </c>
    </row>
    <row r="54" spans="1:7" s="14" customFormat="1" x14ac:dyDescent="0.25">
      <c r="A54" s="47" t="s">
        <v>66</v>
      </c>
      <c r="B54" s="48">
        <f>IF(4398.10823="","-",4398.10823)</f>
        <v>4398.1082299999998</v>
      </c>
      <c r="C54" s="48">
        <f>IF(OR(5115.24906="",4398.10823=""),"-",4398.10823/5115.24906*100)</f>
        <v>85.980334064124719</v>
      </c>
      <c r="D54" s="48">
        <f>IF(5115.24906="","-",5115.24906/948466.87002*100)</f>
        <v>0.53931763161027824</v>
      </c>
      <c r="E54" s="48">
        <f>IF(4398.10823="","-",4398.10823/824834.53122*100)</f>
        <v>0.53321097305356824</v>
      </c>
      <c r="F54" s="48">
        <f>IF(OR(877651.01761="",2045.103="",5115.24906=""),"-",(5115.24906-2045.103)/877651.01761*100)</f>
        <v>0.34981399193959289</v>
      </c>
      <c r="G54" s="48">
        <f>IF(OR(948466.87002="",4398.10823="",5115.24906=""),"-",(4398.10823-5115.24906)/948466.87002*100)</f>
        <v>-7.561053028503549E-2</v>
      </c>
    </row>
    <row r="55" spans="1:7" s="9" customFormat="1" x14ac:dyDescent="0.25">
      <c r="A55" s="47" t="s">
        <v>60</v>
      </c>
      <c r="B55" s="48">
        <f>IF(3653.67985="","-",3653.67985)</f>
        <v>3653.67985</v>
      </c>
      <c r="C55" s="48">
        <f>IF(OR(5612.47519="",3653.67985=""),"-",3653.67985/5612.47519*100)</f>
        <v>65.099260599136826</v>
      </c>
      <c r="D55" s="48">
        <f>IF(5612.47519="","-",5612.47519/948466.87002*100)</f>
        <v>0.59174182751176663</v>
      </c>
      <c r="E55" s="48">
        <f>IF(3653.67985="","-",3653.67985/824834.53122*100)</f>
        <v>0.44295912837158974</v>
      </c>
      <c r="F55" s="48">
        <f>IF(OR(877651.01761="",5164.29904="",5612.47519=""),"-",(5612.47519-5164.29904)/877651.01761*100)</f>
        <v>5.1065416778124838E-2</v>
      </c>
      <c r="G55" s="48">
        <f>IF(OR(948466.87002="",3653.67985="",5612.47519=""),"-",(3653.67985-5612.47519)/948466.87002*100)</f>
        <v>-0.20652227314578689</v>
      </c>
    </row>
    <row r="56" spans="1:7" s="9" customFormat="1" x14ac:dyDescent="0.25">
      <c r="A56" s="47" t="s">
        <v>67</v>
      </c>
      <c r="B56" s="48">
        <f>IF(3124.26661="","-",3124.26661)</f>
        <v>3124.2666100000001</v>
      </c>
      <c r="C56" s="48">
        <f>IF(OR(3797.21895="",3124.26661=""),"-",3124.26661/3797.21895*100)</f>
        <v>82.277757778492074</v>
      </c>
      <c r="D56" s="48">
        <f>IF(3797.21895="","-",3797.21895/948466.87002*100)</f>
        <v>0.40035335656161919</v>
      </c>
      <c r="E56" s="48">
        <f>IF(3124.26661="","-",3124.26661/824834.53122*100)</f>
        <v>0.37877495324776789</v>
      </c>
      <c r="F56" s="48">
        <f>IF(OR(877651.01761="",4067.76764="",3797.21895=""),"-",(3797.21895-4067.76764)/877651.01761*100)</f>
        <v>-3.0826454316289904E-2</v>
      </c>
      <c r="G56" s="48">
        <f>IF(OR(948466.87002="",3124.26661="",3797.21895=""),"-",(3124.26661-3797.21895)/948466.87002*100)</f>
        <v>-7.0951591591787433E-2</v>
      </c>
    </row>
    <row r="57" spans="1:7" s="16" customFormat="1" x14ac:dyDescent="0.25">
      <c r="A57" s="47" t="s">
        <v>135</v>
      </c>
      <c r="B57" s="48">
        <f>IF(2918.2464="","-",2918.2464)</f>
        <v>2918.2464</v>
      </c>
      <c r="C57" s="48">
        <f>IF(OR(4602.08194="",2918.2464=""),"-",2918.2464/4602.08194*100)</f>
        <v>63.411439388669379</v>
      </c>
      <c r="D57" s="48">
        <f>IF(4602.08194="","-",4602.08194/948466.87002*100)</f>
        <v>0.48521272439415386</v>
      </c>
      <c r="E57" s="48">
        <f>IF(2918.2464="","-",2918.2464/824834.53122*100)</f>
        <v>0.35379779695736879</v>
      </c>
      <c r="F57" s="48">
        <f>IF(OR(877651.01761="",656.5812="",4602.08194=""),"-",(4602.08194-656.5812)/877651.01761*100)</f>
        <v>0.4495523460730782</v>
      </c>
      <c r="G57" s="48">
        <f>IF(OR(948466.87002="",2918.2464="",4602.08194=""),"-",(2918.2464-4602.08194)/948466.87002*100)</f>
        <v>-0.17753235175884358</v>
      </c>
    </row>
    <row r="58" spans="1:7" s="9" customFormat="1" x14ac:dyDescent="0.25">
      <c r="A58" s="47" t="s">
        <v>58</v>
      </c>
      <c r="B58" s="48">
        <f>IF(2801.23124="","-",2801.23124)</f>
        <v>2801.2312400000001</v>
      </c>
      <c r="C58" s="48">
        <f>IF(OR(4363.4312="",2801.23124=""),"-",2801.23124/4363.4312*100)</f>
        <v>64.197900954643217</v>
      </c>
      <c r="D58" s="48">
        <f>IF(4363.4312="","-",4363.4312/948466.87002*100)</f>
        <v>0.4600509873273686</v>
      </c>
      <c r="E58" s="48">
        <f>IF(2801.23124="","-",2801.23124/824834.53122*100)</f>
        <v>0.33961129583854138</v>
      </c>
      <c r="F58" s="48">
        <f>IF(OR(877651.01761="",4693.19137="",4363.4312=""),"-",(4363.4312-4693.19137)/877651.01761*100)</f>
        <v>-3.7573040238476026E-2</v>
      </c>
      <c r="G58" s="48">
        <f>IF(OR(948466.87002="",2801.23124="",4363.4312=""),"-",(2801.23124-4363.4312)/948466.87002*100)</f>
        <v>-0.1647079101420863</v>
      </c>
    </row>
    <row r="59" spans="1:7" s="14" customFormat="1" x14ac:dyDescent="0.25">
      <c r="A59" s="47" t="s">
        <v>62</v>
      </c>
      <c r="B59" s="48">
        <f>IF(2341.79174="","-",2341.79174)</f>
        <v>2341.7917400000001</v>
      </c>
      <c r="C59" s="48">
        <f>IF(OR(2034.77512="",2341.79174=""),"-",2341.79174/2034.77512*100)</f>
        <v>115.08847916324041</v>
      </c>
      <c r="D59" s="48">
        <f>IF(2034.77512="","-",2034.77512/948466.87002*100)</f>
        <v>0.21453307272156943</v>
      </c>
      <c r="E59" s="48">
        <f>IF(2341.79174="","-",2341.79174/824834.53122*100)</f>
        <v>0.28391048766305799</v>
      </c>
      <c r="F59" s="48">
        <f>IF(OR(877651.01761="",1648.28829="",2034.77512=""),"-",(2034.77512-1648.28829)/877651.01761*100)</f>
        <v>4.4036504515481849E-2</v>
      </c>
      <c r="G59" s="48">
        <f>IF(OR(948466.87002="",2341.79174="",2034.77512=""),"-",(2341.79174-2034.77512)/948466.87002*100)</f>
        <v>3.23697779758534E-2</v>
      </c>
    </row>
    <row r="60" spans="1:7" s="9" customFormat="1" x14ac:dyDescent="0.25">
      <c r="A60" s="47" t="s">
        <v>69</v>
      </c>
      <c r="B60" s="48">
        <f>IF(2051.45781="","-",2051.45781)</f>
        <v>2051.4578099999999</v>
      </c>
      <c r="C60" s="48">
        <f>IF(OR(4131.54658="",2051.45781=""),"-",2051.45781/4131.54658*100)</f>
        <v>49.653507960692039</v>
      </c>
      <c r="D60" s="48">
        <f>IF(4131.54658="","-",4131.54658/948466.87002*100)</f>
        <v>0.43560262467711491</v>
      </c>
      <c r="E60" s="48">
        <f>IF(2051.45781="","-",2051.45781/824834.53122*100)</f>
        <v>0.24871143633690024</v>
      </c>
      <c r="F60" s="48">
        <f>IF(OR(877651.01761="",1264.48832="",4131.54658=""),"-",(4131.54658-1264.48832)/877651.01761*100)</f>
        <v>0.32667406548533495</v>
      </c>
      <c r="G60" s="48">
        <f>IF(OR(948466.87002="",2051.45781="",4131.54658=""),"-",(2051.45781-4131.54658)/948466.87002*100)</f>
        <v>-0.21931064075608017</v>
      </c>
    </row>
    <row r="61" spans="1:7" s="14" customFormat="1" x14ac:dyDescent="0.25">
      <c r="A61" s="47" t="s">
        <v>63</v>
      </c>
      <c r="B61" s="48">
        <f>IF(1960.43088="","-",1960.43088)</f>
        <v>1960.4308799999999</v>
      </c>
      <c r="C61" s="48">
        <f>IF(OR(2925.55502="",1960.43088=""),"-",1960.43088/2925.55502*100)</f>
        <v>67.010562665815115</v>
      </c>
      <c r="D61" s="48">
        <f>IF(2925.55502="","-",2925.55502/948466.87002*100)</f>
        <v>0.30845094462164074</v>
      </c>
      <c r="E61" s="48">
        <f>IF(1960.43088="","-",1960.43088/824834.53122*100)</f>
        <v>0.23767565563730184</v>
      </c>
      <c r="F61" s="48">
        <f>IF(OR(877651.01761="",1060.02011="",2925.55502=""),"-",(2925.55502-1060.02011)/877651.01761*100)</f>
        <v>0.21255998939990789</v>
      </c>
      <c r="G61" s="48">
        <f>IF(OR(948466.87002="",1960.43088="",2925.55502=""),"-",(1960.43088-2925.55502)/948466.87002*100)</f>
        <v>-0.10175623108265748</v>
      </c>
    </row>
    <row r="62" spans="1:7" s="9" customFormat="1" x14ac:dyDescent="0.25">
      <c r="A62" s="47" t="s">
        <v>38</v>
      </c>
      <c r="B62" s="48">
        <f>IF(1841.55709="","-",1841.55709)</f>
        <v>1841.55709</v>
      </c>
      <c r="C62" s="48">
        <f>IF(OR(1249.70475="",1841.55709=""),"-",1841.55709/1249.70475*100)</f>
        <v>147.35937348401691</v>
      </c>
      <c r="D62" s="48">
        <f>IF(1249.70475="","-",1249.70475/948466.87002*100)</f>
        <v>0.13176050629724664</v>
      </c>
      <c r="E62" s="48">
        <f>IF(1841.55709="","-",1841.55709/824834.53122*100)</f>
        <v>0.22326382083885132</v>
      </c>
      <c r="F62" s="48">
        <f>IF(OR(877651.01761="",2165.84228="",1249.70475=""),"-",(1249.70475-2165.84228)/877651.01761*100)</f>
        <v>-0.10438517265037822</v>
      </c>
      <c r="G62" s="48">
        <f>IF(OR(948466.87002="",1841.55709="",1249.70475=""),"-",(1841.55709-1249.70475)/948466.87002*100)</f>
        <v>6.2400950281744652E-2</v>
      </c>
    </row>
    <row r="63" spans="1:7" s="14" customFormat="1" x14ac:dyDescent="0.25">
      <c r="A63" s="47" t="s">
        <v>68</v>
      </c>
      <c r="B63" s="48">
        <f>IF(1515.65933="","-",1515.65933)</f>
        <v>1515.65933</v>
      </c>
      <c r="C63" s="48" t="s">
        <v>203</v>
      </c>
      <c r="D63" s="48">
        <f>IF(22.26872="","-",22.26872/948466.87002*100)</f>
        <v>2.3478648231045145E-3</v>
      </c>
      <c r="E63" s="48">
        <f>IF(1515.65933="","-",1515.65933/824834.53122*100)</f>
        <v>0.1837531374636088</v>
      </c>
      <c r="F63" s="48" t="str">
        <f>IF(OR(877651.01761="",""="",22.26872=""),"-",(22.26872-"")/877651.01761*100)</f>
        <v>-</v>
      </c>
      <c r="G63" s="48">
        <f>IF(OR(948466.87002="",1515.65933="",22.26872=""),"-",(1515.65933-22.26872)/948466.87002*100)</f>
        <v>0.15745311272374851</v>
      </c>
    </row>
    <row r="64" spans="1:7" s="9" customFormat="1" x14ac:dyDescent="0.25">
      <c r="A64" s="47" t="s">
        <v>40</v>
      </c>
      <c r="B64" s="48">
        <f>IF(1309.92535="","-",1309.92535)</f>
        <v>1309.92535</v>
      </c>
      <c r="C64" s="48">
        <f>IF(OR(925.87868="",1309.92535=""),"-",1309.92535/925.87868*100)</f>
        <v>141.47915685886622</v>
      </c>
      <c r="D64" s="48">
        <f>IF(925.87868="","-",925.87868/948466.87002*100)</f>
        <v>9.7618452395756991E-2</v>
      </c>
      <c r="E64" s="48">
        <f>IF(1309.92535="","-",1309.92535/824834.53122*100)</f>
        <v>0.1588106826786834</v>
      </c>
      <c r="F64" s="48">
        <f>IF(OR(877651.01761="",362.49654="",925.87868=""),"-",(925.87868-362.49654)/877651.01761*100)</f>
        <v>6.4192045436714695E-2</v>
      </c>
      <c r="G64" s="48">
        <f>IF(OR(948466.87002="",1309.92535="",925.87868=""),"-",(1309.92535-925.87868)/948466.87002*100)</f>
        <v>4.0491310992433679E-2</v>
      </c>
    </row>
    <row r="65" spans="1:7" s="9" customFormat="1" x14ac:dyDescent="0.25">
      <c r="A65" s="47" t="s">
        <v>88</v>
      </c>
      <c r="B65" s="48">
        <f>IF(730.03851="","-",730.03851)</f>
        <v>730.03850999999997</v>
      </c>
      <c r="C65" s="48" t="s">
        <v>204</v>
      </c>
      <c r="D65" s="48">
        <f>IF(83.85833="","-",83.85833/948466.87002*100)</f>
        <v>8.841461167561045E-3</v>
      </c>
      <c r="E65" s="48">
        <f>IF(730.03851="","-",730.03851/824834.53122*100)</f>
        <v>8.8507268108697065E-2</v>
      </c>
      <c r="F65" s="48">
        <f>IF(OR(877651.01761="",54.8751="",83.85833=""),"-",(83.85833-54.8751)/877651.01761*100)</f>
        <v>3.3023638574392004E-3</v>
      </c>
      <c r="G65" s="48">
        <f>IF(OR(948466.87002="",730.03851="",83.85833=""),"-",(730.03851-83.85833)/948466.87002*100)</f>
        <v>6.8128914190368511E-2</v>
      </c>
    </row>
    <row r="66" spans="1:7" s="14" customFormat="1" x14ac:dyDescent="0.25">
      <c r="A66" s="47" t="s">
        <v>71</v>
      </c>
      <c r="B66" s="48">
        <f>IF(653.94852="","-",653.94852)</f>
        <v>653.94852000000003</v>
      </c>
      <c r="C66" s="48" t="s">
        <v>205</v>
      </c>
      <c r="D66" s="48">
        <f>IF(47.17183="","-",47.17183/948466.87002*100)</f>
        <v>4.9734820994860162E-3</v>
      </c>
      <c r="E66" s="48">
        <f>IF(653.94852="","-",653.94852/824834.53122*100)</f>
        <v>7.9282388800182124E-2</v>
      </c>
      <c r="F66" s="48">
        <f>IF(OR(877651.01761="",550.78908="",47.17183=""),"-",(47.17183-550.78908)/877651.01761*100)</f>
        <v>-5.7382403699757507E-2</v>
      </c>
      <c r="G66" s="48">
        <f>IF(OR(948466.87002="",653.94852="",47.17183=""),"-",(653.94852-47.17183)/948466.87002*100)</f>
        <v>6.3974473877743895E-2</v>
      </c>
    </row>
    <row r="67" spans="1:7" s="16" customFormat="1" x14ac:dyDescent="0.25">
      <c r="A67" s="47" t="s">
        <v>147</v>
      </c>
      <c r="B67" s="48">
        <f>IF(642.60593="","-",642.60593)</f>
        <v>642.60592999999994</v>
      </c>
      <c r="C67" s="48" t="s">
        <v>132</v>
      </c>
      <c r="D67" s="48">
        <f>IF(416.91871="","-",416.91871/948466.87002*100)</f>
        <v>4.3957118923005557E-2</v>
      </c>
      <c r="E67" s="48">
        <f>IF(642.60593="","-",642.60593/824834.53122*100)</f>
        <v>7.7907253597825424E-2</v>
      </c>
      <c r="F67" s="48">
        <f>IF(OR(877651.01761="",548.68707="",416.91871=""),"-",(416.91871-548.68707)/877651.01761*100)</f>
        <v>-1.5013753457362663E-2</v>
      </c>
      <c r="G67" s="48">
        <f>IF(OR(948466.87002="",642.60593="",416.91871=""),"-",(642.60593-416.91871)/948466.87002*100)</f>
        <v>2.3794950264867023E-2</v>
      </c>
    </row>
    <row r="68" spans="1:7" s="9" customFormat="1" x14ac:dyDescent="0.25">
      <c r="A68" s="47" t="s">
        <v>77</v>
      </c>
      <c r="B68" s="48">
        <f>IF(613.88166="","-",613.88166)</f>
        <v>613.88166000000001</v>
      </c>
      <c r="C68" s="48" t="s">
        <v>132</v>
      </c>
      <c r="D68" s="48">
        <f>IF(401.818="","-",401.818/948466.87002*100)</f>
        <v>4.2365001108739517E-2</v>
      </c>
      <c r="E68" s="48">
        <f>IF(613.88166="","-",613.88166/824834.53122*100)</f>
        <v>7.4424825436444464E-2</v>
      </c>
      <c r="F68" s="48">
        <f>IF(OR(877651.01761="",263.40564="",401.818=""),"-",(401.818-263.40564)/877651.01761*100)</f>
        <v>1.5770774171369559E-2</v>
      </c>
      <c r="G68" s="48">
        <f>IF(OR(948466.87002="",613.88166="",401.818=""),"-",(613.88166-401.818)/948466.87002*100)</f>
        <v>2.2358573262082237E-2</v>
      </c>
    </row>
    <row r="69" spans="1:7" s="9" customFormat="1" x14ac:dyDescent="0.25">
      <c r="A69" s="47" t="s">
        <v>86</v>
      </c>
      <c r="B69" s="48">
        <f>IF(509.38636="","-",509.38636)</f>
        <v>509.38636000000002</v>
      </c>
      <c r="C69" s="48">
        <f>IF(OR(1085.68084="",509.38636=""),"-",509.38636/1085.68084*100)</f>
        <v>46.918610076972534</v>
      </c>
      <c r="D69" s="48">
        <f>IF(1085.68084="","-",1085.68084/948466.87002*100)</f>
        <v>0.11446692281166411</v>
      </c>
      <c r="E69" s="48">
        <f>IF(509.38636="","-",509.38636/824834.53122*100)</f>
        <v>6.1756187540617936E-2</v>
      </c>
      <c r="F69" s="48">
        <f>IF(OR(877651.01761="",805.44759="",1085.68084=""),"-",(1085.68084-805.44759)/877651.01761*100)</f>
        <v>3.1929917971624422E-2</v>
      </c>
      <c r="G69" s="48">
        <f>IF(OR(948466.87002="",509.38636="",1085.68084=""),"-",(509.38636-1085.68084)/948466.87002*100)</f>
        <v>-6.0760633630550308E-2</v>
      </c>
    </row>
    <row r="70" spans="1:7" s="9" customFormat="1" x14ac:dyDescent="0.25">
      <c r="A70" s="47" t="s">
        <v>149</v>
      </c>
      <c r="B70" s="48">
        <f>IF(437.16982="","-",437.16982)</f>
        <v>437.16982000000002</v>
      </c>
      <c r="C70" s="48">
        <f>IF(OR(331.48511="",437.16982=""),"-",437.16982/331.48511*100)</f>
        <v>131.88218921809187</v>
      </c>
      <c r="D70" s="48">
        <f>IF(331.48511="","-",331.48511/948466.87002*100)</f>
        <v>3.4949571827744504E-2</v>
      </c>
      <c r="E70" s="48">
        <f>IF(437.16982="","-",437.16982/824834.53122*100)</f>
        <v>5.3000911510504886E-2</v>
      </c>
      <c r="F70" s="48">
        <f>IF(OR(877651.01761="",768.19926="",331.48511=""),"-",(331.48511-768.19926)/877651.01761*100)</f>
        <v>-4.9759430711907603E-2</v>
      </c>
      <c r="G70" s="48">
        <f>IF(OR(948466.87002="",437.16982="",331.48511=""),"-",(437.16982-331.48511)/948466.87002*100)</f>
        <v>1.1142688621034433E-2</v>
      </c>
    </row>
    <row r="71" spans="1:7" s="9" customFormat="1" x14ac:dyDescent="0.25">
      <c r="A71" s="47" t="s">
        <v>65</v>
      </c>
      <c r="B71" s="48">
        <f>IF(432.21897="","-",432.21897)</f>
        <v>432.21897000000001</v>
      </c>
      <c r="C71" s="48">
        <f>IF(OR(700.93438="",432.21897=""),"-",432.21897/700.93438*100)</f>
        <v>61.663257265252135</v>
      </c>
      <c r="D71" s="48">
        <f>IF(700.93438="","-",700.93438/948466.87002*100)</f>
        <v>7.3901830644355529E-2</v>
      </c>
      <c r="E71" s="48">
        <f>IF(432.21897="","-",432.21897/824834.53122*100)</f>
        <v>5.2400688094460787E-2</v>
      </c>
      <c r="F71" s="48">
        <f>IF(OR(877651.01761="",991.17389="",700.93438=""),"-",(700.93438-991.17389)/877651.01761*100)</f>
        <v>-3.307003628735871E-2</v>
      </c>
      <c r="G71" s="48">
        <f>IF(OR(948466.87002="",432.21897="",700.93438=""),"-",(432.21897-700.93438)/948466.87002*100)</f>
        <v>-2.8331554690395638E-2</v>
      </c>
    </row>
    <row r="72" spans="1:7" s="9" customFormat="1" x14ac:dyDescent="0.25">
      <c r="A72" s="47" t="s">
        <v>78</v>
      </c>
      <c r="B72" s="48">
        <f>IF(427.57781="","-",427.57781)</f>
        <v>427.57781</v>
      </c>
      <c r="C72" s="48">
        <f>IF(OR(450.78501="",427.57781=""),"-",427.57781/450.78501*100)</f>
        <v>94.851825263666157</v>
      </c>
      <c r="D72" s="48">
        <f>IF(450.78501="","-",450.78501/948466.87002*100)</f>
        <v>4.7527754974772546E-2</v>
      </c>
      <c r="E72" s="48">
        <f>IF(427.57781="","-",427.57781/824834.53122*100)</f>
        <v>5.1838010390711495E-2</v>
      </c>
      <c r="F72" s="48">
        <f>IF(OR(877651.01761="",523.86017="",450.78501=""),"-",(450.78501-523.86017)/877651.01761*100)</f>
        <v>-8.3262206200132617E-3</v>
      </c>
      <c r="G72" s="48">
        <f>IF(OR(948466.87002="",427.57781="",450.78501=""),"-",(427.57781-450.78501)/948466.87002*100)</f>
        <v>-2.4468118743578926E-3</v>
      </c>
    </row>
    <row r="73" spans="1:7" s="9" customFormat="1" x14ac:dyDescent="0.25">
      <c r="A73" s="47" t="s">
        <v>94</v>
      </c>
      <c r="B73" s="48">
        <f>IF(359.55392="","-",359.55392)</f>
        <v>359.55392000000001</v>
      </c>
      <c r="C73" s="48" t="s">
        <v>205</v>
      </c>
      <c r="D73" s="48">
        <f>IF(25.90083="","-",25.90083/948466.87002*100)</f>
        <v>2.730810196823621E-3</v>
      </c>
      <c r="E73" s="48">
        <f>IF(359.55392="","-",359.55392/824834.53122*100)</f>
        <v>4.3591036309814694E-2</v>
      </c>
      <c r="F73" s="48">
        <f>IF(OR(877651.01761="",84.78588="",25.90083=""),"-",(25.90083-84.78588)/877651.01761*100)</f>
        <v>-6.7093923231986317E-3</v>
      </c>
      <c r="G73" s="48">
        <f>IF(OR(948466.87002="",359.55392="",25.90083=""),"-",(359.55392-25.90083)/948466.87002*100)</f>
        <v>3.5178149131657531E-2</v>
      </c>
    </row>
    <row r="74" spans="1:7" s="9" customFormat="1" x14ac:dyDescent="0.25">
      <c r="A74" s="47" t="s">
        <v>73</v>
      </c>
      <c r="B74" s="48">
        <f>IF(309.28081="","-",309.28081)</f>
        <v>309.28080999999997</v>
      </c>
      <c r="C74" s="48">
        <f>IF(OR(395.93959="",309.28081=""),"-",309.28081/395.93959*100)</f>
        <v>78.113130844025974</v>
      </c>
      <c r="D74" s="48">
        <f>IF(395.93959="","-",395.93959/948466.87002*100)</f>
        <v>4.1745220894394655E-2</v>
      </c>
      <c r="E74" s="48">
        <f>IF(309.28081="","-",309.28081/824834.53122*100)</f>
        <v>3.7496103556982213E-2</v>
      </c>
      <c r="F74" s="48">
        <f>IF(OR(877651.01761="",295.46="",395.93959=""),"-",(395.93959-295.46)/877651.01761*100)</f>
        <v>1.144869520844673E-2</v>
      </c>
      <c r="G74" s="48">
        <f>IF(OR(948466.87002="",309.28081="",395.93959=""),"-",(309.28081-395.93959)/948466.87002*100)</f>
        <v>-9.1367218760284898E-3</v>
      </c>
    </row>
    <row r="75" spans="1:7" s="9" customFormat="1" x14ac:dyDescent="0.25">
      <c r="A75" s="47" t="s">
        <v>83</v>
      </c>
      <c r="B75" s="48">
        <f>IF(302.39389="","-",302.39389)</f>
        <v>302.39389</v>
      </c>
      <c r="C75" s="48" t="s">
        <v>206</v>
      </c>
      <c r="D75" s="48">
        <f>IF(0.32777="","-",0.32777/948466.87002*100)</f>
        <v>3.4557875489429421E-5</v>
      </c>
      <c r="E75" s="48">
        <f>IF(302.39389="","-",302.39389/824834.53122*100)</f>
        <v>3.666115791160366E-2</v>
      </c>
      <c r="F75" s="48">
        <f>IF(OR(877651.01761="",635.21518="",0.32777=""),"-",(0.32777-635.21518)/877651.01761*100)</f>
        <v>-7.2339391997620142E-2</v>
      </c>
      <c r="G75" s="48">
        <f>IF(OR(948466.87002="",302.39389="",0.32777=""),"-",(302.39389-0.32777)/948466.87002*100)</f>
        <v>3.1847830382692274E-2</v>
      </c>
    </row>
    <row r="76" spans="1:7" s="9" customFormat="1" x14ac:dyDescent="0.25">
      <c r="A76" s="47" t="s">
        <v>112</v>
      </c>
      <c r="B76" s="48">
        <f>IF(296.96236="","-",296.96236)</f>
        <v>296.96235999999999</v>
      </c>
      <c r="C76" s="48">
        <f>IF(OR(540.10447="",296.96236=""),"-",296.96236/540.10447*100)</f>
        <v>54.982392573051655</v>
      </c>
      <c r="D76" s="48">
        <f>IF(540.10447="","-",540.10447/948466.87002*100)</f>
        <v>5.6945001145755465E-2</v>
      </c>
      <c r="E76" s="48">
        <f>IF(296.96236="","-",296.96236/824834.53122*100)</f>
        <v>3.6002658564835734E-2</v>
      </c>
      <c r="F76" s="48">
        <f>IF(OR(877651.01761="",421.13265="",540.10447=""),"-",(540.10447-421.13265)/877651.01761*100)</f>
        <v>1.3555709229846441E-2</v>
      </c>
      <c r="G76" s="48">
        <f>IF(OR(948466.87002="",296.96236="",540.10447=""),"-",(296.96236-540.10447)/948466.87002*100)</f>
        <v>-2.5635277065067429E-2</v>
      </c>
    </row>
    <row r="77" spans="1:7" x14ac:dyDescent="0.25">
      <c r="A77" s="47" t="s">
        <v>148</v>
      </c>
      <c r="B77" s="48">
        <f>IF(245.97432="","-",245.97432)</f>
        <v>245.97432000000001</v>
      </c>
      <c r="C77" s="48" t="str">
        <f>IF(OR(""="",245.97432=""),"-",245.97432/""*100)</f>
        <v>-</v>
      </c>
      <c r="D77" s="48" t="str">
        <f>IF(""="","-",""/948466.87002*100)</f>
        <v>-</v>
      </c>
      <c r="E77" s="48">
        <f>IF(245.97432="","-",245.97432/824834.53122*100)</f>
        <v>2.9821050245821205E-2</v>
      </c>
      <c r="F77" s="48" t="str">
        <f>IF(OR(877651.01761="",51.92029="",""=""),"-",(""-51.92029)/877651.01761*100)</f>
        <v>-</v>
      </c>
      <c r="G77" s="48" t="str">
        <f>IF(OR(948466.87002="",245.97432="",""=""),"-",(245.97432-"")/948466.87002*100)</f>
        <v>-</v>
      </c>
    </row>
    <row r="78" spans="1:7" x14ac:dyDescent="0.25">
      <c r="A78" s="47" t="s">
        <v>87</v>
      </c>
      <c r="B78" s="48">
        <f>IF(244.79303="","-",244.79303)</f>
        <v>244.79302999999999</v>
      </c>
      <c r="C78" s="48" t="s">
        <v>207</v>
      </c>
      <c r="D78" s="48">
        <f>IF(2.12515="","-",2.12515/948466.87002*100)</f>
        <v>2.240615953148883E-4</v>
      </c>
      <c r="E78" s="48">
        <f>IF(244.79303="","-",244.79303/824834.53122*100)</f>
        <v>2.9677834854698725E-2</v>
      </c>
      <c r="F78" s="48">
        <f>IF(OR(877651.01761="",28.70068="",2.12515=""),"-",(2.12515-28.70068)/877651.01761*100)</f>
        <v>-3.0280293039903145E-3</v>
      </c>
      <c r="G78" s="48">
        <f>IF(OR(948466.87002="",244.79303="",2.12515=""),"-",(244.79303-2.12515)/948466.87002*100)</f>
        <v>2.5585277427231899E-2</v>
      </c>
    </row>
    <row r="79" spans="1:7" x14ac:dyDescent="0.25">
      <c r="A79" s="47" t="s">
        <v>141</v>
      </c>
      <c r="B79" s="48">
        <f>IF(219.08243="","-",219.08243)</f>
        <v>219.08242999999999</v>
      </c>
      <c r="C79" s="48" t="s">
        <v>183</v>
      </c>
      <c r="D79" s="48">
        <f>IF(89.84425="","-",89.84425/948466.87002*100)</f>
        <v>9.4725765168904089E-3</v>
      </c>
      <c r="E79" s="48">
        <f>IF(219.08243="","-",219.08243/824834.53122*100)</f>
        <v>2.656077330758189E-2</v>
      </c>
      <c r="F79" s="48">
        <f>IF(OR(877651.01761="",7.147="",89.84425=""),"-",(89.84425-7.147)/877651.01761*100)</f>
        <v>9.4225664120118416E-3</v>
      </c>
      <c r="G79" s="48">
        <f>IF(OR(948466.87002="",219.08243="",89.84425=""),"-",(219.08243-89.84425)/948466.87002*100)</f>
        <v>1.3626008887086883E-2</v>
      </c>
    </row>
    <row r="80" spans="1:7" x14ac:dyDescent="0.25">
      <c r="A80" s="47" t="s">
        <v>37</v>
      </c>
      <c r="B80" s="48">
        <f>IF(198.17559="","-",198.17559)</f>
        <v>198.17559</v>
      </c>
      <c r="C80" s="48" t="s">
        <v>96</v>
      </c>
      <c r="D80" s="48">
        <f>IF(95.93332="","-",95.93332/948466.87002*100)</f>
        <v>1.0114567311979709E-2</v>
      </c>
      <c r="E80" s="48">
        <f>IF(198.17559="","-",198.17559/824834.53122*100)</f>
        <v>2.4026102508933708E-2</v>
      </c>
      <c r="F80" s="48">
        <f>IF(OR(877651.01761="",55.94842="",95.93332=""),"-",(95.93332-55.94842)/877651.01761*100)</f>
        <v>4.5558996910737941E-3</v>
      </c>
      <c r="G80" s="48">
        <f>IF(OR(948466.87002="",198.17559="",95.93332=""),"-",(198.17559-95.93332)/948466.87002*100)</f>
        <v>1.0779740782916755E-2</v>
      </c>
    </row>
    <row r="81" spans="1:7" x14ac:dyDescent="0.25">
      <c r="A81" s="47" t="s">
        <v>39</v>
      </c>
      <c r="B81" s="48">
        <f>IF(191.17765="","-",191.17765)</f>
        <v>191.17765</v>
      </c>
      <c r="C81" s="48">
        <f>IF(OR(413.12635="",191.17765=""),"-",191.17765/413.12635*100)</f>
        <v>46.27583062663517</v>
      </c>
      <c r="D81" s="48">
        <f>IF(413.12635="","-",413.12635/948466.87002*100)</f>
        <v>4.3557277861617727E-2</v>
      </c>
      <c r="E81" s="48">
        <f>IF(191.17765="","-",191.17765/824834.53122*100)</f>
        <v>2.3177697194276297E-2</v>
      </c>
      <c r="F81" s="48">
        <f>IF(OR(877651.01761="",67.70944="",413.12635=""),"-",(413.12635-67.70944)/877651.01761*100)</f>
        <v>3.9356977097871067E-2</v>
      </c>
      <c r="G81" s="48">
        <f>IF(OR(948466.87002="",191.17765="",413.12635=""),"-",(191.17765-413.12635)/948466.87002*100)</f>
        <v>-2.3400785732802645E-2</v>
      </c>
    </row>
    <row r="82" spans="1:7" x14ac:dyDescent="0.25">
      <c r="A82" s="47" t="s">
        <v>209</v>
      </c>
      <c r="B82" s="48">
        <f>IF(168.732="","-",168.732)</f>
        <v>168.732</v>
      </c>
      <c r="C82" s="48" t="str">
        <f>IF(OR(""="",168.732=""),"-",168.732/""*100)</f>
        <v>-</v>
      </c>
      <c r="D82" s="48" t="str">
        <f>IF(""="","-",""/948466.87002*100)</f>
        <v>-</v>
      </c>
      <c r="E82" s="48">
        <f>IF(168.732="","-",168.732/824834.53122*100)</f>
        <v>2.045646655341055E-2</v>
      </c>
      <c r="F82" s="48" t="str">
        <f>IF(OR(877651.01761="",""="",""=""),"-",(""-"")/877651.01761*100)</f>
        <v>-</v>
      </c>
      <c r="G82" s="48" t="str">
        <f>IF(OR(948466.87002="",168.732="",""=""),"-",(168.732-"")/948466.87002*100)</f>
        <v>-</v>
      </c>
    </row>
    <row r="83" spans="1:7" x14ac:dyDescent="0.25">
      <c r="A83" s="47" t="s">
        <v>72</v>
      </c>
      <c r="B83" s="48">
        <f>IF(164.2831="","-",164.2831)</f>
        <v>164.28309999999999</v>
      </c>
      <c r="C83" s="48">
        <f>IF(OR(473.86909="",164.2831=""),"-",164.2831/473.86909*100)</f>
        <v>34.668456640630431</v>
      </c>
      <c r="D83" s="48">
        <f>IF(473.86909="","-",473.86909/948466.87002*100)</f>
        <v>4.9961585900202048E-2</v>
      </c>
      <c r="E83" s="48">
        <f>IF(164.2831="","-",164.2831/824834.53122*100)</f>
        <v>1.9917097767113534E-2</v>
      </c>
      <c r="F83" s="48" t="str">
        <f>IF(OR(877651.01761="",""="",473.86909=""),"-",(473.86909-"")/877651.01761*100)</f>
        <v>-</v>
      </c>
      <c r="G83" s="48">
        <f>IF(OR(948466.87002="",164.2831="",473.86909=""),"-",(164.2831-473.86909)/948466.87002*100)</f>
        <v>-3.2640675155419178E-2</v>
      </c>
    </row>
    <row r="84" spans="1:7" x14ac:dyDescent="0.25">
      <c r="A84" s="47" t="s">
        <v>97</v>
      </c>
      <c r="B84" s="48">
        <f>IF(159.60595="","-",159.60595)</f>
        <v>159.60595000000001</v>
      </c>
      <c r="C84" s="48">
        <f>IF(OR(248.77491="",159.60595=""),"-",159.60595/248.77491*100)</f>
        <v>64.156771275688541</v>
      </c>
      <c r="D84" s="48">
        <f>IF(248.77491="","-",248.77491/948466.87002*100)</f>
        <v>2.62291618045398E-2</v>
      </c>
      <c r="E84" s="48">
        <f>IF(159.60595="","-",159.60595/824834.53122*100)</f>
        <v>1.9350056763982628E-2</v>
      </c>
      <c r="F84" s="48">
        <f>IF(OR(877651.01761="",255.87693="",248.77491=""),"-",(248.77491-255.87693)/877651.01761*100)</f>
        <v>-8.0920774402336456E-4</v>
      </c>
      <c r="G84" s="48">
        <f>IF(OR(948466.87002="",159.60595="",248.77491=""),"-",(159.60595-248.77491)/948466.87002*100)</f>
        <v>-9.4013784580709407E-3</v>
      </c>
    </row>
    <row r="85" spans="1:7" x14ac:dyDescent="0.25">
      <c r="A85" s="47" t="s">
        <v>76</v>
      </c>
      <c r="B85" s="48">
        <f>IF(151.7808="","-",151.7808)</f>
        <v>151.7808</v>
      </c>
      <c r="C85" s="48">
        <f>IF(OR(1037.22968="",151.7808=""),"-",151.7808/1037.22968*100)</f>
        <v>14.633287393010196</v>
      </c>
      <c r="D85" s="48">
        <f>IF(1037.22968="","-",1037.22968/948466.87002*100)</f>
        <v>0.10935855671776161</v>
      </c>
      <c r="E85" s="48">
        <f>IF(151.7808="","-",151.7808/824834.53122*100)</f>
        <v>1.8401363455953203E-2</v>
      </c>
      <c r="F85" s="48">
        <f>IF(OR(877651.01761="",7268.14881="",1037.22968=""),"-",(1037.22968-7268.14881)/877651.01761*100)</f>
        <v>-0.70995407114867848</v>
      </c>
      <c r="G85" s="48">
        <f>IF(OR(948466.87002="",151.7808="",1037.22968=""),"-",(151.7808-1037.22968)/948466.87002*100)</f>
        <v>-9.335580482440349E-2</v>
      </c>
    </row>
    <row r="86" spans="1:7" x14ac:dyDescent="0.25">
      <c r="A86" s="47" t="s">
        <v>104</v>
      </c>
      <c r="B86" s="48">
        <f>IF(146.13724="","-",146.13724)</f>
        <v>146.13723999999999</v>
      </c>
      <c r="C86" s="48" t="s">
        <v>96</v>
      </c>
      <c r="D86" s="48">
        <f>IF(68.63161="","-",68.63161/948466.87002*100)</f>
        <v>7.2360577021053762E-3</v>
      </c>
      <c r="E86" s="48">
        <f>IF(146.13724="","-",146.13724/824834.53122*100)</f>
        <v>1.7717158347365824E-2</v>
      </c>
      <c r="F86" s="48">
        <f>IF(OR(877651.01761="",16.81995="",68.63161=""),"-",(68.63161-16.81995)/877651.01761*100)</f>
        <v>5.9034466958281864E-3</v>
      </c>
      <c r="G86" s="48">
        <f>IF(OR(948466.87002="",146.13724="",68.63161=""),"-",(146.13724-68.63161)/948466.87002*100)</f>
        <v>8.171674989382146E-3</v>
      </c>
    </row>
    <row r="87" spans="1:7" x14ac:dyDescent="0.25">
      <c r="A87" s="47" t="s">
        <v>84</v>
      </c>
      <c r="B87" s="48">
        <f>IF(130.95927="","-",130.95927)</f>
        <v>130.95927</v>
      </c>
      <c r="C87" s="48">
        <f>IF(OR(542.71609="",130.95927=""),"-",130.95927/542.71609*100)</f>
        <v>24.130345942019151</v>
      </c>
      <c r="D87" s="48">
        <f>IF(542.71609="","-",542.71609/948466.87002*100)</f>
        <v>5.7220352882600523E-2</v>
      </c>
      <c r="E87" s="48">
        <f>IF(130.95927="","-",130.95927/824834.53122*100)</f>
        <v>1.5877035337778619E-2</v>
      </c>
      <c r="F87" s="48">
        <f>IF(OR(877651.01761="",0.18768="",542.71609=""),"-",(542.71609-0.18768)/877651.01761*100)</f>
        <v>6.1815960913188653E-2</v>
      </c>
      <c r="G87" s="48">
        <f>IF(OR(948466.87002="",130.95927="",542.71609=""),"-",(130.95927-542.71609)/948466.87002*100)</f>
        <v>-4.3412883782784885E-2</v>
      </c>
    </row>
    <row r="88" spans="1:7" x14ac:dyDescent="0.25">
      <c r="A88" s="47" t="s">
        <v>142</v>
      </c>
      <c r="B88" s="48">
        <f>IF(129.00573="","-",129.00573)</f>
        <v>129.00573</v>
      </c>
      <c r="C88" s="48">
        <f>IF(OR(178.00746="",129.00573=""),"-",129.00573/178.00746*100)</f>
        <v>72.472091899968689</v>
      </c>
      <c r="D88" s="48">
        <f>IF(178.00746="","-",178.00746/948466.87002*100)</f>
        <v>1.8767915425052899E-2</v>
      </c>
      <c r="E88" s="48">
        <f>IF(129.00573="","-",129.00573/824834.53122*100)</f>
        <v>1.5640195107882986E-2</v>
      </c>
      <c r="F88" s="48">
        <f>IF(OR(877651.01761="",161.90014="",178.00746=""),"-",(178.00746-161.90014)/877651.01761*100)</f>
        <v>1.8352761720556215E-3</v>
      </c>
      <c r="G88" s="48">
        <f>IF(OR(948466.87002="",129.00573="",178.00746=""),"-",(129.00573-178.00746)/948466.87002*100)</f>
        <v>-5.1664145105001632E-3</v>
      </c>
    </row>
    <row r="89" spans="1:7" x14ac:dyDescent="0.25">
      <c r="A89" s="47" t="s">
        <v>179</v>
      </c>
      <c r="B89" s="48">
        <f>IF(86.20905="","-",86.20905)</f>
        <v>86.209050000000005</v>
      </c>
      <c r="C89" s="48">
        <f>IF(OR(82.78842="",86.20905=""),"-",86.20905/82.78842*100)</f>
        <v>104.13177350165638</v>
      </c>
      <c r="D89" s="48">
        <f>IF(82.78842="","-",82.78842/948466.87002*100)</f>
        <v>8.7286570165865957E-3</v>
      </c>
      <c r="E89" s="48">
        <f>IF(86.20905="","-",86.20905/824834.53122*100)</f>
        <v>1.0451678092633868E-2</v>
      </c>
      <c r="F89" s="48">
        <f>IF(OR(877651.01761="",164.043="",82.78842=""),"-",(82.78842-164.043)/877651.01761*100)</f>
        <v>-9.258187863926905E-3</v>
      </c>
      <c r="G89" s="48">
        <f>IF(OR(948466.87002="",86.20905="",82.78842=""),"-",(86.20905-82.78842)/948466.87002*100)</f>
        <v>3.6064833766179656E-4</v>
      </c>
    </row>
    <row r="90" spans="1:7" x14ac:dyDescent="0.25">
      <c r="A90" s="47" t="s">
        <v>64</v>
      </c>
      <c r="B90" s="48">
        <f>IF(85.11492="","-",85.11492)</f>
        <v>85.114919999999998</v>
      </c>
      <c r="C90" s="48">
        <f>IF(OR(1464.91451="",85.11492=""),"-",85.11492/1464.91451*100)</f>
        <v>5.8102312059152172</v>
      </c>
      <c r="D90" s="48">
        <f>IF(1464.91451="","-",1464.91451/948466.87002*100)</f>
        <v>0.15445078329083967</v>
      </c>
      <c r="E90" s="48">
        <f>IF(85.11492="","-",85.11492/824834.53122*100)</f>
        <v>1.0319029669394155E-2</v>
      </c>
      <c r="F90" s="48">
        <f>IF(OR(877651.01761="",197.25882="",1464.91451=""),"-",(1464.91451-197.25882)/877651.01761*100)</f>
        <v>0.14443732925326655</v>
      </c>
      <c r="G90" s="48">
        <f>IF(OR(948466.87002="",85.11492="",1464.91451=""),"-",(85.11492-1464.91451)/948466.87002*100)</f>
        <v>-0.1454768356822948</v>
      </c>
    </row>
    <row r="91" spans="1:7" x14ac:dyDescent="0.25">
      <c r="A91" s="47" t="s">
        <v>110</v>
      </c>
      <c r="B91" s="48">
        <f>IF(85.0699="","-",85.0699)</f>
        <v>85.069900000000004</v>
      </c>
      <c r="C91" s="48">
        <f>IF(OR(157.5047="",85.0699=""),"-",85.0699/157.5047*100)</f>
        <v>54.01102316311831</v>
      </c>
      <c r="D91" s="48">
        <f>IF(157.5047="","-",157.5047/948466.87002*100)</f>
        <v>1.6606241607224379E-2</v>
      </c>
      <c r="E91" s="48">
        <f>IF(85.0699="","-",85.0699/824834.53122*100)</f>
        <v>1.0313571604982932E-2</v>
      </c>
      <c r="F91" s="48">
        <f>IF(OR(877651.01761="",114.38439="",157.5047=""),"-",(157.5047-114.38439)/877651.01761*100)</f>
        <v>4.9131498892833626E-3</v>
      </c>
      <c r="G91" s="48">
        <f>IF(OR(948466.87002="",85.0699="",157.5047=""),"-",(85.0699-157.5047)/948466.87002*100)</f>
        <v>-7.6370406062230296E-3</v>
      </c>
    </row>
    <row r="92" spans="1:7" x14ac:dyDescent="0.25">
      <c r="A92" s="47" t="s">
        <v>136</v>
      </c>
      <c r="B92" s="48">
        <f>IF(71.04353="","-",71.04353)</f>
        <v>71.043530000000004</v>
      </c>
      <c r="C92" s="48">
        <f>IF(OR(2432.16442="",71.04353=""),"-",71.04353/2432.16442*100)</f>
        <v>2.9210002998070337</v>
      </c>
      <c r="D92" s="48">
        <f>IF(2432.16442="","-",2432.16442/948466.87002*100)</f>
        <v>0.25643114133746325</v>
      </c>
      <c r="E92" s="48">
        <f>IF(71.04353="","-",71.04353/824834.53122*100)</f>
        <v>8.613064476692146E-3</v>
      </c>
      <c r="F92" s="48">
        <f>IF(OR(877651.01761="",33.00214="",2432.16442=""),"-",(2432.16442-33.00214)/877651.01761*100)</f>
        <v>0.27336176132209661</v>
      </c>
      <c r="G92" s="48">
        <f>IF(OR(948466.87002="",71.04353="",2432.16442=""),"-",(71.04353-2432.16442)/948466.87002*100)</f>
        <v>-0.24894078693019736</v>
      </c>
    </row>
    <row r="93" spans="1:7" x14ac:dyDescent="0.25">
      <c r="A93" s="47" t="s">
        <v>74</v>
      </c>
      <c r="B93" s="48">
        <f>IF(70.05237="","-",70.05237)</f>
        <v>70.052369999999996</v>
      </c>
      <c r="C93" s="48" t="str">
        <f>IF(OR(""="",70.05237=""),"-",70.05237/""*100)</f>
        <v>-</v>
      </c>
      <c r="D93" s="48" t="str">
        <f>IF(""="","-",""/948466.87002*100)</f>
        <v>-</v>
      </c>
      <c r="E93" s="48">
        <f>IF(70.05237="","-",70.05237/824834.53122*100)</f>
        <v>8.4928997694103114E-3</v>
      </c>
      <c r="F93" s="48" t="str">
        <f>IF(OR(877651.01761="",71.04334="",""=""),"-",(""-71.04334)/877651.01761*100)</f>
        <v>-</v>
      </c>
      <c r="G93" s="48" t="str">
        <f>IF(OR(948466.87002="",70.05237="",""=""),"-",(70.05237-"")/948466.87002*100)</f>
        <v>-</v>
      </c>
    </row>
    <row r="94" spans="1:7" x14ac:dyDescent="0.25">
      <c r="A94" s="47" t="s">
        <v>103</v>
      </c>
      <c r="B94" s="48">
        <f>IF(68.48415="","-",68.48415)</f>
        <v>68.48415</v>
      </c>
      <c r="C94" s="48">
        <f>IF(OR(220.02423="",68.48415=""),"-",68.48415/220.02423*100)</f>
        <v>31.125731016079456</v>
      </c>
      <c r="D94" s="48">
        <f>IF(220.02423="","-",220.02423/948466.87002*100)</f>
        <v>2.3197882493814506E-2</v>
      </c>
      <c r="E94" s="48">
        <f>IF(68.48415="","-",68.48415/824834.53122*100)</f>
        <v>8.302774363569158E-3</v>
      </c>
      <c r="F94" s="48">
        <f>IF(OR(877651.01761="",53.7="",220.02423=""),"-",(220.02423-53.7)/877651.01761*100)</f>
        <v>1.8951066729567579E-2</v>
      </c>
      <c r="G94" s="48">
        <f>IF(OR(948466.87002="",68.48415="",220.02423=""),"-",(68.48415-220.02423)/948466.87002*100)</f>
        <v>-1.5977371987363619E-2</v>
      </c>
    </row>
    <row r="95" spans="1:7" x14ac:dyDescent="0.25">
      <c r="A95" s="47" t="s">
        <v>79</v>
      </c>
      <c r="B95" s="48">
        <f>IF(67.26986="","-",67.26986)</f>
        <v>67.269859999999994</v>
      </c>
      <c r="C95" s="48" t="s">
        <v>105</v>
      </c>
      <c r="D95" s="48">
        <f>IF(37.5515="","-",37.5515/948466.87002*100)</f>
        <v>3.9591788798282596E-3</v>
      </c>
      <c r="E95" s="48">
        <f>IF(67.26986="","-",67.26986/824834.53122*100)</f>
        <v>8.1555581700128599E-3</v>
      </c>
      <c r="F95" s="48">
        <f>IF(OR(877651.01761="",164.7944="",37.5515=""),"-",(37.5515-164.7944)/877651.01761*100)</f>
        <v>-1.4498120260431655E-2</v>
      </c>
      <c r="G95" s="48">
        <f>IF(OR(948466.87002="",67.26986="",37.5515=""),"-",(67.26986-37.5515)/948466.87002*100)</f>
        <v>3.1333050145835178E-3</v>
      </c>
    </row>
    <row r="96" spans="1:7" x14ac:dyDescent="0.25">
      <c r="A96" s="47" t="s">
        <v>200</v>
      </c>
      <c r="B96" s="48">
        <f>IF(66.8448="","-",66.8448)</f>
        <v>66.844800000000006</v>
      </c>
      <c r="C96" s="48" t="str">
        <f>IF(OR(""="",66.8448=""),"-",66.8448/""*100)</f>
        <v>-</v>
      </c>
      <c r="D96" s="48" t="str">
        <f>IF(""="","-",""/948466.87002*100)</f>
        <v>-</v>
      </c>
      <c r="E96" s="48">
        <f>IF(66.8448="","-",66.8448/824834.53122*100)</f>
        <v>8.1040254099365716E-3</v>
      </c>
      <c r="F96" s="48" t="str">
        <f>IF(OR(877651.01761="",""="",""=""),"-",(""-"")/877651.01761*100)</f>
        <v>-</v>
      </c>
      <c r="G96" s="48" t="str">
        <f>IF(OR(948466.87002="",66.8448="",""=""),"-",(66.8448-"")/948466.87002*100)</f>
        <v>-</v>
      </c>
    </row>
    <row r="97" spans="1:7" x14ac:dyDescent="0.25">
      <c r="A97" s="47" t="s">
        <v>178</v>
      </c>
      <c r="B97" s="48">
        <f>IF(64.848="","-",64.848)</f>
        <v>64.847999999999999</v>
      </c>
      <c r="C97" s="48" t="s">
        <v>182</v>
      </c>
      <c r="D97" s="48">
        <f>IF(23.32711="","-",23.32711/948466.87002*100)</f>
        <v>2.4594543823663667E-3</v>
      </c>
      <c r="E97" s="48">
        <f>IF(64.848="","-",64.848/824834.53122*100)</f>
        <v>7.8619404917595198E-3</v>
      </c>
      <c r="F97" s="48">
        <f>IF(OR(877651.01761="",26.69742="",23.32711=""),"-",(23.32711-26.69742)/877651.01761*100)</f>
        <v>-3.8401482279117662E-4</v>
      </c>
      <c r="G97" s="48">
        <f>IF(OR(948466.87002="",64.848="",23.32711=""),"-",(64.848-23.32711)/948466.87002*100)</f>
        <v>4.3776847997995397E-3</v>
      </c>
    </row>
    <row r="98" spans="1:7" x14ac:dyDescent="0.25">
      <c r="A98" s="49" t="s">
        <v>162</v>
      </c>
      <c r="B98" s="50">
        <f>IF(50.18097="","-",50.18097)</f>
        <v>50.180970000000002</v>
      </c>
      <c r="C98" s="50" t="str">
        <f>IF(OR(""="",50.18097=""),"-",50.18097/""*100)</f>
        <v>-</v>
      </c>
      <c r="D98" s="50" t="str">
        <f>IF(""="","-",""/948466.87002*100)</f>
        <v>-</v>
      </c>
      <c r="E98" s="50">
        <f>IF(50.18097="","-",50.18097/824834.53122*100)</f>
        <v>6.0837620274915146E-3</v>
      </c>
      <c r="F98" s="50" t="str">
        <f>IF(OR(877651.01761="",90.19549="",""=""),"-",(""-90.19549)/877651.01761*100)</f>
        <v>-</v>
      </c>
      <c r="G98" s="50" t="str">
        <f>IF(OR(948466.87002="",50.18097="",""=""),"-",(50.18097-"")/948466.87002*100)</f>
        <v>-</v>
      </c>
    </row>
    <row r="99" spans="1:7" x14ac:dyDescent="0.25">
      <c r="A99" s="33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1"/>
  <sheetViews>
    <sheetView zoomScaleNormal="100" workbookViewId="0">
      <selection activeCell="C90" sqref="C90"/>
    </sheetView>
  </sheetViews>
  <sheetFormatPr defaultRowHeight="15.75" x14ac:dyDescent="0.25"/>
  <cols>
    <col min="1" max="1" width="27.625" customWidth="1"/>
    <col min="2" max="2" width="12.875" customWidth="1"/>
    <col min="3" max="3" width="10" customWidth="1"/>
    <col min="4" max="4" width="9.125" customWidth="1"/>
    <col min="5" max="5" width="9.5" customWidth="1"/>
    <col min="6" max="6" width="9.875" customWidth="1"/>
    <col min="7" max="7" width="10.25" customWidth="1"/>
  </cols>
  <sheetData>
    <row r="1" spans="1:7" x14ac:dyDescent="0.25">
      <c r="A1" s="89" t="s">
        <v>168</v>
      </c>
      <c r="B1" s="89"/>
      <c r="C1" s="89"/>
      <c r="D1" s="89"/>
      <c r="E1" s="89"/>
      <c r="F1" s="89"/>
      <c r="G1" s="89"/>
    </row>
    <row r="2" spans="1:7" x14ac:dyDescent="0.25">
      <c r="A2" s="2"/>
    </row>
    <row r="3" spans="1:7" ht="55.5" customHeight="1" x14ac:dyDescent="0.25">
      <c r="A3" s="77"/>
      <c r="B3" s="80" t="s">
        <v>191</v>
      </c>
      <c r="C3" s="81"/>
      <c r="D3" s="80" t="s">
        <v>111</v>
      </c>
      <c r="E3" s="81"/>
      <c r="F3" s="82" t="s">
        <v>125</v>
      </c>
      <c r="G3" s="83"/>
    </row>
    <row r="4" spans="1:7" ht="25.5" customHeight="1" x14ac:dyDescent="0.25">
      <c r="A4" s="78"/>
      <c r="B4" s="84" t="s">
        <v>101</v>
      </c>
      <c r="C4" s="86" t="s">
        <v>192</v>
      </c>
      <c r="D4" s="88" t="s">
        <v>193</v>
      </c>
      <c r="E4" s="88"/>
      <c r="F4" s="88" t="s">
        <v>193</v>
      </c>
      <c r="G4" s="80"/>
    </row>
    <row r="5" spans="1:7" ht="26.25" customHeight="1" x14ac:dyDescent="0.25">
      <c r="A5" s="79"/>
      <c r="B5" s="85"/>
      <c r="C5" s="87"/>
      <c r="D5" s="30">
        <v>2019</v>
      </c>
      <c r="E5" s="30">
        <v>2020</v>
      </c>
      <c r="F5" s="30" t="s">
        <v>126</v>
      </c>
      <c r="G5" s="29" t="s">
        <v>146</v>
      </c>
    </row>
    <row r="6" spans="1:7" s="3" customFormat="1" ht="15" x14ac:dyDescent="0.25">
      <c r="A6" s="43" t="s">
        <v>137</v>
      </c>
      <c r="B6" s="44">
        <f>IF(1650750.85967="","-",1650750.85967)</f>
        <v>1650750.8596699999</v>
      </c>
      <c r="C6" s="44">
        <f>IF(1881236.72041="","-",1650750.85967/1881236.72041*100)</f>
        <v>87.748173409576665</v>
      </c>
      <c r="D6" s="44">
        <v>100</v>
      </c>
      <c r="E6" s="44">
        <v>100</v>
      </c>
      <c r="F6" s="44">
        <f>IF(1770611.63183="","-",(1881236.72041-1770611.63183)/1770611.63183*100)</f>
        <v>6.247846031919738</v>
      </c>
      <c r="G6" s="44">
        <f>IF(1881236.72041="","-",(1650750.85967-1881236.72041)/1881236.72041*100)</f>
        <v>-12.251826590423329</v>
      </c>
    </row>
    <row r="7" spans="1:7" s="3" customFormat="1" ht="15" x14ac:dyDescent="0.25">
      <c r="A7" s="52" t="s">
        <v>143</v>
      </c>
      <c r="B7" s="42"/>
      <c r="C7" s="42"/>
      <c r="D7" s="42"/>
      <c r="E7" s="42"/>
      <c r="F7" s="42"/>
      <c r="G7" s="42"/>
    </row>
    <row r="8" spans="1:7" ht="12.75" customHeight="1" x14ac:dyDescent="0.25">
      <c r="A8" s="45" t="s">
        <v>184</v>
      </c>
      <c r="B8" s="46">
        <f>IF(777609.20099="","-",777609.20099)</f>
        <v>777609.20099000004</v>
      </c>
      <c r="C8" s="46">
        <f>IF(897363.0078="","-",777609.20099/897363.0078*100)</f>
        <v>86.654920498272858</v>
      </c>
      <c r="D8" s="46">
        <f>IF(897363.0078="","-",897363.0078/1881236.72041*100)</f>
        <v>47.700695933918787</v>
      </c>
      <c r="E8" s="46">
        <f>IF(777609.20099="","-",777609.20099/1650750.85967*100)</f>
        <v>47.10639382283594</v>
      </c>
      <c r="F8" s="46">
        <f>IF(1770611.63183="","-",(897363.0078-869112.06575)/1770611.63183*100)</f>
        <v>1.595547072104206</v>
      </c>
      <c r="G8" s="46">
        <f>IF(1881236.72041="","-",(777609.20099-897363.0078)/1881236.72041*100)</f>
        <v>-6.3656957952585902</v>
      </c>
    </row>
    <row r="9" spans="1:7" x14ac:dyDescent="0.25">
      <c r="A9" s="47" t="s">
        <v>2</v>
      </c>
      <c r="B9" s="48">
        <f>IF(205237.39698="","-",205237.39698)</f>
        <v>205237.39697999999</v>
      </c>
      <c r="C9" s="48">
        <f>IF(OR(255550.20883="",205237.39698=""),"-",205237.39698/255550.20883*100)</f>
        <v>80.311966059292232</v>
      </c>
      <c r="D9" s="48">
        <f>IF(255550.20883="","-",255550.20883/1881236.72041*100)</f>
        <v>13.584160146220455</v>
      </c>
      <c r="E9" s="48">
        <f>IF(205237.39698="","-",205237.39698/1650750.85967*100)</f>
        <v>12.432972291229266</v>
      </c>
      <c r="F9" s="48">
        <f>IF(OR(1770611.63183="",238024.83274="",255550.20883=""),"-",(255550.20883-238024.83274)/1770611.63183*100)</f>
        <v>0.98979221501480696</v>
      </c>
      <c r="G9" s="48">
        <f>IF(OR(1881236.72041="",205237.39698="",255550.20883=""),"-",(205237.39698-255550.20883)/1881236.72041*100)</f>
        <v>-2.6744540601479825</v>
      </c>
    </row>
    <row r="10" spans="1:7" s="9" customFormat="1" x14ac:dyDescent="0.25">
      <c r="A10" s="47" t="s">
        <v>4</v>
      </c>
      <c r="B10" s="48">
        <f>IF(139425.51609="","-",139425.51609)</f>
        <v>139425.51608999999</v>
      </c>
      <c r="C10" s="48">
        <f>IF(OR(156512.43294="",139425.51609=""),"-",139425.51609/156512.43294*100)</f>
        <v>89.082709578381937</v>
      </c>
      <c r="D10" s="48">
        <f>IF(156512.43294="","-",156512.43294/1881236.72041*100)</f>
        <v>8.3196564920277236</v>
      </c>
      <c r="E10" s="48">
        <f>IF(139425.51609="","-",139425.51609/1650750.85967*100)</f>
        <v>8.4461877013877444</v>
      </c>
      <c r="F10" s="48">
        <f>IF(OR(1770611.63183="",153873.81093="",156512.43294=""),"-",(156512.43294-153873.81093)/1770611.63183*100)</f>
        <v>0.14902319416442933</v>
      </c>
      <c r="G10" s="48">
        <f>IF(OR(1881236.72041="",139425.51609="",156512.43294=""),"-",(139425.51609-156512.43294)/1881236.72041*100)</f>
        <v>-0.90828106131566766</v>
      </c>
    </row>
    <row r="11" spans="1:7" s="9" customFormat="1" x14ac:dyDescent="0.25">
      <c r="A11" s="47" t="s">
        <v>3</v>
      </c>
      <c r="B11" s="48">
        <f>IF(99675.37332="","-",99675.37332)</f>
        <v>99675.373319999999</v>
      </c>
      <c r="C11" s="48">
        <f>IF(OR(127566.18653="",99675.37332=""),"-",99675.37332/127566.18653*100)</f>
        <v>78.136202101298323</v>
      </c>
      <c r="D11" s="48">
        <f>IF(127566.18653="","-",127566.18653/1881236.72041*100)</f>
        <v>6.7809747250839338</v>
      </c>
      <c r="E11" s="48">
        <f>IF(99675.37332="","-",99675.37332/1650750.85967*100)</f>
        <v>6.0381839413323712</v>
      </c>
      <c r="F11" s="48">
        <f>IF(OR(1770611.63183="",120295.37526="",127566.18653=""),"-",(127566.18653-120295.37526)/1770611.63183*100)</f>
        <v>0.41063839970854149</v>
      </c>
      <c r="G11" s="48">
        <f>IF(OR(1881236.72041="",99675.37332="",127566.18653=""),"-",(99675.37332-127566.18653)/1881236.72041*100)</f>
        <v>-1.4825786094543931</v>
      </c>
    </row>
    <row r="12" spans="1:7" s="9" customFormat="1" x14ac:dyDescent="0.25">
      <c r="A12" s="47" t="s">
        <v>5</v>
      </c>
      <c r="B12" s="48">
        <f>IF(64004.74118="","-",64004.74118)</f>
        <v>64004.741179999997</v>
      </c>
      <c r="C12" s="48">
        <f>IF(OR(61566.3334="",64004.74118=""),"-",64004.74118/61566.3334*100)</f>
        <v>103.9606188079409</v>
      </c>
      <c r="D12" s="48">
        <f>IF(61566.3334="","-",61566.3334/1881236.72041*100)</f>
        <v>3.2726521193240439</v>
      </c>
      <c r="E12" s="48">
        <f>IF(64004.74118="","-",64004.74118/1650750.85967*100)</f>
        <v>3.8773107889094258</v>
      </c>
      <c r="F12" s="48">
        <f>IF(OR(1770611.63183="",61774.23896="",61566.3334=""),"-",(61566.3334-61774.23896)/1770611.63183*100)</f>
        <v>-1.1742019326119544E-2</v>
      </c>
      <c r="G12" s="48">
        <f>IF(OR(1881236.72041="",64004.74118="",61566.3334=""),"-",(64004.74118-61566.3334)/1881236.72041*100)</f>
        <v>0.12961727535642423</v>
      </c>
    </row>
    <row r="13" spans="1:7" s="9" customFormat="1" x14ac:dyDescent="0.25">
      <c r="A13" s="47" t="s">
        <v>129</v>
      </c>
      <c r="B13" s="48">
        <f>IF(52235.77398="","-",52235.77398)</f>
        <v>52235.773979999998</v>
      </c>
      <c r="C13" s="48">
        <f>IF(OR(55362.34916="",52235.77398=""),"-",52235.77398/55362.34916*100)</f>
        <v>94.352524364592909</v>
      </c>
      <c r="D13" s="48">
        <f>IF(55362.34916="","-",55362.34916/1881236.72041*100)</f>
        <v>2.9428698982621513</v>
      </c>
      <c r="E13" s="48">
        <f>IF(52235.77398="","-",52235.77398/1650750.85967*100)</f>
        <v>3.1643644874698054</v>
      </c>
      <c r="F13" s="48">
        <f>IF(OR(1770611.63183="",57260.91407="",55362.34916=""),"-",(55362.34916-57260.91407)/1770611.63183*100)</f>
        <v>-0.10722650161502417</v>
      </c>
      <c r="G13" s="48">
        <f>IF(OR(1881236.72041="",52235.77398="",55362.34916=""),"-",(52235.77398-55362.34916)/1881236.72041*100)</f>
        <v>-0.16619786048608429</v>
      </c>
    </row>
    <row r="14" spans="1:7" s="9" customFormat="1" x14ac:dyDescent="0.25">
      <c r="A14" s="47" t="s">
        <v>43</v>
      </c>
      <c r="B14" s="48">
        <f>IF(38048.09156="","-",38048.09156)</f>
        <v>38048.091560000001</v>
      </c>
      <c r="C14" s="48">
        <f>IF(OR(37636.46661="",38048.09156=""),"-",38048.09156/37636.46661*100)</f>
        <v>101.09368648833423</v>
      </c>
      <c r="D14" s="48">
        <f>IF(37636.46661="","-",37636.46661/1881236.72041*100)</f>
        <v>2.0006236430361324</v>
      </c>
      <c r="E14" s="48">
        <f>IF(38048.09156="","-",38048.09156/1650750.85967*100)</f>
        <v>2.3048960621232788</v>
      </c>
      <c r="F14" s="48">
        <f>IF(OR(1770611.63183="",40917.38423="",37636.46661=""),"-",(37636.46661-40917.38423)/1770611.63183*100)</f>
        <v>-0.18529854661629194</v>
      </c>
      <c r="G14" s="48">
        <f>IF(OR(1881236.72041="",38048.09156="",37636.46661=""),"-",(38048.09156-37636.46661)/1881236.72041*100)</f>
        <v>2.1880550466306409E-2</v>
      </c>
    </row>
    <row r="15" spans="1:7" s="9" customFormat="1" x14ac:dyDescent="0.25">
      <c r="A15" s="47" t="s">
        <v>41</v>
      </c>
      <c r="B15" s="48">
        <f>IF(26935.02029="","-",26935.02029)</f>
        <v>26935.02029</v>
      </c>
      <c r="C15" s="48">
        <f>IF(OR(28483.26378="",26935.02029=""),"-",26935.02029/28483.26378*100)</f>
        <v>94.564374708044767</v>
      </c>
      <c r="D15" s="48">
        <f>IF(28483.26378="","-",28483.26378/1881236.72041*100)</f>
        <v>1.5140712208611529</v>
      </c>
      <c r="E15" s="48">
        <f>IF(26935.02029="","-",26935.02029/1650750.85967*100)</f>
        <v>1.6316829479273784</v>
      </c>
      <c r="F15" s="48">
        <f>IF(OR(1770611.63183="",26558.60331="",28483.26378=""),"-",(28483.26378-26558.60331)/1770611.63183*100)</f>
        <v>0.10870031775464994</v>
      </c>
      <c r="G15" s="48">
        <f>IF(OR(1881236.72041="",26935.02029="",28483.26378=""),"-",(26935.02029-28483.26378)/1881236.72041*100)</f>
        <v>-8.2299238219344026E-2</v>
      </c>
    </row>
    <row r="16" spans="1:7" s="9" customFormat="1" x14ac:dyDescent="0.25">
      <c r="A16" s="47" t="s">
        <v>7</v>
      </c>
      <c r="B16" s="48">
        <f>IF(26097.18161="","-",26097.18161)</f>
        <v>26097.18161</v>
      </c>
      <c r="C16" s="48">
        <f>IF(OR(34668.93035="",26097.18161=""),"-",26097.18161/34668.93035*100)</f>
        <v>75.275416191200719</v>
      </c>
      <c r="D16" s="48">
        <f>IF(34668.93035="","-",34668.93035/1881236.72041*100)</f>
        <v>1.8428797383055651</v>
      </c>
      <c r="E16" s="48">
        <f>IF(26097.18161="","-",26097.18161/1650750.85967*100)</f>
        <v>1.5809279430099503</v>
      </c>
      <c r="F16" s="48">
        <f>IF(OR(1770611.63183="",26599.5177="",34668.93035=""),"-",(34668.93035-26599.5177)/1770611.63183*100)</f>
        <v>0.45574153614138019</v>
      </c>
      <c r="G16" s="48">
        <f>IF(OR(1881236.72041="",26097.18161="",34668.93035=""),"-",(26097.18161-34668.93035)/1881236.72041*100)</f>
        <v>-0.4556443453927404</v>
      </c>
    </row>
    <row r="17" spans="1:7" s="9" customFormat="1" x14ac:dyDescent="0.25">
      <c r="A17" s="47" t="s">
        <v>8</v>
      </c>
      <c r="B17" s="48">
        <f>IF(19853.67228="","-",19853.67228)</f>
        <v>19853.672279999999</v>
      </c>
      <c r="C17" s="48">
        <f>IF(OR(29700.83622="",19853.67228=""),"-",19853.67228/29700.83622*100)</f>
        <v>66.845499341971049</v>
      </c>
      <c r="D17" s="48">
        <f>IF(29700.83622="","-",29700.83622/1881236.72041*100)</f>
        <v>1.5787931363325156</v>
      </c>
      <c r="E17" s="48">
        <f>IF(19853.67228="","-",19853.67228/1650750.85967*100)</f>
        <v>1.2027055544874246</v>
      </c>
      <c r="F17" s="48">
        <f>IF(OR(1770611.63183="",33601.62551="",29700.83622=""),"-",(29700.83622-33601.62551)/1770611.63183*100)</f>
        <v>-0.22030744743094061</v>
      </c>
      <c r="G17" s="48">
        <f>IF(OR(1881236.72041="",19853.67228="",29700.83622=""),"-",(19853.67228-29700.83622)/1881236.72041*100)</f>
        <v>-0.52344098077427992</v>
      </c>
    </row>
    <row r="18" spans="1:7" s="9" customFormat="1" x14ac:dyDescent="0.25">
      <c r="A18" s="47" t="s">
        <v>6</v>
      </c>
      <c r="B18" s="48">
        <f>IF(17894.56716="","-",17894.56716)</f>
        <v>17894.567159999999</v>
      </c>
      <c r="C18" s="48">
        <f>IF(OR(14961.86687="",17894.56716=""),"-",17894.56716/14961.86687*100)</f>
        <v>119.60116551952717</v>
      </c>
      <c r="D18" s="48">
        <f>IF(14961.86687="","-",14961.86687/1881236.72041*100)</f>
        <v>0.79532079656297505</v>
      </c>
      <c r="E18" s="48">
        <f>IF(17894.56716="","-",17894.56716/1650750.85967*100)</f>
        <v>1.0840259179739142</v>
      </c>
      <c r="F18" s="48">
        <f>IF(OR(1770611.63183="",18975.67845="",14961.86687=""),"-",(14961.86687-18975.67845)/1770611.63183*100)</f>
        <v>-0.22669068178726243</v>
      </c>
      <c r="G18" s="48">
        <f>IF(OR(1881236.72041="",17894.56716="",14961.86687=""),"-",(17894.56716-14961.86687)/1881236.72041*100)</f>
        <v>0.1558921457455307</v>
      </c>
    </row>
    <row r="19" spans="1:7" s="9" customFormat="1" x14ac:dyDescent="0.25">
      <c r="A19" s="47" t="s">
        <v>10</v>
      </c>
      <c r="B19" s="48">
        <f>IF(17622.33107="","-",17622.33107)</f>
        <v>17622.33107</v>
      </c>
      <c r="C19" s="48">
        <f>IF(OR(18909.6435="",17622.33107=""),"-",17622.33107/18909.6435*100)</f>
        <v>93.19229667127253</v>
      </c>
      <c r="D19" s="48">
        <f>IF(18909.6435="","-",18909.6435/1881236.72041*100)</f>
        <v>1.0051708695053962</v>
      </c>
      <c r="E19" s="48">
        <f>IF(17622.33107="","-",17622.33107/1650750.85967*100)</f>
        <v>1.0675342658021008</v>
      </c>
      <c r="F19" s="48">
        <f>IF(OR(1770611.63183="",20461.93146="",18909.6435=""),"-",(18909.6435-20461.93146)/1770611.63183*100)</f>
        <v>-8.7669590106309647E-2</v>
      </c>
      <c r="G19" s="48">
        <f>IF(OR(1881236.72041="",17622.33107="",18909.6435=""),"-",(17622.33107-18909.6435)/1881236.72041*100)</f>
        <v>-6.8429050742717754E-2</v>
      </c>
    </row>
    <row r="20" spans="1:7" s="9" customFormat="1" ht="15.75" customHeight="1" x14ac:dyDescent="0.25">
      <c r="A20" s="47" t="s">
        <v>42</v>
      </c>
      <c r="B20" s="48">
        <f>IF(12088.22397="","-",12088.22397)</f>
        <v>12088.223969999999</v>
      </c>
      <c r="C20" s="48">
        <f>IF(OR(13520.5981="",12088.22397=""),"-",12088.22397/13520.5981*100)</f>
        <v>89.405985449711721</v>
      </c>
      <c r="D20" s="48">
        <f>IF(13520.5981="","-",13520.5981/1881236.72041*100)</f>
        <v>0.7187079623373126</v>
      </c>
      <c r="E20" s="48">
        <f>IF(12088.22397="","-",12088.22397/1650750.85967*100)</f>
        <v>0.7322863955628377</v>
      </c>
      <c r="F20" s="48">
        <f>IF(OR(1770611.63183="",13653.85127="",13520.5981=""),"-",(13520.5981-13653.85127)/1770611.63183*100)</f>
        <v>-7.5258270986437222E-3</v>
      </c>
      <c r="G20" s="48">
        <f>IF(OR(1881236.72041="",12088.22397="",13520.5981=""),"-",(12088.22397-13520.5981)/1881236.72041*100)</f>
        <v>-7.6140026104095287E-2</v>
      </c>
    </row>
    <row r="21" spans="1:7" s="9" customFormat="1" x14ac:dyDescent="0.25">
      <c r="A21" s="47" t="s">
        <v>53</v>
      </c>
      <c r="B21" s="48">
        <f>IF(8635.3229="","-",8635.3229)</f>
        <v>8635.3228999999992</v>
      </c>
      <c r="C21" s="48">
        <f>IF(OR(7479.79902="",8635.3229=""),"-",8635.3229/7479.79902*100)</f>
        <v>115.44859530196305</v>
      </c>
      <c r="D21" s="48">
        <f>IF(7479.79902="","-",7479.79902/1881236.72041*100)</f>
        <v>0.39760009672625568</v>
      </c>
      <c r="E21" s="48">
        <f>IF(8635.3229="","-",8635.3229/1650750.85967*100)</f>
        <v>0.52311485100339605</v>
      </c>
      <c r="F21" s="48">
        <f>IF(OR(1770611.63183="",7181.83776="",7479.79902=""),"-",(7479.79902-7181.83776)/1770611.63183*100)</f>
        <v>1.6828154443560544E-2</v>
      </c>
      <c r="G21" s="48">
        <f>IF(OR(1881236.72041="",8635.3229="",7479.79902=""),"-",(8635.3229-7479.79902)/1881236.72041*100)</f>
        <v>6.1423629863452907E-2</v>
      </c>
    </row>
    <row r="22" spans="1:7" s="9" customFormat="1" x14ac:dyDescent="0.25">
      <c r="A22" s="47" t="s">
        <v>9</v>
      </c>
      <c r="B22" s="48">
        <f>IF(7742.47681="","-",7742.47681)</f>
        <v>7742.4768100000001</v>
      </c>
      <c r="C22" s="48">
        <f>IF(OR(6764.60829="",7742.47681=""),"-",7742.47681/6764.60829*100)</f>
        <v>114.45565623430947</v>
      </c>
      <c r="D22" s="48">
        <f>IF(6764.60829="","-",6764.60829/1881236.72041*100)</f>
        <v>0.35958304537696401</v>
      </c>
      <c r="E22" s="48">
        <f>IF(7742.47681="","-",7742.47681/1650750.85967*100)</f>
        <v>0.46902758006424972</v>
      </c>
      <c r="F22" s="48">
        <f>IF(OR(1770611.63183="",6652.4747="",6764.60829=""),"-",(6764.60829-6652.4747)/1770611.63183*100)</f>
        <v>6.3330426607502675E-3</v>
      </c>
      <c r="G22" s="48">
        <f>IF(OR(1881236.72041="",7742.47681="",6764.60829=""),"-",(7742.47681-6764.60829)/1881236.72041*100)</f>
        <v>5.198008891655493E-2</v>
      </c>
    </row>
    <row r="23" spans="1:7" s="9" customFormat="1" x14ac:dyDescent="0.25">
      <c r="A23" s="47" t="s">
        <v>45</v>
      </c>
      <c r="B23" s="48">
        <f>IF(7650.21244="","-",7650.21244)</f>
        <v>7650.2124400000002</v>
      </c>
      <c r="C23" s="48">
        <f>IF(OR(11036.96587="",7650.21244=""),"-",7650.21244/11036.96587*100)</f>
        <v>69.314452269842903</v>
      </c>
      <c r="D23" s="48">
        <f>IF(11036.96587="","-",11036.96587/1881236.72041*100)</f>
        <v>0.58668671253634597</v>
      </c>
      <c r="E23" s="48">
        <f>IF(7650.21244="","-",7650.21244/1650750.85967*100)</f>
        <v>0.46343834353836699</v>
      </c>
      <c r="F23" s="48">
        <f>IF(OR(1770611.63183="",9613.88021="",11036.96587=""),"-",(11036.96587-9613.88021)/1770611.63183*100)</f>
        <v>8.0372546662261735E-2</v>
      </c>
      <c r="G23" s="48">
        <f>IF(OR(1881236.72041="",7650.21244="",11036.96587=""),"-",(7650.21244-11036.96587)/1881236.72041*100)</f>
        <v>-0.18002803120183009</v>
      </c>
    </row>
    <row r="24" spans="1:7" s="9" customFormat="1" x14ac:dyDescent="0.25">
      <c r="A24" s="47" t="s">
        <v>51</v>
      </c>
      <c r="B24" s="48">
        <f>IF(6207.98846="","-",6207.98846)</f>
        <v>6207.9884599999996</v>
      </c>
      <c r="C24" s="48">
        <f>IF(OR(8586.6835="",6207.98846=""),"-",6207.98846/8586.6835*100)</f>
        <v>72.297860518557599</v>
      </c>
      <c r="D24" s="48">
        <f>IF(8586.6835="","-",8586.6835/1881236.72041*100)</f>
        <v>0.45643822528238776</v>
      </c>
      <c r="E24" s="48">
        <f>IF(6207.98846="","-",6207.98846/1650750.85967*100)</f>
        <v>0.37607058773490704</v>
      </c>
      <c r="F24" s="48">
        <f>IF(OR(1770611.63183="",7922.45561="",8586.6835=""),"-",(8586.6835-7922.45561)/1770611.63183*100)</f>
        <v>3.7514036283241417E-2</v>
      </c>
      <c r="G24" s="48">
        <f>IF(OR(1881236.72041="",6207.98846="",8586.6835=""),"-",(6207.98846-8586.6835)/1881236.72041*100)</f>
        <v>-0.12644315381434731</v>
      </c>
    </row>
    <row r="25" spans="1:7" s="9" customFormat="1" x14ac:dyDescent="0.25">
      <c r="A25" s="47" t="s">
        <v>52</v>
      </c>
      <c r="B25" s="48">
        <f>IF(5852.8659="","-",5852.8659)</f>
        <v>5852.8658999999998</v>
      </c>
      <c r="C25" s="48">
        <f>IF(OR(5640.66931="",5852.8659=""),"-",5852.8659/5640.66931*100)</f>
        <v>103.76190445385282</v>
      </c>
      <c r="D25" s="48">
        <f>IF(5640.66931="","-",5640.66931/1881236.72041*100)</f>
        <v>0.29983835892649718</v>
      </c>
      <c r="E25" s="48">
        <f>IF(5852.8659="","-",5852.8659/1650750.85967*100)</f>
        <v>0.35455779809013949</v>
      </c>
      <c r="F25" s="48">
        <f>IF(OR(1770611.63183="",5551.48613="",5640.66931=""),"-",(5640.66931-5551.48613)/1770611.63183*100)</f>
        <v>5.0368572303925007E-3</v>
      </c>
      <c r="G25" s="48">
        <f>IF(OR(1881236.72041="",5852.8659="",5640.66931=""),"-",(5852.8659-5640.66931)/1881236.72041*100)</f>
        <v>1.1279632578815124E-2</v>
      </c>
    </row>
    <row r="26" spans="1:7" s="9" customFormat="1" x14ac:dyDescent="0.25">
      <c r="A26" s="47" t="s">
        <v>44</v>
      </c>
      <c r="B26" s="48">
        <f>IF(5192.8481="","-",5192.8481)</f>
        <v>5192.8481000000002</v>
      </c>
      <c r="C26" s="48">
        <f>IF(OR(5603.04872="",5192.8481=""),"-",5192.8481/5603.04872*100)</f>
        <v>92.678974599385612</v>
      </c>
      <c r="D26" s="48">
        <f>IF(5603.04872="","-",5603.04872/1881236.72041*100)</f>
        <v>0.29783857922882034</v>
      </c>
      <c r="E26" s="48">
        <f>IF(5192.8481="","-",5192.8481/1650750.85967*100)</f>
        <v>0.31457491417197248</v>
      </c>
      <c r="F26" s="48">
        <f>IF(OR(1770611.63183="",3087.70277="",5603.04872=""),"-",(5603.04872-3087.70277)/1770611.63183*100)</f>
        <v>0.14206085088237483</v>
      </c>
      <c r="G26" s="48">
        <f>IF(OR(1881236.72041="",5192.8481="",5603.04872=""),"-",(5192.8481-5603.04872)/1881236.72041*100)</f>
        <v>-2.1804838038170963E-2</v>
      </c>
    </row>
    <row r="27" spans="1:7" s="9" customFormat="1" x14ac:dyDescent="0.25">
      <c r="A27" s="47" t="s">
        <v>49</v>
      </c>
      <c r="B27" s="48">
        <f>IF(4131.58428="","-",4131.58428)</f>
        <v>4131.58428</v>
      </c>
      <c r="C27" s="48">
        <f>IF(OR(4378.79048="",4131.58428=""),"-",4131.58428/4378.79048*100)</f>
        <v>94.354463838151034</v>
      </c>
      <c r="D27" s="48">
        <f>IF(4378.79048="","-",4378.79048/1881236.72041*100)</f>
        <v>0.2327612698866349</v>
      </c>
      <c r="E27" s="48">
        <f>IF(4131.58428="","-",4131.58428/1650750.85967*100)</f>
        <v>0.2502851508934511</v>
      </c>
      <c r="F27" s="48">
        <f>IF(OR(1770611.63183="",5039.99687="",4378.79048=""),"-",(4378.79048-5039.99687)/1770611.63183*100)</f>
        <v>-3.7343389036511423E-2</v>
      </c>
      <c r="G27" s="48">
        <f>IF(OR(1881236.72041="",4131.58428="",4378.79048=""),"-",(4131.58428-4378.79048)/1881236.72041*100)</f>
        <v>-1.3140621662228829E-2</v>
      </c>
    </row>
    <row r="28" spans="1:7" s="9" customFormat="1" x14ac:dyDescent="0.25">
      <c r="A28" s="47" t="s">
        <v>46</v>
      </c>
      <c r="B28" s="48">
        <f>IF(3615.1501="","-",3615.1501)</f>
        <v>3615.1500999999998</v>
      </c>
      <c r="C28" s="48">
        <f>IF(OR(3537.90389="",3615.1501=""),"-",3615.1501/3537.90389*100)</f>
        <v>102.18338915927984</v>
      </c>
      <c r="D28" s="48">
        <f>IF(3537.90389="","-",3537.90389/1881236.72041*100)</f>
        <v>0.18806266386448928</v>
      </c>
      <c r="E28" s="48">
        <f>IF(3615.1501="","-",3615.1501/1650750.85967*100)</f>
        <v>0.21900034634679527</v>
      </c>
      <c r="F28" s="48">
        <f>IF(OR(1770611.63183="",3800.36907="",3537.90389=""),"-",(3537.90389-3800.36907)/1770611.63183*100)</f>
        <v>-1.4823418940760688E-2</v>
      </c>
      <c r="G28" s="48">
        <f>IF(OR(1881236.72041="",3615.1501="",3537.90389=""),"-",(3615.1501-3537.90389)/1881236.72041*100)</f>
        <v>4.1061398154701454E-3</v>
      </c>
    </row>
    <row r="29" spans="1:7" s="9" customFormat="1" x14ac:dyDescent="0.25">
      <c r="A29" s="47" t="s">
        <v>50</v>
      </c>
      <c r="B29" s="48">
        <f>IF(3503.02966="","-",3503.02966)</f>
        <v>3503.0296600000001</v>
      </c>
      <c r="C29" s="48">
        <f>IF(OR(4002.13339="",3503.02966=""),"-",3503.02966/4002.13339*100)</f>
        <v>87.529058095687319</v>
      </c>
      <c r="D29" s="48">
        <f>IF(4002.13339="","-",4002.13339/1881236.72041*100)</f>
        <v>0.21273948921897334</v>
      </c>
      <c r="E29" s="48">
        <f>IF(3503.02966="","-",3503.02966/1650750.85967*100)</f>
        <v>0.21220825901615992</v>
      </c>
      <c r="F29" s="48">
        <f>IF(OR(1770611.63183="",3101.84005="",4002.13339=""),"-",(4002.13339-3101.84005)/1770611.63183*100)</f>
        <v>5.084646027483225E-2</v>
      </c>
      <c r="G29" s="48">
        <f>IF(OR(1881236.72041="",3503.02966="",4002.13339=""),"-",(3503.02966-4002.13339)/1881236.72041*100)</f>
        <v>-2.6530618108029716E-2</v>
      </c>
    </row>
    <row r="30" spans="1:7" s="9" customFormat="1" x14ac:dyDescent="0.25">
      <c r="A30" s="47" t="s">
        <v>54</v>
      </c>
      <c r="B30" s="48">
        <f>IF(2825.69397="","-",2825.69397)</f>
        <v>2825.6939699999998</v>
      </c>
      <c r="C30" s="48">
        <f>IF(OR(2143.78337="",2825.69397=""),"-",2825.69397/2143.78337*100)</f>
        <v>131.80874567564166</v>
      </c>
      <c r="D30" s="48">
        <f>IF(2143.78337="","-",2143.78337/1881236.72041*100)</f>
        <v>0.11395606659925181</v>
      </c>
      <c r="E30" s="48">
        <f>IF(2825.69397="","-",2825.69397/1650750.85967*100)</f>
        <v>0.17117628341352986</v>
      </c>
      <c r="F30" s="48">
        <f>IF(OR(1770611.63183="",1956.44115="",2143.78337=""),"-",(2143.78337-1956.44115)/1770611.63183*100)</f>
        <v>1.0580650021279602E-2</v>
      </c>
      <c r="G30" s="48">
        <f>IF(OR(1881236.72041="",2825.69397="",2143.78337=""),"-",(2825.69397-2143.78337)/1881236.72041*100)</f>
        <v>3.6247995406520815E-2</v>
      </c>
    </row>
    <row r="31" spans="1:7" s="9" customFormat="1" x14ac:dyDescent="0.25">
      <c r="A31" s="47" t="s">
        <v>130</v>
      </c>
      <c r="B31" s="48">
        <f>IF(1456.26146="","-",1456.26146)</f>
        <v>1456.2614599999999</v>
      </c>
      <c r="C31" s="48">
        <f>IF(OR(1500.15175="",1456.26146=""),"-",1456.26146/1500.15175*100)</f>
        <v>97.074276652345333</v>
      </c>
      <c r="D31" s="48">
        <f>IF(1500.15175="","-",1500.15175/1881236.72041*100)</f>
        <v>7.9742848612536874E-2</v>
      </c>
      <c r="E31" s="48">
        <f>IF(1456.26146="","-",1456.26146/1650750.85967*100)</f>
        <v>8.8218125192502994E-2</v>
      </c>
      <c r="F31" s="48">
        <f>IF(OR(1770611.63183="",884.85598="",1500.15175=""),"-",(1500.15175-884.85598)/1770611.63183*100)</f>
        <v>3.4750464694737512E-2</v>
      </c>
      <c r="G31" s="48">
        <f>IF(OR(1881236.72041="",1456.26146="",1500.15175=""),"-",(1456.26146-1500.15175)/1881236.72041*100)</f>
        <v>-2.3330551399419058E-3</v>
      </c>
    </row>
    <row r="32" spans="1:7" s="9" customFormat="1" x14ac:dyDescent="0.25">
      <c r="A32" s="47" t="s">
        <v>47</v>
      </c>
      <c r="B32" s="48">
        <f>IF(1140.389="","-",1140.389)</f>
        <v>1140.3889999999999</v>
      </c>
      <c r="C32" s="48">
        <f>IF(OR(1514.55076="",1140.389=""),"-",1140.389/1514.55076*100)</f>
        <v>75.295528556599834</v>
      </c>
      <c r="D32" s="48">
        <f>IF(1514.55076="","-",1514.55076/1881236.72041*100)</f>
        <v>8.0508249895840656E-2</v>
      </c>
      <c r="E32" s="48">
        <f>IF(1140.389="","-",1140.389/1650750.85967*100)</f>
        <v>6.9083047470166026E-2</v>
      </c>
      <c r="F32" s="48">
        <f>IF(OR(1770611.63183="",1510.3238="",1514.55076=""),"-",(1514.55076-1510.3238)/1770611.63183*100)</f>
        <v>2.3872880557276427E-4</v>
      </c>
      <c r="G32" s="48">
        <f>IF(OR(1881236.72041="",1140.389="",1514.55076=""),"-",(1140.389-1514.55076)/1881236.72041*100)</f>
        <v>-1.9889137605099198E-2</v>
      </c>
    </row>
    <row r="33" spans="1:7" s="9" customFormat="1" x14ac:dyDescent="0.25">
      <c r="A33" s="47" t="s">
        <v>55</v>
      </c>
      <c r="B33" s="48">
        <f>IF(330.61987="","-",330.61987)</f>
        <v>330.61986999999999</v>
      </c>
      <c r="C33" s="48">
        <f>IF(OR(456.58181="",330.61987=""),"-",330.61987/456.58181*100)</f>
        <v>72.411967090848407</v>
      </c>
      <c r="D33" s="48">
        <f>IF(456.58181="","-",456.58181/1881236.72041*100)</f>
        <v>2.4270300757285441E-2</v>
      </c>
      <c r="E33" s="48">
        <f>IF(330.61987="","-",330.61987/1650750.85967*100)</f>
        <v>2.0028453601174796E-2</v>
      </c>
      <c r="F33" s="48">
        <f>IF(OR(1770611.63183="",352.15881="",456.58181=""),"-",(456.58181-352.15881)/1770611.63183*100)</f>
        <v>5.8975665878843531E-3</v>
      </c>
      <c r="G33" s="48">
        <f>IF(OR(1881236.72041="",330.61987="",456.58181=""),"-",(330.61987-456.58181)/1881236.72041*100)</f>
        <v>-6.6956985600699773E-3</v>
      </c>
    </row>
    <row r="34" spans="1:7" s="9" customFormat="1" x14ac:dyDescent="0.25">
      <c r="A34" s="47" t="s">
        <v>48</v>
      </c>
      <c r="B34" s="48">
        <f>IF(187.96817="","-",187.96817)</f>
        <v>187.96816999999999</v>
      </c>
      <c r="C34" s="48">
        <f>IF(OR(231.7325="",187.96817=""),"-",187.96817/231.7325*100)</f>
        <v>81.114289104894652</v>
      </c>
      <c r="D34" s="48">
        <f>IF(231.7325="","-",231.7325/1881236.72041*100)</f>
        <v>1.2318093596934244E-2</v>
      </c>
      <c r="E34" s="48">
        <f>IF(187.96817="","-",187.96817/1650750.85967*100)</f>
        <v>1.1386828539200431E-2</v>
      </c>
      <c r="F34" s="48">
        <f>IF(OR(1770611.63183="",416.84258="",231.7325=""),"-",(231.7325-416.84258)/1770611.63183*100)</f>
        <v>-1.0454583979473868E-2</v>
      </c>
      <c r="G34" s="48">
        <f>IF(OR(1881236.72041="",187.96817="",231.7325=""),"-",(187.96817-231.7325)/1881236.72041*100)</f>
        <v>-2.326359544505485E-3</v>
      </c>
    </row>
    <row r="35" spans="1:7" s="9" customFormat="1" x14ac:dyDescent="0.25">
      <c r="A35" s="47" t="s">
        <v>56</v>
      </c>
      <c r="B35" s="48">
        <f>IF(18.90038="","-",18.90038)</f>
        <v>18.900379999999998</v>
      </c>
      <c r="C35" s="48">
        <f>IF(OR(46.48885="",18.90038=""),"-",18.90038/46.48885*100)</f>
        <v>40.655727125966763</v>
      </c>
      <c r="D35" s="48">
        <f>IF(46.48885="","-",46.48885/1881236.72041*100)</f>
        <v>2.4711855502091273E-3</v>
      </c>
      <c r="E35" s="48">
        <f>IF(18.90038="","-",18.90038/1650750.85967*100)</f>
        <v>1.1449565444284159E-3</v>
      </c>
      <c r="F35" s="48">
        <f>IF(OR(1770611.63183="",41.63637="",46.48885=""),"-",(46.48885-41.63637)/1770611.63183*100)</f>
        <v>2.7405671084317692E-4</v>
      </c>
      <c r="G35" s="48">
        <f>IF(OR(1881236.72041="",18.90038="",46.48885=""),"-",(18.90038-46.48885)/1881236.72041*100)</f>
        <v>-1.466507096139784E-3</v>
      </c>
    </row>
    <row r="36" spans="1:7" s="9" customFormat="1" x14ac:dyDescent="0.25">
      <c r="A36" s="45" t="s">
        <v>208</v>
      </c>
      <c r="B36" s="46">
        <f>IF(411850.18558="","-",411850.18558)</f>
        <v>411850.18557999999</v>
      </c>
      <c r="C36" s="46">
        <f>IF(499013.03224="","-",411850.18558/499013.03224*100)</f>
        <v>82.532951841209808</v>
      </c>
      <c r="D36" s="46">
        <f>IF(499013.03224="","-",499013.03224/1881236.72041*100)</f>
        <v>26.52579693060872</v>
      </c>
      <c r="E36" s="46">
        <f>IF(411850.18558="","-",411850.18558/1650750.85967*100)</f>
        <v>24.949263734585156</v>
      </c>
      <c r="F36" s="46">
        <f>IF(1770611.63183="","-",(499013.03224-423763.37047)/1770611.63183*100)</f>
        <v>4.2499247388444141</v>
      </c>
      <c r="G36" s="46">
        <f>IF(1881236.72041="","-",(411850.18558-499013.03224)/1881236.72041*100)</f>
        <v>-4.6332737243723141</v>
      </c>
    </row>
    <row r="37" spans="1:7" s="9" customFormat="1" x14ac:dyDescent="0.25">
      <c r="A37" s="47" t="s">
        <v>131</v>
      </c>
      <c r="B37" s="48">
        <f>IF(220767.6077="","-",220767.6077)</f>
        <v>220767.60769999999</v>
      </c>
      <c r="C37" s="48">
        <f>IF(OR(276238.40681="",220767.6077=""),"-",220767.6077/276238.40681*100)</f>
        <v>79.919230004771393</v>
      </c>
      <c r="D37" s="48">
        <f>IF(276238.40681="","-",276238.40681/1881236.72041*100)</f>
        <v>14.683872785015387</v>
      </c>
      <c r="E37" s="48">
        <f>IF(220767.6077="","-",220767.6077/1650750.85967*100)</f>
        <v>13.373769058289842</v>
      </c>
      <c r="F37" s="48">
        <f>IF(OR(1770611.63183="",240695.97184="",276238.40681=""),"-",(276238.40681-240695.97184)/1770611.63183*100)</f>
        <v>2.0073535229894222</v>
      </c>
      <c r="G37" s="48">
        <f>IF(OR(1881236.72041="",220767.6077="",276238.40681=""),"-",(220767.6077-276238.40681)/1881236.72041*100)</f>
        <v>-2.9486347203509089</v>
      </c>
    </row>
    <row r="38" spans="1:7" s="9" customFormat="1" x14ac:dyDescent="0.25">
      <c r="A38" s="47" t="s">
        <v>12</v>
      </c>
      <c r="B38" s="48">
        <f>IF(148832.70595="","-",148832.70595)</f>
        <v>148832.70595</v>
      </c>
      <c r="C38" s="75">
        <f>IF(OR(174829.22995="",148832.70595=""),"-",148832.70595/174829.22995*100)</f>
        <v>85.130333178591002</v>
      </c>
      <c r="D38" s="48">
        <f>IF(174829.22995="","-",174829.22995/1881236.72041*100)</f>
        <v>9.2933137043964038</v>
      </c>
      <c r="E38" s="48">
        <f>IF(148832.70595="","-",148832.70595/1650750.85967*100)</f>
        <v>9.0160610899062625</v>
      </c>
      <c r="F38" s="48">
        <f>IF(OR(1770611.63183="",153470.36396="",174829.22995=""),"-",(174829.22995-153470.36396)/1770611.63183*100)</f>
        <v>1.2062987504450511</v>
      </c>
      <c r="G38" s="48">
        <f>IF(OR(1881236.72041="",148832.70595="",174829.22995=""),"-",(148832.70595-174829.22995)/1881236.72041*100)</f>
        <v>-1.3818847845120881</v>
      </c>
    </row>
    <row r="39" spans="1:7" s="9" customFormat="1" x14ac:dyDescent="0.25">
      <c r="A39" s="47" t="s">
        <v>11</v>
      </c>
      <c r="B39" s="48">
        <f>IF(31045.4196="","-",31045.4196)</f>
        <v>31045.419600000001</v>
      </c>
      <c r="C39" s="48">
        <f>IF(OR(40098.1554="",31045.4196=""),"-",31045.4196/40098.1554*100)</f>
        <v>77.423560486276131</v>
      </c>
      <c r="D39" s="48">
        <f>IF(40098.1554="","-",40098.1554/1881236.72041*100)</f>
        <v>2.1314784558989972</v>
      </c>
      <c r="E39" s="48">
        <f>IF(31045.4196="","-",31045.4196/1650750.85967*100)</f>
        <v>1.8806847452562443</v>
      </c>
      <c r="F39" s="48">
        <f>IF(OR(1770611.63183="",27011.96467="",40098.1554=""),"-",(40098.1554-27011.96467)/1770611.63183*100)</f>
        <v>0.7390774179244991</v>
      </c>
      <c r="G39" s="48">
        <f>IF(OR(1881236.72041="",31045.4196="",40098.1554=""),"-",(31045.4196-40098.1554)/1881236.72041*100)</f>
        <v>-0.48121194434409253</v>
      </c>
    </row>
    <row r="40" spans="1:7" s="9" customFormat="1" x14ac:dyDescent="0.25">
      <c r="A40" s="47" t="s">
        <v>13</v>
      </c>
      <c r="B40" s="48">
        <f>IF(3716.24789="","-",3716.24789)</f>
        <v>3716.2478900000001</v>
      </c>
      <c r="C40" s="48" t="s">
        <v>107</v>
      </c>
      <c r="D40" s="48">
        <f>IF(2334.44753="","-",2334.44753/1881236.72041*100)</f>
        <v>0.12409111010182845</v>
      </c>
      <c r="E40" s="48">
        <f>IF(3716.24789="","-",3716.24789/1650750.85967*100)</f>
        <v>0.22512469814753946</v>
      </c>
      <c r="F40" s="48">
        <f>IF(OR(1770611.63183="",677.97872="",2334.44753=""),"-",(2334.44753-677.97872)/1770611.63183*100)</f>
        <v>9.3553480629062116E-2</v>
      </c>
      <c r="G40" s="48">
        <f>IF(OR(1881236.72041="",3716.24789="",2334.44753=""),"-",(3716.24789-2334.44753)/1881236.72041*100)</f>
        <v>7.3451700416460514E-2</v>
      </c>
    </row>
    <row r="41" spans="1:7" s="9" customFormat="1" x14ac:dyDescent="0.25">
      <c r="A41" s="47" t="s">
        <v>14</v>
      </c>
      <c r="B41" s="48">
        <f>IF(3404.77827="","-",3404.77827)</f>
        <v>3404.7782699999998</v>
      </c>
      <c r="C41" s="48" t="s">
        <v>211</v>
      </c>
      <c r="D41" s="48">
        <f>IF(99.37022="","-",99.37022/1881236.72041*100)</f>
        <v>5.2821752266425616E-3</v>
      </c>
      <c r="E41" s="48">
        <f>IF(3404.77827="","-",3404.77827/1650750.85967*100)</f>
        <v>0.20625633783893019</v>
      </c>
      <c r="F41" s="48">
        <f>IF(OR(1770611.63183="",178.23619="",99.37022=""),"-",(99.37022-178.23619)/1770611.63183*100)</f>
        <v>-4.4541653619709232E-3</v>
      </c>
      <c r="G41" s="48">
        <f>IF(OR(1881236.72041="",3404.77827="",99.37022=""),"-",(3404.77827-99.37022)/1881236.72041*100)</f>
        <v>0.17570399376850424</v>
      </c>
    </row>
    <row r="42" spans="1:7" s="9" customFormat="1" x14ac:dyDescent="0.25">
      <c r="A42" s="47" t="s">
        <v>15</v>
      </c>
      <c r="B42" s="48">
        <f>IF(2353.38831="","-",2353.38831)</f>
        <v>2353.3883099999998</v>
      </c>
      <c r="C42" s="48">
        <f>IF(OR(3060.68459="",2353.38831=""),"-",2353.38831/3060.68459*100)</f>
        <v>76.890912500069135</v>
      </c>
      <c r="D42" s="48">
        <f>IF(3060.68459="","-",3060.68459/1881236.72041*100)</f>
        <v>0.16269534592823326</v>
      </c>
      <c r="E42" s="48">
        <f>IF(2353.38831="","-",2353.38831/1650750.85967*100)</f>
        <v>0.14256471812290702</v>
      </c>
      <c r="F42" s="48">
        <f>IF(OR(1770611.63183="",1355.26517="",3060.68459=""),"-",(3060.68459-1355.26517)/1770611.63183*100)</f>
        <v>9.6318096489481364E-2</v>
      </c>
      <c r="G42" s="48">
        <f>IF(OR(1881236.72041="",2353.38831="",3060.68459=""),"-",(2353.38831-3060.68459)/1881236.72041*100)</f>
        <v>-3.7597409848870618E-2</v>
      </c>
    </row>
    <row r="43" spans="1:7" s="9" customFormat="1" x14ac:dyDescent="0.25">
      <c r="A43" s="47" t="s">
        <v>16</v>
      </c>
      <c r="B43" s="48">
        <f>IF(1294.13212="","-",1294.13212)</f>
        <v>1294.13212</v>
      </c>
      <c r="C43" s="48">
        <f>IF(OR(1921.73793="",1294.13212=""),"-",1294.13212/1921.73793*100)</f>
        <v>67.34175871732937</v>
      </c>
      <c r="D43" s="48">
        <f>IF(1921.73793="","-",1921.73793/1881236.72041*100)</f>
        <v>0.10215290341457789</v>
      </c>
      <c r="E43" s="48">
        <f>IF(1294.13212="","-",1294.13212/1650750.85967*100)</f>
        <v>7.8396574045020262E-2</v>
      </c>
      <c r="F43" s="48">
        <f>IF(OR(1770611.63183="",0.918="",1921.73793=""),"-",(1921.73793-0.918)/1770611.63183*100)</f>
        <v>0.1084834130460757</v>
      </c>
      <c r="G43" s="48">
        <f>IF(OR(1881236.72041="",1294.13212="",1921.73793=""),"-",(1294.13212-1921.73793)/1881236.72041*100)</f>
        <v>-3.3361341674386327E-2</v>
      </c>
    </row>
    <row r="44" spans="1:7" s="9" customFormat="1" x14ac:dyDescent="0.25">
      <c r="A44" s="47" t="s">
        <v>17</v>
      </c>
      <c r="B44" s="48">
        <f>IF(379.02561="","-",379.02561)</f>
        <v>379.02560999999997</v>
      </c>
      <c r="C44" s="48">
        <f>IF(OR(379.34148="",379.02561=""),"-",379.02561/379.34148*100)</f>
        <v>99.916732016757038</v>
      </c>
      <c r="D44" s="48">
        <f>IF(379.34148="","-",379.34148/1881236.72041*100)</f>
        <v>2.0164473502161155E-2</v>
      </c>
      <c r="E44" s="48">
        <f>IF(379.02561="","-",379.02561/1650750.85967*100)</f>
        <v>2.296080040059895E-2</v>
      </c>
      <c r="F44" s="48">
        <f>IF(OR(1770611.63183="",333.5415="",379.34148=""),"-",(379.34148-333.5415)/1770611.63183*100)</f>
        <v>2.5866756535798782E-3</v>
      </c>
      <c r="G44" s="48">
        <f>IF(OR(1881236.72041="",379.02561="",379.34148=""),"-",(379.02561-379.34148)/1881236.72041*100)</f>
        <v>-1.6790550416811809E-5</v>
      </c>
    </row>
    <row r="45" spans="1:7" s="9" customFormat="1" x14ac:dyDescent="0.25">
      <c r="A45" s="47" t="s">
        <v>133</v>
      </c>
      <c r="B45" s="48">
        <f>IF(56.69462="","-",56.69462)</f>
        <v>56.69462</v>
      </c>
      <c r="C45" s="48">
        <f>IF(OR(51.62396="",56.69462=""),"-",56.69462/51.62396*100)</f>
        <v>109.82229956787508</v>
      </c>
      <c r="D45" s="48">
        <f>IF(51.62396="","-",51.62396/1881236.72041*100)</f>
        <v>2.7441501348511306E-3</v>
      </c>
      <c r="E45" s="48">
        <f>IF(56.69462="","-",56.69462/1650750.85967*100)</f>
        <v>3.4344746615085071E-3</v>
      </c>
      <c r="F45" s="48">
        <f>IF(OR(1770611.63183="",39.11203="",51.62396=""),"-",(51.62396-39.11203)/1770611.63183*100)</f>
        <v>7.0664451622676867E-4</v>
      </c>
      <c r="G45" s="48">
        <f>IF(OR(1881236.72041="",56.69462="",51.62396=""),"-",(56.69462-51.62396)/1881236.72041*100)</f>
        <v>2.6953864683732599E-4</v>
      </c>
    </row>
    <row r="46" spans="1:7" s="9" customFormat="1" x14ac:dyDescent="0.25">
      <c r="A46" s="47" t="s">
        <v>18</v>
      </c>
      <c r="B46" s="48">
        <f>IF(0.18551="","-",0.18551)</f>
        <v>0.18551000000000001</v>
      </c>
      <c r="C46" s="48" t="s">
        <v>161</v>
      </c>
      <c r="D46" s="48">
        <f>IF(0.03437="","-",0.03437/1881236.72041*100)</f>
        <v>1.8269896407566049E-6</v>
      </c>
      <c r="E46" s="48">
        <f>IF(0.18551="","-",0.18551/1650750.85967*100)</f>
        <v>1.1237916304165071E-5</v>
      </c>
      <c r="F46" s="48">
        <f>IF(OR(1770611.63183="",0.01839="",0.03437=""),"-",(0.03437-0.01839)/1770611.63183*100)</f>
        <v>9.0251299114555165E-7</v>
      </c>
      <c r="G46" s="48">
        <f>IF(OR(1881236.72041="",0.18551="",0.03437=""),"-",(0.18551-0.03437)/1881236.72041*100)</f>
        <v>8.0340766454452511E-6</v>
      </c>
    </row>
    <row r="47" spans="1:7" s="9" customFormat="1" x14ac:dyDescent="0.25">
      <c r="A47" s="45" t="s">
        <v>199</v>
      </c>
      <c r="B47" s="46">
        <f>IF(461291.4731="","-",461291.4731)</f>
        <v>461291.4731</v>
      </c>
      <c r="C47" s="46">
        <f>IF(484860.68037="","-",461291.4731/484860.68037*100)</f>
        <v>95.138973271246869</v>
      </c>
      <c r="D47" s="46">
        <f>IF(484860.68037="","-",484860.68037/1881236.72041*100)</f>
        <v>25.773507135472489</v>
      </c>
      <c r="E47" s="46">
        <f>IF(461291.4731="","-",461291.4731/1650750.85967*100)</f>
        <v>27.944342442578911</v>
      </c>
      <c r="F47" s="46">
        <f>IF(1770611.63183="","-",(484860.68037-477736.19561)/1770611.63183*100)</f>
        <v>0.4023742209711213</v>
      </c>
      <c r="G47" s="46">
        <f>IF(1881236.72041="","-",(461291.4731-484860.68037)/1881236.72041*100)</f>
        <v>-1.2528570707924145</v>
      </c>
    </row>
    <row r="48" spans="1:7" s="9" customFormat="1" x14ac:dyDescent="0.25">
      <c r="A48" s="47" t="s">
        <v>60</v>
      </c>
      <c r="B48" s="48">
        <f>IF(168436.46="","-",168436.46)</f>
        <v>168436.46</v>
      </c>
      <c r="C48" s="48">
        <f>IF(OR(182532.82735="",168436.46=""),"-",168436.46/182532.82735*100)</f>
        <v>92.277352214037236</v>
      </c>
      <c r="D48" s="48">
        <f>IF(182532.82735="","-",182532.82735/1881236.72041*100)</f>
        <v>9.7028101444999688</v>
      </c>
      <c r="E48" s="48">
        <f>IF(168436.46="","-",168436.46/1650750.85967*100)</f>
        <v>10.203626974555807</v>
      </c>
      <c r="F48" s="48">
        <f>IF(OR(1770611.63183="",187044.43351="",182532.82735=""),"-",(182532.82735-187044.43351)/1770611.63183*100)</f>
        <v>-0.25480495433869171</v>
      </c>
      <c r="G48" s="48">
        <f>IF(OR(1881236.72041="",168436.46="",182532.82735=""),"-",(168436.46-182532.82735)/1881236.72041*100)</f>
        <v>-0.74931385280039753</v>
      </c>
    </row>
    <row r="49" spans="1:7" s="9" customFormat="1" x14ac:dyDescent="0.25">
      <c r="A49" s="47" t="s">
        <v>57</v>
      </c>
      <c r="B49" s="48">
        <f>IF(112011.15112="","-",112011.15112)</f>
        <v>112011.15111999999</v>
      </c>
      <c r="C49" s="48">
        <f>IF(OR(121095.01835="",112011.15112=""),"-",112011.15112/121095.01835*100)</f>
        <v>92.498562406799451</v>
      </c>
      <c r="D49" s="48">
        <f>IF(121095.01835="","-",121095.01835/1881236.72041*100)</f>
        <v>6.4369899351958404</v>
      </c>
      <c r="E49" s="48">
        <f>IF(112011.15112="","-",112011.15112/1650750.85967*100)</f>
        <v>6.7854667749433757</v>
      </c>
      <c r="F49" s="48">
        <f>IF(OR(1770611.63183="",108137.72188="",121095.01835=""),"-",(121095.01835-108137.72188)/1770611.63183*100)</f>
        <v>0.73179777185853578</v>
      </c>
      <c r="G49" s="48">
        <f>IF(OR(1881236.72041="",112011.15112="",121095.01835=""),"-",(112011.15112-121095.01835)/1881236.72041*100)</f>
        <v>-0.48286678286931634</v>
      </c>
    </row>
    <row r="50" spans="1:7" s="9" customFormat="1" x14ac:dyDescent="0.25">
      <c r="A50" s="47" t="s">
        <v>19</v>
      </c>
      <c r="B50" s="48">
        <f>IF(22450.03275="","-",22450.03275)</f>
        <v>22450.032749999998</v>
      </c>
      <c r="C50" s="48">
        <f>IF(OR(24827.12116="",22450.03275=""),"-",22450.03275/24827.12116*100)</f>
        <v>90.425436784713384</v>
      </c>
      <c r="D50" s="48">
        <f>IF(24827.12116="","-",24827.12116/1881236.72041*100)</f>
        <v>1.3197233974142888</v>
      </c>
      <c r="E50" s="48">
        <f>IF(22450.03275="","-",22450.03275/1650750.85967*100)</f>
        <v>1.3599891599928025</v>
      </c>
      <c r="F50" s="48">
        <f>IF(OR(1770611.63183="",25604.80354="",24827.12116=""),"-",(24827.12116-25604.80354)/1770611.63183*100)</f>
        <v>-4.3921680283791835E-2</v>
      </c>
      <c r="G50" s="48">
        <f>IF(OR(1881236.72041="",22450.03275="",24827.12116=""),"-",(22450.03275-24827.12116)/1881236.72041*100)</f>
        <v>-0.12635775095235932</v>
      </c>
    </row>
    <row r="51" spans="1:7" s="9" customFormat="1" ht="25.5" x14ac:dyDescent="0.25">
      <c r="A51" s="47" t="s">
        <v>128</v>
      </c>
      <c r="B51" s="48">
        <f>IF(18639.43586="","-",18639.43586)</f>
        <v>18639.435860000001</v>
      </c>
      <c r="C51" s="48">
        <f>IF(OR(19551.96446="",18639.43586=""),"-",18639.43586/19551.96446*100)</f>
        <v>95.332803504901634</v>
      </c>
      <c r="D51" s="48">
        <f>IF(19551.96446="","-",19551.96446/1881236.72041*100)</f>
        <v>1.039314417365764</v>
      </c>
      <c r="E51" s="48">
        <f>IF(18639.43586="","-",18639.43586/1650750.85967*100)</f>
        <v>1.1291489415747566</v>
      </c>
      <c r="F51" s="48">
        <f>IF(OR(1770611.63183="",19177.88399="",19551.96446=""),"-",(19551.96446-19177.88399)/1770611.63183*100)</f>
        <v>2.1127189230840712E-2</v>
      </c>
      <c r="G51" s="48">
        <f>IF(OR(1881236.72041="",18639.43586="",19551.96446=""),"-",(18639.43586-19551.96446)/1881236.72041*100)</f>
        <v>-4.8506846060346928E-2</v>
      </c>
    </row>
    <row r="52" spans="1:7" s="9" customFormat="1" x14ac:dyDescent="0.25">
      <c r="A52" s="47" t="s">
        <v>77</v>
      </c>
      <c r="B52" s="48">
        <f>IF(16257.38661="","-",16257.38661)</f>
        <v>16257.38661</v>
      </c>
      <c r="C52" s="48">
        <f>IF(OR(15218.87569="",16257.38661=""),"-",16257.38661/15218.87569*100)</f>
        <v>106.82383469813333</v>
      </c>
      <c r="D52" s="48">
        <f>IF(15218.87569="","-",15218.87569/1881236.72041*100)</f>
        <v>0.80898249140507805</v>
      </c>
      <c r="E52" s="48">
        <f>IF(16257.38661="","-",16257.38661/1650750.85967*100)</f>
        <v>0.98484798688822117</v>
      </c>
      <c r="F52" s="48">
        <f>IF(OR(1770611.63183="",16247.23585="",15218.87569=""),"-",(15218.87569-16247.23585)/1770611.63183*100)</f>
        <v>-5.8079374466615569E-2</v>
      </c>
      <c r="G52" s="48">
        <f>IF(OR(1881236.72041="",16257.38661="",15218.87569=""),"-",(16257.38661-15218.87569)/1881236.72041*100)</f>
        <v>5.5203627950323228E-2</v>
      </c>
    </row>
    <row r="53" spans="1:7" s="9" customFormat="1" x14ac:dyDescent="0.25">
      <c r="A53" s="47" t="s">
        <v>70</v>
      </c>
      <c r="B53" s="48">
        <f>IF(11936.04802="","-",11936.04802)</f>
        <v>11936.04802</v>
      </c>
      <c r="C53" s="48">
        <f>IF(OR(11629.90005="",11936.04802=""),"-",11936.04802/11629.90005*100)</f>
        <v>102.632421333664</v>
      </c>
      <c r="D53" s="48">
        <f>IF(11629.90005="","-",11629.90005/1881236.72041*100)</f>
        <v>0.61820503096842372</v>
      </c>
      <c r="E53" s="48">
        <f>IF(11936.04802="","-",11936.04802/1650750.85967*100)</f>
        <v>0.72306780578543051</v>
      </c>
      <c r="F53" s="48">
        <f>IF(OR(1770611.63183="",9901.36351="",11629.90005=""),"-",(11629.90005-9901.36351)/1770611.63183*100)</f>
        <v>9.7623697310374458E-2</v>
      </c>
      <c r="G53" s="48">
        <f>IF(OR(1881236.72041="",11936.04802="",11629.90005=""),"-",(11936.04802-11629.90005)/1881236.72041*100)</f>
        <v>1.6273761120996912E-2</v>
      </c>
    </row>
    <row r="54" spans="1:7" s="9" customFormat="1" x14ac:dyDescent="0.25">
      <c r="A54" s="47" t="s">
        <v>37</v>
      </c>
      <c r="B54" s="48">
        <f>IF(11741.44885="","-",11741.44885)</f>
        <v>11741.448850000001</v>
      </c>
      <c r="C54" s="48">
        <f>IF(OR(9413.95117="",11741.44885=""),"-",11741.44885/9413.95117*100)</f>
        <v>124.72391919152052</v>
      </c>
      <c r="D54" s="48">
        <f>IF(9413.95117="","-",9413.95117/1881236.72041*100)</f>
        <v>0.50041289689201407</v>
      </c>
      <c r="E54" s="48">
        <f>IF(11741.44885="","-",11741.44885/1650750.85967*100)</f>
        <v>0.71127928125672601</v>
      </c>
      <c r="F54" s="48">
        <f>IF(OR(1770611.63183="",10461.25864="",9413.95117=""),"-",(9413.95117-10461.25864)/1770611.63183*100)</f>
        <v>-5.9149474180148938E-2</v>
      </c>
      <c r="G54" s="48">
        <f>IF(OR(1881236.72041="",11741.44885="",9413.95117=""),"-",(11741.44885-9413.95117)/1881236.72041*100)</f>
        <v>0.12372168025152844</v>
      </c>
    </row>
    <row r="55" spans="1:7" s="9" customFormat="1" x14ac:dyDescent="0.25">
      <c r="A55" s="47" t="s">
        <v>67</v>
      </c>
      <c r="B55" s="48">
        <f>IF(9747.36785="","-",9747.36785)</f>
        <v>9747.3678500000005</v>
      </c>
      <c r="C55" s="48">
        <f>IF(OR(6627.51677="",9747.36785=""),"-",9747.36785/6627.51677*100)</f>
        <v>147.0742087613005</v>
      </c>
      <c r="D55" s="48">
        <f>IF(6627.51677="","-",6627.51677/1881236.72041*100)</f>
        <v>0.35229573705937378</v>
      </c>
      <c r="E55" s="48">
        <f>IF(9747.36785="","-",9747.36785/1650750.85967*100)</f>
        <v>0.59048085862869626</v>
      </c>
      <c r="F55" s="48">
        <f>IF(OR(1770611.63183="",7458.8137="",6627.51677=""),"-",(6627.51677-7458.8137)/1770611.63183*100)</f>
        <v>-4.6949704557222402E-2</v>
      </c>
      <c r="G55" s="48">
        <f>IF(OR(1881236.72041="",9747.36785="",6627.51677=""),"-",(9747.36785-6627.51677)/1881236.72041*100)</f>
        <v>0.1658404307204919</v>
      </c>
    </row>
    <row r="56" spans="1:7" s="9" customFormat="1" x14ac:dyDescent="0.25">
      <c r="A56" s="47" t="s">
        <v>134</v>
      </c>
      <c r="B56" s="48">
        <f>IF(8254.26628="","-",8254.26628)</f>
        <v>8254.2662799999998</v>
      </c>
      <c r="C56" s="48">
        <f>IF(OR(10080.5896="",8254.26628=""),"-",8254.26628/10080.5896*100)</f>
        <v>81.882772809241246</v>
      </c>
      <c r="D56" s="48">
        <f>IF(10080.5896="","-",10080.5896/1881236.72041*100)</f>
        <v>0.53584907686699934</v>
      </c>
      <c r="E56" s="48">
        <f>IF(8254.26628="","-",8254.26628/1650750.85967*100)</f>
        <v>0.50003101507698755</v>
      </c>
      <c r="F56" s="48">
        <f>IF(OR(1770611.63183="",9188.94592="",10080.5896=""),"-",(10080.5896-9188.94592)/1770611.63183*100)</f>
        <v>5.0357947726710053E-2</v>
      </c>
      <c r="G56" s="48">
        <f>IF(OR(1881236.72041="",8254.26628="",10080.5896=""),"-",(8254.26628-10080.5896)/1881236.72041*100)</f>
        <v>-9.7080994655577804E-2</v>
      </c>
    </row>
    <row r="57" spans="1:7" s="9" customFormat="1" x14ac:dyDescent="0.25">
      <c r="A57" s="47" t="s">
        <v>73</v>
      </c>
      <c r="B57" s="48">
        <f>IF(7790.18463="","-",7790.18463)</f>
        <v>7790.1846299999997</v>
      </c>
      <c r="C57" s="48">
        <f>IF(OR(10861.25843="",7790.18463=""),"-",7790.18463/10861.25843*100)</f>
        <v>71.724512221186515</v>
      </c>
      <c r="D57" s="48">
        <f>IF(10861.25843="","-",10861.25843/1881236.72041*100)</f>
        <v>0.57734671624062694</v>
      </c>
      <c r="E57" s="48">
        <f>IF(7790.18463="","-",7790.18463/1650750.85967*100)</f>
        <v>0.47191764792158453</v>
      </c>
      <c r="F57" s="48">
        <f>IF(OR(1770611.63183="",11382.79663="",10861.25843=""),"-",(10861.25843-11382.79663)/1770611.63183*100)</f>
        <v>-2.9455256625698863E-2</v>
      </c>
      <c r="G57" s="48">
        <f>IF(OR(1881236.72041="",7790.18463="",10861.25843=""),"-",(7790.18463-10861.25843)/1881236.72041*100)</f>
        <v>-0.16324760019199949</v>
      </c>
    </row>
    <row r="58" spans="1:7" s="9" customFormat="1" x14ac:dyDescent="0.25">
      <c r="A58" s="47" t="s">
        <v>80</v>
      </c>
      <c r="B58" s="48">
        <f>IF(7472.3006="","-",7472.3006)</f>
        <v>7472.3005999999996</v>
      </c>
      <c r="C58" s="48">
        <f>IF(OR(6623.78601="",7472.3006=""),"-",7472.3006/6623.78601*100)</f>
        <v>112.81011476999691</v>
      </c>
      <c r="D58" s="48">
        <f>IF(6623.78601="","-",6623.78601/1881236.72041*100)</f>
        <v>0.35209742283556961</v>
      </c>
      <c r="E58" s="48">
        <f>IF(7472.3006="","-",7472.3006/1650750.85967*100)</f>
        <v>0.45266071231934901</v>
      </c>
      <c r="F58" s="48">
        <f>IF(OR(1770611.63183="",5994.2373="",6623.78601=""),"-",(6623.78601-5994.2373)/1770611.63183*100)</f>
        <v>3.5555437380095346E-2</v>
      </c>
      <c r="G58" s="48">
        <f>IF(OR(1881236.72041="",7472.3006="",6623.78601=""),"-",(7472.3006-6623.78601)/1881236.72041*100)</f>
        <v>4.5104083967437814E-2</v>
      </c>
    </row>
    <row r="59" spans="1:7" s="9" customFormat="1" x14ac:dyDescent="0.25">
      <c r="A59" s="47" t="s">
        <v>71</v>
      </c>
      <c r="B59" s="48">
        <f>IF(4935.57539="","-",4935.57539)</f>
        <v>4935.57539</v>
      </c>
      <c r="C59" s="48">
        <f>IF(OR(6895.24431="",4935.57539=""),"-",4935.57539/6895.24431*100)</f>
        <v>71.579412825765417</v>
      </c>
      <c r="D59" s="48">
        <f>IF(6895.24431="","-",6895.24431/1881236.72041*100)</f>
        <v>0.36652720177061177</v>
      </c>
      <c r="E59" s="48">
        <f>IF(4935.57539="","-",4935.57539/1650750.85967*100)</f>
        <v>0.29898972101620874</v>
      </c>
      <c r="F59" s="48">
        <f>IF(OR(1770611.63183="",5659.67943="",6895.24431=""),"-",(6895.24431-5659.67943)/1770611.63183*100)</f>
        <v>6.9781811990187403E-2</v>
      </c>
      <c r="G59" s="48">
        <f>IF(OR(1881236.72041="",4935.57539="",6895.24431=""),"-",(4935.57539-6895.24431)/1881236.72041*100)</f>
        <v>-0.1041691828964994</v>
      </c>
    </row>
    <row r="60" spans="1:7" s="9" customFormat="1" x14ac:dyDescent="0.25">
      <c r="A60" s="47" t="s">
        <v>63</v>
      </c>
      <c r="B60" s="48">
        <f>IF(4205.7248="","-",4205.7248)</f>
        <v>4205.7248</v>
      </c>
      <c r="C60" s="48">
        <f>IF(OR(4596.06853="",4205.7248=""),"-",4205.7248/4596.06853*100)</f>
        <v>91.507008055861178</v>
      </c>
      <c r="D60" s="48">
        <f>IF(4596.06853="","-",4596.06853/1881236.72041*100)</f>
        <v>0.24431101520271856</v>
      </c>
      <c r="E60" s="48">
        <f>IF(4205.7248="","-",4205.7248/1650750.85967*100)</f>
        <v>0.25477647189235825</v>
      </c>
      <c r="F60" s="48">
        <f>IF(OR(1770611.63183="",5885.67711="",4596.06853=""),"-",(4596.06853-5885.67711)/1770611.63183*100)</f>
        <v>-7.2834073650986722E-2</v>
      </c>
      <c r="G60" s="48">
        <f>IF(OR(1881236.72041="",4205.7248="",4596.06853=""),"-",(4205.7248-4596.06853)/1881236.72041*100)</f>
        <v>-2.0749314839810663E-2</v>
      </c>
    </row>
    <row r="61" spans="1:7" s="9" customFormat="1" x14ac:dyDescent="0.25">
      <c r="A61" s="47" t="s">
        <v>64</v>
      </c>
      <c r="B61" s="48">
        <f>IF(4038.6658="","-",4038.6658)</f>
        <v>4038.6658000000002</v>
      </c>
      <c r="C61" s="48">
        <f>IF(OR(3993.49199="",4038.6658=""),"-",4038.6658/3993.49199*100)</f>
        <v>101.13118569194877</v>
      </c>
      <c r="D61" s="48">
        <f>IF(3993.49199="","-",3993.49199/1881236.72041*100)</f>
        <v>0.21228014245488741</v>
      </c>
      <c r="E61" s="48">
        <f>IF(4038.6658="","-",4038.6658/1650750.85967*100)</f>
        <v>0.24465628936927319</v>
      </c>
      <c r="F61" s="48">
        <f>IF(OR(1770611.63183="",2867.44571="",3993.49199=""),"-",(3993.49199-2867.44571)/1770611.63183*100)</f>
        <v>6.3596457842998846E-2</v>
      </c>
      <c r="G61" s="48">
        <f>IF(OR(1881236.72041="",4038.6658="",3993.49199=""),"-",(4038.6658-3993.49199)/1881236.72041*100)</f>
        <v>2.4012825982981543E-3</v>
      </c>
    </row>
    <row r="62" spans="1:7" s="9" customFormat="1" x14ac:dyDescent="0.25">
      <c r="A62" s="47" t="s">
        <v>84</v>
      </c>
      <c r="B62" s="48">
        <f>IF(3542.59796="","-",3542.59796)</f>
        <v>3542.5979600000001</v>
      </c>
      <c r="C62" s="48">
        <f>IF(OR(2776.01565="",3542.59796=""),"-",3542.59796/2776.01565*100)</f>
        <v>127.61448084775748</v>
      </c>
      <c r="D62" s="48">
        <f>IF(2776.01565="","-",2776.01565/1881236.72041*100)</f>
        <v>0.14756333532523169</v>
      </c>
      <c r="E62" s="48">
        <f>IF(3542.59796="","-",3542.59796/1650750.85967*100)</f>
        <v>0.21460524701517936</v>
      </c>
      <c r="F62" s="48">
        <f>IF(OR(1770611.63183="",3750.92704="",2776.01565=""),"-",(2776.01565-3750.92704)/1770611.63183*100)</f>
        <v>-5.5060713059497356E-2</v>
      </c>
      <c r="G62" s="48">
        <f>IF(OR(1881236.72041="",3542.59796="",2776.01565=""),"-",(3542.59796-2776.01565)/1881236.72041*100)</f>
        <v>4.0748848971698254E-2</v>
      </c>
    </row>
    <row r="63" spans="1:7" s="9" customFormat="1" x14ac:dyDescent="0.25">
      <c r="A63" s="47" t="s">
        <v>62</v>
      </c>
      <c r="B63" s="48">
        <f>IF(3218.86724="","-",3218.86724)</f>
        <v>3218.86724</v>
      </c>
      <c r="C63" s="48">
        <f>IF(OR(3505.75721="",3218.86724=""),"-",3218.86724/3505.75721*100)</f>
        <v>91.816604721466149</v>
      </c>
      <c r="D63" s="48">
        <f>IF(3505.75721="","-",3505.75721/1881236.72041*100)</f>
        <v>0.18635385818090716</v>
      </c>
      <c r="E63" s="48">
        <f>IF(3218.86724="","-",3218.86724/1650750.85967*100)</f>
        <v>0.19499412774157093</v>
      </c>
      <c r="F63" s="48">
        <f>IF(OR(1770611.63183="",3012.5843="",3505.75721=""),"-",(3505.75721-3012.5843)/1770611.63183*100)</f>
        <v>2.7853251449064843E-2</v>
      </c>
      <c r="G63" s="48">
        <f>IF(OR(1881236.72041="",3218.86724="",3505.75721=""),"-",(3218.86724-3505.75721)/1881236.72041*100)</f>
        <v>-1.5250072831742028E-2</v>
      </c>
    </row>
    <row r="64" spans="1:7" s="9" customFormat="1" x14ac:dyDescent="0.25">
      <c r="A64" s="47" t="s">
        <v>72</v>
      </c>
      <c r="B64" s="48">
        <f>IF(3155.37788="","-",3155.37788)</f>
        <v>3155.37788</v>
      </c>
      <c r="C64" s="48">
        <f>IF(OR(3313.98639="",3155.37788=""),"-",3155.37788/3313.98639*100)</f>
        <v>95.213966162365566</v>
      </c>
      <c r="D64" s="48">
        <f>IF(3313.98639="","-",3313.98639/1881236.72041*100)</f>
        <v>0.17615998848235026</v>
      </c>
      <c r="E64" s="48">
        <f>IF(3155.37788="","-",3155.37788/1650750.85967*100)</f>
        <v>0.19114803796805466</v>
      </c>
      <c r="F64" s="48">
        <f>IF(OR(1770611.63183="",3685.44378="",3313.98639=""),"-",(3313.98639-3685.44378)/1770611.63183*100)</f>
        <v>-2.097904381301751E-2</v>
      </c>
      <c r="G64" s="48">
        <f>IF(OR(1881236.72041="",3155.37788="",3313.98639=""),"-",(3155.37788-3313.98639)/1881236.72041*100)</f>
        <v>-8.4310766571382145E-3</v>
      </c>
    </row>
    <row r="65" spans="1:7" s="9" customFormat="1" x14ac:dyDescent="0.25">
      <c r="A65" s="47" t="s">
        <v>75</v>
      </c>
      <c r="B65" s="48">
        <f>IF(3101.68261="","-",3101.68261)</f>
        <v>3101.6826099999998</v>
      </c>
      <c r="C65" s="48">
        <f>IF(OR(2501.37238="",3101.68261=""),"-",3101.68261/2501.37238*100)</f>
        <v>123.99923477207339</v>
      </c>
      <c r="D65" s="48">
        <f>IF(2501.37238="","-",2501.37238/1881236.72041*100)</f>
        <v>0.13296425446420407</v>
      </c>
      <c r="E65" s="48">
        <f>IF(3101.68261="","-",3101.68261/1650750.85967*100)</f>
        <v>0.18789525941062085</v>
      </c>
      <c r="F65" s="48">
        <f>IF(OR(1770611.63183="",1615.68057="",2501.37238=""),"-",(2501.37238-1615.68057)/1770611.63183*100)</f>
        <v>5.0021800042316496E-2</v>
      </c>
      <c r="G65" s="48">
        <f>IF(OR(1881236.72041="",3101.68261="",2501.37238=""),"-",(3101.68261-2501.37238)/1881236.72041*100)</f>
        <v>3.1910403591801431E-2</v>
      </c>
    </row>
    <row r="66" spans="1:7" s="9" customFormat="1" x14ac:dyDescent="0.25">
      <c r="A66" s="47" t="s">
        <v>79</v>
      </c>
      <c r="B66" s="48">
        <f>IF(3049.81878="","-",3049.81878)</f>
        <v>3049.8187800000001</v>
      </c>
      <c r="C66" s="48">
        <f>IF(OR(2964.51768="",3049.81878=""),"-",3049.81878/2964.51768*100)</f>
        <v>102.87740230309572</v>
      </c>
      <c r="D66" s="48">
        <f>IF(2964.51768="","-",2964.51768/1881236.72041*100)</f>
        <v>0.15758344751817877</v>
      </c>
      <c r="E66" s="48">
        <f>IF(3049.81878="","-",3049.81878/1650750.85967*100)</f>
        <v>0.18475342672907566</v>
      </c>
      <c r="F66" s="48">
        <f>IF(OR(1770611.63183="",3019.52453="",2964.51768=""),"-",(2964.51768-3019.52453)/1770611.63183*100)</f>
        <v>-3.1066581180847872E-3</v>
      </c>
      <c r="G66" s="48">
        <f>IF(OR(1881236.72041="",3049.81878="",2964.51768=""),"-",(3049.81878-2964.51768)/1881236.72041*100)</f>
        <v>4.5343097481857289E-3</v>
      </c>
    </row>
    <row r="67" spans="1:7" s="9" customFormat="1" x14ac:dyDescent="0.25">
      <c r="A67" s="47" t="s">
        <v>83</v>
      </c>
      <c r="B67" s="48">
        <f>IF(2494.82648="","-",2494.82648)</f>
        <v>2494.8264800000002</v>
      </c>
      <c r="C67" s="48">
        <f>IF(OR(3283.9844="",2494.82648=""),"-",2494.82648/3283.9844*100)</f>
        <v>75.969498515279184</v>
      </c>
      <c r="D67" s="48">
        <f>IF(3283.9844="","-",3283.9844/1881236.72041*100)</f>
        <v>0.17456518705866439</v>
      </c>
      <c r="E67" s="48">
        <f>IF(2494.82648="","-",2494.82648/1650750.85967*100)</f>
        <v>0.151132829365828</v>
      </c>
      <c r="F67" s="48">
        <f>IF(OR(1770611.63183="",2985.81297="",3283.9844=""),"-",(3283.9844-2985.81297)/1770611.63183*100)</f>
        <v>1.6840024353156846E-2</v>
      </c>
      <c r="G67" s="48">
        <f>IF(OR(1881236.72041="",2494.82648="",3283.9844=""),"-",(2494.82648-3283.9844)/1881236.72041*100)</f>
        <v>-4.1948889867938002E-2</v>
      </c>
    </row>
    <row r="68" spans="1:7" s="9" customFormat="1" x14ac:dyDescent="0.25">
      <c r="A68" s="47" t="s">
        <v>59</v>
      </c>
      <c r="B68" s="48">
        <f>IF(2404.9203="","-",2404.9203)</f>
        <v>2404.9203000000002</v>
      </c>
      <c r="C68" s="48" t="s">
        <v>183</v>
      </c>
      <c r="D68" s="48">
        <f>IF(1020.2021="","-",1020.2021/1881236.72041*100)</f>
        <v>5.4230394768057438E-2</v>
      </c>
      <c r="E68" s="48">
        <f>IF(2404.9203="","-",2404.9203/1650750.85967*100)</f>
        <v>0.14568644843721393</v>
      </c>
      <c r="F68" s="48">
        <f>IF(OR(1770611.63183="",1285.60005="",1020.2021=""),"-",(1020.2021-1285.60005)/1770611.63183*100)</f>
        <v>-1.4989054924805859E-2</v>
      </c>
      <c r="G68" s="48">
        <f>IF(OR(1881236.72041="",2404.9203="",1020.2021=""),"-",(2404.9203-1020.2021)/1881236.72041*100)</f>
        <v>7.3606802640882554E-2</v>
      </c>
    </row>
    <row r="69" spans="1:7" s="9" customFormat="1" x14ac:dyDescent="0.25">
      <c r="A69" s="47" t="s">
        <v>81</v>
      </c>
      <c r="B69" s="48">
        <f>IF(2046.16877="","-",2046.16877)</f>
        <v>2046.16877</v>
      </c>
      <c r="C69" s="48">
        <f>IF(OR(2321.87266="",2046.16877=""),"-",2046.16877/2321.87266*100)</f>
        <v>88.125796269981493</v>
      </c>
      <c r="D69" s="48">
        <f>IF(2321.87266="","-",2321.87266/1881236.72041*100)</f>
        <v>0.12342267375548394</v>
      </c>
      <c r="E69" s="48">
        <f>IF(2046.16877="","-",2046.16877/1650750.85967*100)</f>
        <v>0.12395382125737907</v>
      </c>
      <c r="F69" s="48">
        <f>IF(OR(1770611.63183="",3039.96551="",2321.87266=""),"-",(2321.87266-3039.96551)/1770611.63183*100)</f>
        <v>-4.0556203127267466E-2</v>
      </c>
      <c r="G69" s="48">
        <f>IF(OR(1881236.72041="",2046.16877="",2321.87266=""),"-",(2046.16877-2321.87266)/1881236.72041*100)</f>
        <v>-1.4655459730762252E-2</v>
      </c>
    </row>
    <row r="70" spans="1:7" s="9" customFormat="1" x14ac:dyDescent="0.25">
      <c r="A70" s="47" t="s">
        <v>66</v>
      </c>
      <c r="B70" s="48">
        <f>IF(1962.42609="","-",1962.42609)</f>
        <v>1962.4260899999999</v>
      </c>
      <c r="C70" s="48">
        <f>IF(OR(1657.78831="",1962.42609=""),"-",1962.42609/1657.78831*100)</f>
        <v>118.37615684477834</v>
      </c>
      <c r="D70" s="48">
        <f>IF(1657.78831="","-",1657.78831/1881236.72041*100)</f>
        <v>8.8122259788693605E-2</v>
      </c>
      <c r="E70" s="48">
        <f>IF(1962.42609="","-",1962.42609/1650750.85967*100)</f>
        <v>0.11888081587262095</v>
      </c>
      <c r="F70" s="48">
        <f>IF(OR(1770611.63183="",1697.77196="",1657.78831=""),"-",(1657.78831-1697.77196)/1770611.63183*100)</f>
        <v>-2.2581829510899222E-3</v>
      </c>
      <c r="G70" s="48">
        <f>IF(OR(1881236.72041="",1962.42609="",1657.78831=""),"-",(1962.42609-1657.78831)/1881236.72041*100)</f>
        <v>1.6193484673933365E-2</v>
      </c>
    </row>
    <row r="71" spans="1:7" s="9" customFormat="1" x14ac:dyDescent="0.25">
      <c r="A71" s="47" t="s">
        <v>87</v>
      </c>
      <c r="B71" s="48">
        <f>IF(1885.60504="","-",1885.60504)</f>
        <v>1885.6050399999999</v>
      </c>
      <c r="C71" s="48" t="s">
        <v>116</v>
      </c>
      <c r="D71" s="48">
        <f>IF(586.27631="","-",586.27631/1881236.72041*100)</f>
        <v>3.116440922289811E-2</v>
      </c>
      <c r="E71" s="48">
        <f>IF(1885.60504="","-",1885.60504/1650750.85967*100)</f>
        <v>0.11422711240489369</v>
      </c>
      <c r="F71" s="48">
        <f>IF(OR(1770611.63183="",573.21349="",586.27631=""),"-",(586.27631-573.21349)/1770611.63183*100)</f>
        <v>7.37757493804501E-4</v>
      </c>
      <c r="G71" s="48">
        <f>IF(OR(1881236.72041="",1885.60504="",586.27631=""),"-",(1885.60504-586.27631)/1881236.72041*100)</f>
        <v>6.9067795450900082E-2</v>
      </c>
    </row>
    <row r="72" spans="1:7" s="9" customFormat="1" x14ac:dyDescent="0.25">
      <c r="A72" s="47" t="s">
        <v>76</v>
      </c>
      <c r="B72" s="48">
        <f>IF(1856.50361="","-",1856.50361)</f>
        <v>1856.50361</v>
      </c>
      <c r="C72" s="48">
        <f>IF(OR(1266.32891999999="",1856.50361=""),"-",1856.50361/1266.32891999999*100)</f>
        <v>146.60516558367905</v>
      </c>
      <c r="D72" s="48">
        <f>IF(1266.32891999999="","-",1266.32891999999/1881236.72041*100)</f>
        <v>6.731364034420953E-2</v>
      </c>
      <c r="E72" s="48">
        <f>IF(1856.50361="","-",1856.50361/1650750.85967*100)</f>
        <v>0.11246419162072295</v>
      </c>
      <c r="F72" s="48">
        <f>IF(OR(1770611.63183="",1520.12547="",1266.32891999999=""),"-",(1266.32891999999-1520.12547)/1770611.63183*100)</f>
        <v>-1.4333835011447475E-2</v>
      </c>
      <c r="G72" s="48">
        <f>IF(OR(1881236.72041="",1856.50361="",1266.32891999999=""),"-",(1856.50361-1266.32891999999)/1881236.72041*100)</f>
        <v>3.1371633542821041E-2</v>
      </c>
    </row>
    <row r="73" spans="1:7" s="9" customFormat="1" x14ac:dyDescent="0.25">
      <c r="A73" s="47" t="s">
        <v>85</v>
      </c>
      <c r="B73" s="48">
        <f>IF(1818.75923="","-",1818.75923)</f>
        <v>1818.7592299999999</v>
      </c>
      <c r="C73" s="48">
        <f>IF(OR(1225.8003="",1818.75923=""),"-",1818.75923/1225.8003*100)</f>
        <v>148.37320809923116</v>
      </c>
      <c r="D73" s="48">
        <f>IF(1225.8003="","-",1225.8003/1881236.72041*100)</f>
        <v>6.5159279887586241E-2</v>
      </c>
      <c r="E73" s="48">
        <f>IF(1818.75923="","-",1818.75923/1650750.85967*100)</f>
        <v>0.11017769394732205</v>
      </c>
      <c r="F73" s="48">
        <f>IF(OR(1770611.63183="",2092.95808="",1225.8003=""),"-",(1225.8003-2092.95808)/1770611.63183*100)</f>
        <v>-4.8975041415703142E-2</v>
      </c>
      <c r="G73" s="48">
        <f>IF(OR(1881236.72041="",1818.75923="",1225.8003=""),"-",(1818.75923-1225.8003)/1881236.72041*100)</f>
        <v>3.1519634055982557E-2</v>
      </c>
    </row>
    <row r="74" spans="1:7" s="9" customFormat="1" x14ac:dyDescent="0.25">
      <c r="A74" s="47" t="s">
        <v>69</v>
      </c>
      <c r="B74" s="48">
        <f>IF(1702.42806="","-",1702.42806)</f>
        <v>1702.42806</v>
      </c>
      <c r="C74" s="48">
        <f>IF(OR(1571.78241="",1702.42806=""),"-",1702.42806/1571.78241*100)</f>
        <v>108.31194249081844</v>
      </c>
      <c r="D74" s="48">
        <f>IF(1571.78241="","-",1571.78241/1881236.72041*100)</f>
        <v>8.3550485324220283E-2</v>
      </c>
      <c r="E74" s="48">
        <f>IF(1702.42806="","-",1702.42806/1650750.85967*100)</f>
        <v>0.10313052693731933</v>
      </c>
      <c r="F74" s="48">
        <f>IF(OR(1770611.63183="",2109.49569="",1571.78241=""),"-",(1571.78241-2109.49569)/1770611.63183*100)</f>
        <v>-3.0368787278566071E-2</v>
      </c>
      <c r="G74" s="48">
        <f>IF(OR(1881236.72041="",1702.42806="",1571.78241=""),"-",(1702.42806-1571.78241)/1881236.72041*100)</f>
        <v>6.9446682909488815E-3</v>
      </c>
    </row>
    <row r="75" spans="1:7" s="9" customFormat="1" x14ac:dyDescent="0.25">
      <c r="A75" s="47" t="s">
        <v>86</v>
      </c>
      <c r="B75" s="48">
        <f>IF(1508.88017="","-",1508.88017)</f>
        <v>1508.8801699999999</v>
      </c>
      <c r="C75" s="48">
        <f>IF(OR(2647.9182="",1508.88017=""),"-",1508.88017/2647.9182*100)</f>
        <v>56.983639826940269</v>
      </c>
      <c r="D75" s="48">
        <f>IF(2647.9182="","-",2647.9182/1881236.72041*100)</f>
        <v>0.14075412048213198</v>
      </c>
      <c r="E75" s="48">
        <f>IF(1508.88017="","-",1508.88017/1650750.85967*100)</f>
        <v>9.140568736711964E-2</v>
      </c>
      <c r="F75" s="48">
        <f>IF(OR(1770611.63183="",1474.37258="",2647.9182=""),"-",(2647.9182-1474.37258)/1770611.63183*100)</f>
        <v>6.6279109371211592E-2</v>
      </c>
      <c r="G75" s="48">
        <f>IF(OR(1881236.72041="",1508.88017="",2647.9182=""),"-",(1508.88017-2647.9182)/1881236.72041*100)</f>
        <v>-6.0547299425016333E-2</v>
      </c>
    </row>
    <row r="76" spans="1:7" s="9" customFormat="1" x14ac:dyDescent="0.25">
      <c r="A76" s="47" t="s">
        <v>82</v>
      </c>
      <c r="B76" s="48">
        <f>IF(1486.50718="","-",1486.50718)</f>
        <v>1486.5071800000001</v>
      </c>
      <c r="C76" s="48" t="s">
        <v>107</v>
      </c>
      <c r="D76" s="48">
        <f>IF(901.95123="","-",901.95123/1881236.72041*100)</f>
        <v>4.7944589865512893E-2</v>
      </c>
      <c r="E76" s="48">
        <f>IF(1486.50718="","-",1486.50718/1650750.85967*100)</f>
        <v>9.0050365340846539E-2</v>
      </c>
      <c r="F76" s="48">
        <f>IF(OR(1770611.63183="",1056.33597="",901.95123=""),"-",(901.95123-1056.33597)/1770611.63183*100)</f>
        <v>-8.7192887036688614E-3</v>
      </c>
      <c r="G76" s="48">
        <f>IF(OR(1881236.72041="",1486.50718="",901.95123=""),"-",(1486.50718-901.95123)/1881236.72041*100)</f>
        <v>3.1072960869730468E-2</v>
      </c>
    </row>
    <row r="77" spans="1:7" s="9" customFormat="1" x14ac:dyDescent="0.25">
      <c r="A77" s="47" t="s">
        <v>38</v>
      </c>
      <c r="B77" s="48">
        <f>IF(1284.61807="","-",1284.61807)</f>
        <v>1284.61807</v>
      </c>
      <c r="C77" s="48" t="s">
        <v>106</v>
      </c>
      <c r="D77" s="48">
        <f>IF(746.6484="","-",746.6484/1881236.72041*100)</f>
        <v>3.9689231658059182E-2</v>
      </c>
      <c r="E77" s="48">
        <f>IF(1284.61807="","-",1284.61807/1650750.85967*100)</f>
        <v>7.7820227230219752E-2</v>
      </c>
      <c r="F77" s="48">
        <f>IF(OR(1770611.63183="",648.3632="",746.6484=""),"-",(746.6484-648.3632)/1770611.63183*100)</f>
        <v>5.5509180123491132E-3</v>
      </c>
      <c r="G77" s="48">
        <f>IF(OR(1881236.72041="",1284.61807="",746.6484=""),"-",(1284.61807-746.6484)/1881236.72041*100)</f>
        <v>2.8596596279640656E-2</v>
      </c>
    </row>
    <row r="78" spans="1:7" s="9" customFormat="1" x14ac:dyDescent="0.25">
      <c r="A78" s="47" t="s">
        <v>149</v>
      </c>
      <c r="B78" s="48">
        <f>IF(1220.79066="","-",1220.79066)</f>
        <v>1220.7906599999999</v>
      </c>
      <c r="C78" s="48">
        <f>IF(OR(2511.01939="",1220.79066=""),"-",1220.79066/2511.01939*100)</f>
        <v>48.617333058507363</v>
      </c>
      <c r="D78" s="48">
        <f>IF(2511.01939="","-",2511.01939/1881236.72041*100)</f>
        <v>0.13347705595778206</v>
      </c>
      <c r="E78" s="48">
        <f>IF(1220.79066="","-",1220.79066/1650750.85967*100)</f>
        <v>7.3953658897021379E-2</v>
      </c>
      <c r="F78" s="48">
        <f>IF(OR(1770611.63183="",1888.6338="",2511.01939=""),"-",(2511.01939-1888.6338)/1770611.63183*100)</f>
        <v>3.5150881131213327E-2</v>
      </c>
      <c r="G78" s="48">
        <f>IF(OR(1881236.72041="",1220.79066="",2511.01939=""),"-",(1220.79066-2511.01939)/1881236.72041*100)</f>
        <v>-6.8584071106096919E-2</v>
      </c>
    </row>
    <row r="79" spans="1:7" s="9" customFormat="1" x14ac:dyDescent="0.25">
      <c r="A79" s="47" t="s">
        <v>40</v>
      </c>
      <c r="B79" s="48">
        <f>IF(1030.10053="","-",1030.10053)</f>
        <v>1030.1005299999999</v>
      </c>
      <c r="C79" s="48">
        <f>IF(OR(1075.87144="",1030.10053=""),"-",1030.10053/1075.87144*100)</f>
        <v>95.745689652287822</v>
      </c>
      <c r="D79" s="48">
        <f>IF(1075.87144="","-",1075.87144/1881236.72041*100)</f>
        <v>5.7189583231477777E-2</v>
      </c>
      <c r="E79" s="48">
        <f>IF(1030.10053="","-",1030.10053/1650750.85967*100)</f>
        <v>6.2401938122020814E-2</v>
      </c>
      <c r="F79" s="48">
        <f>IF(OR(1770611.63183="",1859.41652="",1075.87144=""),"-",(1075.87144-1859.41652)/1770611.63183*100)</f>
        <v>-4.4252791855330459E-2</v>
      </c>
      <c r="G79" s="48">
        <f>IF(OR(1881236.72041="",1030.10053="",1075.87144=""),"-",(1030.10053-1075.87144)/1881236.72041*100)</f>
        <v>-2.433022357230225E-3</v>
      </c>
    </row>
    <row r="80" spans="1:7" s="9" customFormat="1" x14ac:dyDescent="0.25">
      <c r="A80" s="47" t="s">
        <v>89</v>
      </c>
      <c r="B80" s="48">
        <f>IF(905.05496="","-",905.05496)</f>
        <v>905.05496000000005</v>
      </c>
      <c r="C80" s="48">
        <f>IF(OR(981.19554="",905.05496=""),"-",905.05496/981.19554*100)</f>
        <v>92.240019762014001</v>
      </c>
      <c r="D80" s="48">
        <f>IF(981.19554="","-",981.19554/1881236.72041*100)</f>
        <v>5.2156941726406267E-2</v>
      </c>
      <c r="E80" s="48">
        <f>IF(905.05496="","-",905.05496/1650750.85967*100)</f>
        <v>5.4826865889437047E-2</v>
      </c>
      <c r="F80" s="48">
        <f>IF(OR(1770611.63183="",703.08179="",981.19554=""),"-",(981.19554-703.08179)/1770611.63183*100)</f>
        <v>1.5707213541377118E-2</v>
      </c>
      <c r="G80" s="48">
        <f>IF(OR(1881236.72041="",905.05496="",981.19554=""),"-",(905.05496-981.19554)/1881236.72041*100)</f>
        <v>-4.0473683707069989E-3</v>
      </c>
    </row>
    <row r="81" spans="1:7" s="9" customFormat="1" x14ac:dyDescent="0.25">
      <c r="A81" s="47" t="s">
        <v>39</v>
      </c>
      <c r="B81" s="48">
        <f>IF(865.87481="","-",865.87481)</f>
        <v>865.87481000000002</v>
      </c>
      <c r="C81" s="48">
        <f>IF(OR(818.17065="",865.87481=""),"-",865.87481/818.17065*100)</f>
        <v>105.83058803197108</v>
      </c>
      <c r="D81" s="48">
        <f>IF(818.17065="","-",818.17065/1881236.72041*100)</f>
        <v>4.3491105671256858E-2</v>
      </c>
      <c r="E81" s="48">
        <f>IF(865.87481="","-",865.87481/1650750.85967*100)</f>
        <v>5.2453391432617291E-2</v>
      </c>
      <c r="F81" s="48">
        <f>IF(OR(1770611.63183="",708.67811="",818.17065=""),"-",(818.17065-708.67811)/1770611.63183*100)</f>
        <v>6.1838823393944959E-3</v>
      </c>
      <c r="G81" s="48">
        <f>IF(OR(1881236.72041="",865.87481="",818.17065=""),"-",(865.87481-818.17065)/1881236.72041*100)</f>
        <v>2.535787202240198E-3</v>
      </c>
    </row>
    <row r="82" spans="1:7" s="9" customFormat="1" x14ac:dyDescent="0.25">
      <c r="A82" s="47" t="s">
        <v>74</v>
      </c>
      <c r="B82" s="48">
        <f>IF(709.15626="","-",709.15626)</f>
        <v>709.15625999999997</v>
      </c>
      <c r="C82" s="48">
        <f>IF(OR(653.14099="",709.15626=""),"-",709.15626/653.14099*100)</f>
        <v>108.57629070256331</v>
      </c>
      <c r="D82" s="48">
        <f>IF(653.14099="","-",653.14099/1881236.72041*100)</f>
        <v>3.4718703016686454E-2</v>
      </c>
      <c r="E82" s="48">
        <f>IF(709.15626="","-",709.15626/1650750.85967*100)</f>
        <v>4.2959617791249662E-2</v>
      </c>
      <c r="F82" s="48">
        <f>IF(OR(1770611.63183="",639.78583="",653.14099=""),"-",(653.14099-639.78583)/1770611.63183*100)</f>
        <v>7.5426817264251497E-4</v>
      </c>
      <c r="G82" s="48">
        <f>IF(OR(1881236.72041="",709.15626="",653.14099=""),"-",(709.15626-653.14099)/1881236.72041*100)</f>
        <v>2.9775768988706494E-3</v>
      </c>
    </row>
    <row r="83" spans="1:7" s="9" customFormat="1" x14ac:dyDescent="0.25">
      <c r="A83" s="47" t="s">
        <v>151</v>
      </c>
      <c r="B83" s="48">
        <f>IF(650.88991="","-",650.88991)</f>
        <v>650.88990999999999</v>
      </c>
      <c r="C83" s="48" t="s">
        <v>212</v>
      </c>
      <c r="D83" s="48">
        <f>IF(35.28233="","-",35.28233/1881236.72041*100)</f>
        <v>1.8754859299318007E-3</v>
      </c>
      <c r="E83" s="48">
        <f>IF(650.88991="","-",650.88991/1650750.85967*100)</f>
        <v>3.9429930094364379E-2</v>
      </c>
      <c r="F83" s="48">
        <f>IF(OR(1770611.63183="",58.71849="",35.28233=""),"-",(35.28233-58.71849)/1770611.63183*100)</f>
        <v>-1.3236194532268921E-3</v>
      </c>
      <c r="G83" s="48">
        <f>IF(OR(1881236.72041="",650.88991="",35.28233=""),"-",(650.88991-35.28233)/1881236.72041*100)</f>
        <v>3.2723557504545912E-2</v>
      </c>
    </row>
    <row r="84" spans="1:7" s="9" customFormat="1" x14ac:dyDescent="0.25">
      <c r="A84" s="47" t="s">
        <v>175</v>
      </c>
      <c r="B84" s="48">
        <f>IF(625.2805="","-",625.2805)</f>
        <v>625.28049999999996</v>
      </c>
      <c r="C84" s="48" t="str">
        <f>IF(OR(""="",625.2805=""),"-",625.2805/""*100)</f>
        <v>-</v>
      </c>
      <c r="D84" s="48" t="str">
        <f>IF(""="","-",""/1881236.72041*100)</f>
        <v>-</v>
      </c>
      <c r="E84" s="48">
        <f>IF(625.2805="","-",625.2805/1650750.85967*100)</f>
        <v>3.787855062059451E-2</v>
      </c>
      <c r="F84" s="48" t="str">
        <f>IF(OR(1770611.63183="",""="",""=""),"-",(""-"")/1770611.63183*100)</f>
        <v>-</v>
      </c>
      <c r="G84" s="48" t="str">
        <f>IF(OR(1881236.72041="",625.2805="",""=""),"-",(625.2805-"")/1881236.72041*100)</f>
        <v>-</v>
      </c>
    </row>
    <row r="85" spans="1:7" s="9" customFormat="1" x14ac:dyDescent="0.25">
      <c r="A85" s="47" t="s">
        <v>147</v>
      </c>
      <c r="B85" s="48">
        <f>IF(619.79803="","-",619.79803)</f>
        <v>619.79803000000004</v>
      </c>
      <c r="C85" s="48">
        <f>IF(OR(680.5939="",619.79803=""),"-",619.79803/680.5939*100)</f>
        <v>91.067232603759749</v>
      </c>
      <c r="D85" s="48">
        <f>IF(680.5939="","-",680.5939/1881236.72041*100)</f>
        <v>3.6178004214784315E-2</v>
      </c>
      <c r="E85" s="48">
        <f>IF(619.79803="","-",619.79803/1650750.85967*100)</f>
        <v>3.7546430848074998E-2</v>
      </c>
      <c r="F85" s="48">
        <f>IF(OR(1770611.63183="",495.3304="",680.5939=""),"-",(680.5939-495.3304)/1770611.63183*100)</f>
        <v>1.0463248781920771E-2</v>
      </c>
      <c r="G85" s="48">
        <f>IF(OR(1881236.72041="",619.79803="",680.5939=""),"-",(619.79803-680.5939)/1881236.72041*100)</f>
        <v>-3.231696965108674E-3</v>
      </c>
    </row>
    <row r="86" spans="1:7" s="9" customFormat="1" x14ac:dyDescent="0.25">
      <c r="A86" s="47" t="s">
        <v>88</v>
      </c>
      <c r="B86" s="48">
        <f>IF(593.51056="","-",593.51056)</f>
        <v>593.51056000000005</v>
      </c>
      <c r="C86" s="48">
        <f>IF(OR(810.44314="",593.51056=""),"-",593.51056/810.44314*100)</f>
        <v>73.232843947571695</v>
      </c>
      <c r="D86" s="48">
        <f>IF(810.44314="","-",810.44314/1881236.72041*100)</f>
        <v>4.3080338120519493E-2</v>
      </c>
      <c r="E86" s="48">
        <f>IF(593.51056="","-",593.51056/1650750.85967*100)</f>
        <v>3.5953975521093973E-2</v>
      </c>
      <c r="F86" s="48">
        <f>IF(OR(1770611.63183="",921.205="",810.44314=""),"-",(810.44314-921.205)/1770611.63183*100)</f>
        <v>-6.2555705615422348E-3</v>
      </c>
      <c r="G86" s="48">
        <f>IF(OR(1881236.72041="",593.51056="",810.44314=""),"-",(593.51056-810.44314)/1881236.72041*100)</f>
        <v>-1.1531381332633208E-2</v>
      </c>
    </row>
    <row r="87" spans="1:7" s="9" customFormat="1" x14ac:dyDescent="0.25">
      <c r="A87" s="47" t="s">
        <v>68</v>
      </c>
      <c r="B87" s="48">
        <f>IF(579.17069="","-",579.17069)</f>
        <v>579.17069000000004</v>
      </c>
      <c r="C87" s="48">
        <f>IF(OR(621.98873="",579.17069=""),"-",579.17069/621.98873*100)</f>
        <v>93.115946007574763</v>
      </c>
      <c r="D87" s="48">
        <f>IF(621.98873="","-",621.98873/1881236.72041*100)</f>
        <v>3.3062757241121829E-2</v>
      </c>
      <c r="E87" s="48">
        <f>IF(579.17069="","-",579.17069/1650750.85967*100)</f>
        <v>3.5085287801442162E-2</v>
      </c>
      <c r="F87" s="48">
        <f>IF(OR(1770611.63183="",682.23276="",621.98873=""),"-",(621.98873-682.23276)/1770611.63183*100)</f>
        <v>-3.4024417843530864E-3</v>
      </c>
      <c r="G87" s="48">
        <f>IF(OR(1881236.72041="",579.17069="",621.98873=""),"-",(579.17069-621.98873)/1881236.72041*100)</f>
        <v>-2.2760580598633093E-3</v>
      </c>
    </row>
    <row r="88" spans="1:7" s="9" customFormat="1" x14ac:dyDescent="0.25">
      <c r="A88" s="47" t="s">
        <v>153</v>
      </c>
      <c r="B88" s="48">
        <f>IF(578.18535="","-",578.18535)</f>
        <v>578.18534999999997</v>
      </c>
      <c r="C88" s="48">
        <f>IF(OR(1580.77483="",578.18535=""),"-",578.18535/1580.77483*100)</f>
        <v>36.57607263395002</v>
      </c>
      <c r="D88" s="48">
        <f>IF(1580.77483="","-",1580.77483/1881236.72041*100)</f>
        <v>8.4028491090450505E-2</v>
      </c>
      <c r="E88" s="48">
        <f>IF(578.18535="","-",578.18535/1650750.85967*100)</f>
        <v>3.5025597388789756E-2</v>
      </c>
      <c r="F88" s="48">
        <f>IF(OR(1770611.63183="",492.90556="",1580.77483=""),"-",(1580.77483-492.90556)/1770611.63183*100)</f>
        <v>6.1440309689801513E-2</v>
      </c>
      <c r="G88" s="48">
        <f>IF(OR(1881236.72041="",578.18535="",1580.77483=""),"-",(578.18535-1580.77483)/1881236.72041*100)</f>
        <v>-5.3294169155995101E-2</v>
      </c>
    </row>
    <row r="89" spans="1:7" x14ac:dyDescent="0.25">
      <c r="A89" s="47" t="s">
        <v>92</v>
      </c>
      <c r="B89" s="48">
        <f>IF(570.67829="","-",570.67829)</f>
        <v>570.67828999999995</v>
      </c>
      <c r="C89" s="48">
        <f>IF(OR(888.83299="",570.67829=""),"-",570.67829/888.83299*100)</f>
        <v>64.205345258393251</v>
      </c>
      <c r="D89" s="48">
        <f>IF(888.83299="","-",888.83299/1881236.72041*100)</f>
        <v>4.7247269860131488E-2</v>
      </c>
      <c r="E89" s="48">
        <f>IF(570.67829="","-",570.67829/1650750.85967*100)</f>
        <v>3.4570831004388132E-2</v>
      </c>
      <c r="F89" s="48">
        <f>IF(OR(1770611.63183="",549.85375="",888.83299=""),"-",(888.83299-549.85375)/1770611.63183*100)</f>
        <v>1.9144753931705002E-2</v>
      </c>
      <c r="G89" s="48">
        <f>IF(OR(1881236.72041="",570.67829="",888.83299=""),"-",(570.67829-888.83299)/1881236.72041*100)</f>
        <v>-1.6911997121269291E-2</v>
      </c>
    </row>
    <row r="90" spans="1:7" x14ac:dyDescent="0.25">
      <c r="A90" s="47" t="s">
        <v>98</v>
      </c>
      <c r="B90" s="48">
        <f>IF(442.03372="","-",442.03372)</f>
        <v>442.03372000000002</v>
      </c>
      <c r="C90" s="48">
        <f>IF(OR(340.19159="",442.03372=""),"-",442.03372/340.19159*100)</f>
        <v>129.93669831755687</v>
      </c>
      <c r="D90" s="48">
        <f>IF(340.19159="","-",340.19159/1881236.72041*100)</f>
        <v>1.8083401536296721E-2</v>
      </c>
      <c r="E90" s="48">
        <f>IF(442.03372="","-",442.03372/1650750.85967*100)</f>
        <v>2.6777736774183266E-2</v>
      </c>
      <c r="F90" s="48">
        <f>IF(OR(1770611.63183="",326.30617="",340.19159=""),"-",(340.19159-326.30617)/1770611.63183*100)</f>
        <v>7.8421601611466073E-4</v>
      </c>
      <c r="G90" s="48">
        <f>IF(OR(1881236.72041="",442.03372="",340.19159=""),"-",(442.03372-340.19159)/1881236.72041*100)</f>
        <v>5.4135733634735955E-3</v>
      </c>
    </row>
    <row r="91" spans="1:7" x14ac:dyDescent="0.25">
      <c r="A91" s="47" t="s">
        <v>90</v>
      </c>
      <c r="B91" s="48">
        <f>IF(435.7357="","-",435.7357)</f>
        <v>435.73570000000001</v>
      </c>
      <c r="C91" s="48">
        <f>IF(OR(507.00854="",435.7357=""),"-",435.7357/507.00854*100)</f>
        <v>85.942477418624946</v>
      </c>
      <c r="D91" s="48">
        <f>IF(507.00854="","-",507.00854/1881236.72041*100)</f>
        <v>2.6950810310012535E-2</v>
      </c>
      <c r="E91" s="48">
        <f>IF(435.7357="","-",435.7357/1650750.85967*100)</f>
        <v>2.639621221139982E-2</v>
      </c>
      <c r="F91" s="48">
        <f>IF(OR(1770611.63183="",678.01892="",507.00854=""),"-",(507.00854-678.01892)/1770611.63183*100)</f>
        <v>-9.6582659305843206E-3</v>
      </c>
      <c r="G91" s="48">
        <f>IF(OR(1881236.72041="",435.7357="",507.00854=""),"-",(435.7357-507.00854)/1881236.72041*100)</f>
        <v>-3.788616245193568E-3</v>
      </c>
    </row>
    <row r="92" spans="1:7" x14ac:dyDescent="0.25">
      <c r="A92" s="47" t="s">
        <v>95</v>
      </c>
      <c r="B92" s="48">
        <f>IF(421.8706="","-",421.8706)</f>
        <v>421.87060000000002</v>
      </c>
      <c r="C92" s="48" t="s">
        <v>20</v>
      </c>
      <c r="D92" s="48">
        <f>IF(210.70651="","-",210.70651/1881236.72041*100)</f>
        <v>1.1200425109397092E-2</v>
      </c>
      <c r="E92" s="48">
        <f>IF(421.8706="","-",421.8706/1650750.85967*100)</f>
        <v>2.5556285343042971E-2</v>
      </c>
      <c r="F92" s="48">
        <f>IF(OR(1770611.63183="",211.57154="",210.70651=""),"-",(210.70651-211.57154)/1770611.63183*100)</f>
        <v>-4.8854869382392225E-5</v>
      </c>
      <c r="G92" s="48">
        <f>IF(OR(1881236.72041="",421.8706="",210.70651=""),"-",(421.8706-210.70651)/1881236.72041*100)</f>
        <v>1.1224748470462481E-2</v>
      </c>
    </row>
    <row r="93" spans="1:7" x14ac:dyDescent="0.25">
      <c r="A93" s="47" t="s">
        <v>93</v>
      </c>
      <c r="B93" s="48">
        <f>IF(338.46349="","-",338.46349)</f>
        <v>338.46348999999998</v>
      </c>
      <c r="C93" s="48">
        <f>IF(OR(261.40139="",338.46349=""),"-",338.46349/261.40139*100)</f>
        <v>129.48037116405538</v>
      </c>
      <c r="D93" s="48">
        <f>IF(261.40139="","-",261.40139/1881236.72041*100)</f>
        <v>1.3895188583339459E-2</v>
      </c>
      <c r="E93" s="48">
        <f>IF(338.46349="","-",338.46349/1650750.85967*100)</f>
        <v>2.0503608283303387E-2</v>
      </c>
      <c r="F93" s="48">
        <f>IF(OR(1770611.63183="",628.26736="",261.40139=""),"-",(261.40139-628.26736)/1770611.63183*100)</f>
        <v>-2.0719731159838193E-2</v>
      </c>
      <c r="G93" s="48">
        <f>IF(OR(1881236.72041="",338.46349="",261.40139=""),"-",(338.46349-261.40139)/1881236.72041*100)</f>
        <v>4.0963531683139232E-3</v>
      </c>
    </row>
    <row r="94" spans="1:7" x14ac:dyDescent="0.25">
      <c r="A94" s="47" t="s">
        <v>115</v>
      </c>
      <c r="B94" s="48">
        <f>IF(326.97397="","-",326.97397)</f>
        <v>326.97397000000001</v>
      </c>
      <c r="C94" s="48">
        <f>IF(OR(223.98321="",326.97397=""),"-",326.97397/223.98321*100)</f>
        <v>145.98146441422998</v>
      </c>
      <c r="D94" s="48">
        <f>IF(223.98321="","-",223.98321/1881236.72041*100)</f>
        <v>1.1906168297160643E-2</v>
      </c>
      <c r="E94" s="48">
        <f>IF(326.97397="","-",326.97397/1650750.85967*100)</f>
        <v>1.9807590472214875E-2</v>
      </c>
      <c r="F94" s="48">
        <f>IF(OR(1770611.63183="",0.56135="",223.98321=""),"-",(223.98321-0.56135)/1770611.63183*100)</f>
        <v>1.2618343626777393E-2</v>
      </c>
      <c r="G94" s="48">
        <f>IF(OR(1881236.72041="",326.97397="",223.98321=""),"-",(326.97397-223.98321)/1881236.72041*100)</f>
        <v>5.474630538657251E-3</v>
      </c>
    </row>
    <row r="95" spans="1:7" x14ac:dyDescent="0.25">
      <c r="A95" s="47" t="s">
        <v>209</v>
      </c>
      <c r="B95" s="48">
        <f>IF(305.29409="","-",305.29409)</f>
        <v>305.29408999999998</v>
      </c>
      <c r="C95" s="48" t="s">
        <v>132</v>
      </c>
      <c r="D95" s="48">
        <f>IF(197.79015="","-",197.79015/1881236.72041*100)</f>
        <v>1.0513836342557318E-2</v>
      </c>
      <c r="E95" s="48">
        <f>IF(305.29409="","-",305.29409/1650750.85967*100)</f>
        <v>1.849425600547808E-2</v>
      </c>
      <c r="F95" s="48">
        <f>IF(OR(1770611.63183="",186.67309="",197.79015=""),"-",(197.79015-186.67309)/1770611.63183*100)</f>
        <v>6.2786552398902233E-4</v>
      </c>
      <c r="G95" s="48">
        <f>IF(OR(1881236.72041="",305.29409="",197.79015=""),"-",(305.29409-197.79015)/1881236.72041*100)</f>
        <v>5.7145354879406338E-3</v>
      </c>
    </row>
    <row r="96" spans="1:7" x14ac:dyDescent="0.25">
      <c r="A96" s="47" t="s">
        <v>210</v>
      </c>
      <c r="B96" s="48">
        <f>IF(289.08902="","-",289.08902)</f>
        <v>289.08902</v>
      </c>
      <c r="C96" s="48">
        <f>IF(OR(433.2355="",289.08902=""),"-",289.08902/433.2355*100)</f>
        <v>66.72791587946972</v>
      </c>
      <c r="D96" s="48">
        <f>IF(433.2355="","-",433.2355/1881236.72041*100)</f>
        <v>2.3029292129997329E-2</v>
      </c>
      <c r="E96" s="48">
        <f>IF(289.08902="","-",289.08902/1650750.85967*100)</f>
        <v>1.7512577280001631E-2</v>
      </c>
      <c r="F96" s="48">
        <f>IF(OR(1770611.63183="",315.17837="",433.2355=""),"-",(433.2355-315.17837)/1770611.63183*100)</f>
        <v>6.667590333063785E-3</v>
      </c>
      <c r="G96" s="48">
        <f>IF(OR(1881236.72041="",289.08902="",433.2355=""),"-",(289.08902-433.2355)/1881236.72041*100)</f>
        <v>-7.6623254498553728E-3</v>
      </c>
    </row>
    <row r="97" spans="1:7" x14ac:dyDescent="0.25">
      <c r="A97" s="47" t="s">
        <v>65</v>
      </c>
      <c r="B97" s="48">
        <f>IF(275.37345="","-",275.37345)</f>
        <v>275.37344999999999</v>
      </c>
      <c r="C97" s="48" t="s">
        <v>107</v>
      </c>
      <c r="D97" s="48">
        <f>IF(168.19251="","-",168.19251/1881236.72041*100)</f>
        <v>8.9405287583023477E-3</v>
      </c>
      <c r="E97" s="48">
        <f>IF(275.37345="","-",275.37345/1650750.85967*100)</f>
        <v>1.6681708713757668E-2</v>
      </c>
      <c r="F97" s="48">
        <f>IF(OR(1770611.63183="",123.59854="",168.19251=""),"-",(168.19251-123.59854)/1770611.63183*100)</f>
        <v>2.5185630320247185E-3</v>
      </c>
      <c r="G97" s="48">
        <f>IF(OR(1881236.72041="",275.37345="",168.19251=""),"-",(275.37345-168.19251)/1881236.72041*100)</f>
        <v>5.6973659315261924E-3</v>
      </c>
    </row>
    <row r="98" spans="1:7" x14ac:dyDescent="0.25">
      <c r="A98" s="47" t="s">
        <v>104</v>
      </c>
      <c r="B98" s="48">
        <f>IF(219.29938="","-",219.29938)</f>
        <v>219.29938000000001</v>
      </c>
      <c r="C98" s="48">
        <f>IF(OR(167.00992="",219.29938=""),"-",219.29938/167.00992*100)</f>
        <v>131.30919408859069</v>
      </c>
      <c r="D98" s="48">
        <f>IF(167.00992="","-",167.00992/1881236.72041*100)</f>
        <v>8.8776663876517121E-3</v>
      </c>
      <c r="E98" s="48">
        <f>IF(219.29938="","-",219.29938/1650750.85967*100)</f>
        <v>1.3284826036306895E-2</v>
      </c>
      <c r="F98" s="48">
        <f>IF(OR(1770611.63183="",235.0996="",167.00992=""),"-",(167.00992-235.0996)/1770611.63183*100)</f>
        <v>-3.8455457298462751E-3</v>
      </c>
      <c r="G98" s="48">
        <f>IF(OR(1881236.72041="",219.29938="",167.00992=""),"-",(219.29938-167.00992)/1881236.72041*100)</f>
        <v>2.7795257998474514E-3</v>
      </c>
    </row>
    <row r="99" spans="1:7" x14ac:dyDescent="0.25">
      <c r="A99" s="47" t="s">
        <v>103</v>
      </c>
      <c r="B99" s="48">
        <f>IF(217.6188="","-",217.6188)</f>
        <v>217.61879999999999</v>
      </c>
      <c r="C99" s="48" t="s">
        <v>107</v>
      </c>
      <c r="D99" s="48">
        <f>IF(134.65861="","-",134.65861/1881236.72041*100)</f>
        <v>7.1579832850940887E-3</v>
      </c>
      <c r="E99" s="48">
        <f>IF(217.6188="","-",217.6188/1650750.85967*100)</f>
        <v>1.3183019031927324E-2</v>
      </c>
      <c r="F99" s="48">
        <f>IF(OR(1770611.63183="",453.49691="",134.65861=""),"-",(134.65861-453.49691)/1770611.63183*100)</f>
        <v>-1.8007240790035219E-2</v>
      </c>
      <c r="G99" s="48">
        <f>IF(OR(1881236.72041="",217.6188="",134.65861=""),"-",(217.6188-134.65861)/1881236.72041*100)</f>
        <v>4.4098751156589951E-3</v>
      </c>
    </row>
    <row r="100" spans="1:7" x14ac:dyDescent="0.25">
      <c r="A100" s="47" t="s">
        <v>94</v>
      </c>
      <c r="B100" s="48">
        <f>IF(217.08646="","-",217.08646)</f>
        <v>217.08645999999999</v>
      </c>
      <c r="C100" s="48">
        <f>IF(OR(361.50289="",217.08646=""),"-",217.08646/361.50289*100)</f>
        <v>60.051099453174494</v>
      </c>
      <c r="D100" s="48">
        <f>IF(361.50289="","-",361.50289/1881236.72041*100)</f>
        <v>1.9216236110956488E-2</v>
      </c>
      <c r="E100" s="48">
        <f>IF(217.08646="","-",217.08646/1650750.85967*100)</f>
        <v>1.3150770676769331E-2</v>
      </c>
      <c r="F100" s="48">
        <f>IF(OR(1770611.63183="",246.28617="",361.50289=""),"-",(361.50289-246.28617)/1770611.63183*100)</f>
        <v>6.5071706256057257E-3</v>
      </c>
      <c r="G100" s="48">
        <f>IF(OR(1881236.72041="",217.08646="",361.50289=""),"-",(217.08646-361.50289)/1881236.72041*100)</f>
        <v>-7.6766750528091763E-3</v>
      </c>
    </row>
    <row r="101" spans="1:7" x14ac:dyDescent="0.25">
      <c r="A101" s="47" t="s">
        <v>91</v>
      </c>
      <c r="B101" s="48">
        <f>IF(193.74092="","-",193.74092)</f>
        <v>193.74091999999999</v>
      </c>
      <c r="C101" s="48">
        <f>IF(OR(242.3451="",193.74092=""),"-",193.74092/242.3451*100)</f>
        <v>79.944228292628978</v>
      </c>
      <c r="D101" s="48">
        <f>IF(242.3451="","-",242.3451/1881236.72041*100)</f>
        <v>1.2882222496017561E-2</v>
      </c>
      <c r="E101" s="48">
        <f>IF(193.74092="","-",193.74092/1650750.85967*100)</f>
        <v>1.1736533036773978E-2</v>
      </c>
      <c r="F101" s="48">
        <f>IF(OR(1770611.63183="",475.62129="",242.3451=""),"-",(242.3451-475.62129)/1770611.63183*100)</f>
        <v>-1.3174893116391619E-2</v>
      </c>
      <c r="G101" s="48">
        <f>IF(OR(1881236.72041="",193.74092="",242.3451=""),"-",(193.74092-242.3451)/1881236.72041*100)</f>
        <v>-2.583629134636875E-3</v>
      </c>
    </row>
    <row r="102" spans="1:7" x14ac:dyDescent="0.25">
      <c r="A102" s="47" t="s">
        <v>99</v>
      </c>
      <c r="B102" s="48">
        <f>IF(182.36078="","-",182.36078)</f>
        <v>182.36078000000001</v>
      </c>
      <c r="C102" s="48">
        <f>IF(OR(434.68856="",182.36078=""),"-",182.36078/434.68856*100)</f>
        <v>41.952054132733565</v>
      </c>
      <c r="D102" s="48">
        <f>IF(434.68856="","-",434.68856/1881236.72041*100)</f>
        <v>2.31065317449929E-2</v>
      </c>
      <c r="E102" s="48">
        <f>IF(182.36078="","-",182.36078/1650750.85967*100)</f>
        <v>1.1047141301289741E-2</v>
      </c>
      <c r="F102" s="48">
        <f>IF(OR(1770611.63183="",396.73388="",434.68856=""),"-",(434.68856-396.73388)/1770611.63183*100)</f>
        <v>2.14359147526735E-3</v>
      </c>
      <c r="G102" s="48">
        <f>IF(OR(1881236.72041="",182.36078="",434.68856=""),"-",(182.36078-434.68856)/1881236.72041*100)</f>
        <v>-1.3412867039136215E-2</v>
      </c>
    </row>
    <row r="103" spans="1:7" x14ac:dyDescent="0.25">
      <c r="A103" s="47" t="s">
        <v>155</v>
      </c>
      <c r="B103" s="48">
        <f>IF(169.99808="","-",169.99808)</f>
        <v>169.99807999999999</v>
      </c>
      <c r="C103" s="48" t="s">
        <v>96</v>
      </c>
      <c r="D103" s="48">
        <f>IF(81.60976="","-",81.60976/1881236.72041*100)</f>
        <v>4.3380909544554194E-3</v>
      </c>
      <c r="E103" s="48">
        <f>IF(169.99808="","-",169.99808/1650750.85967*100)</f>
        <v>1.029822756136466E-2</v>
      </c>
      <c r="F103" s="48">
        <f>IF(OR(1770611.63183="",164.85615="",81.60976=""),"-",(81.60976-164.85615)/1770611.63183*100)</f>
        <v>-4.7015612290969445E-3</v>
      </c>
      <c r="G103" s="48">
        <f>IF(OR(1881236.72041="",169.99808="",81.60976=""),"-",(169.99808-81.60976)/1881236.72041*100)</f>
        <v>4.698415624203661E-3</v>
      </c>
    </row>
    <row r="104" spans="1:7" x14ac:dyDescent="0.25">
      <c r="A104" s="47" t="s">
        <v>163</v>
      </c>
      <c r="B104" s="48">
        <f>IF(110.60563="","-",110.60563)</f>
        <v>110.60563</v>
      </c>
      <c r="C104" s="48" t="s">
        <v>213</v>
      </c>
      <c r="D104" s="48">
        <f>IF(2.07269="","-",2.07269/1881236.72041*100)</f>
        <v>1.1017699035495513E-4</v>
      </c>
      <c r="E104" s="48">
        <f>IF(110.60563="","-",110.60563/1650750.85967*100)</f>
        <v>6.7003224231009084E-3</v>
      </c>
      <c r="F104" s="48">
        <f>IF(OR(1770611.63183="",1.08406="",2.07269=""),"-",(2.07269-1.08406)/1770611.63183*100)</f>
        <v>5.5835508037310832E-5</v>
      </c>
      <c r="G104" s="48">
        <f>IF(OR(1881236.72041="",110.60563="",2.07269=""),"-",(110.60563-2.07269)/1881236.72041*100)</f>
        <v>5.7692335484683787E-3</v>
      </c>
    </row>
    <row r="105" spans="1:7" x14ac:dyDescent="0.25">
      <c r="A105" s="47" t="s">
        <v>154</v>
      </c>
      <c r="B105" s="48">
        <f>IF(91.46202="","-",91.46202)</f>
        <v>91.462019999999995</v>
      </c>
      <c r="C105" s="48" t="s">
        <v>214</v>
      </c>
      <c r="D105" s="48">
        <f>IF(2.976="","-",2.976/1881236.72041*100)</f>
        <v>1.5819380770706014E-4</v>
      </c>
      <c r="E105" s="48">
        <f>IF(91.46202="","-",91.46202/1650750.85967*100)</f>
        <v>5.5406313717312906E-3</v>
      </c>
      <c r="F105" s="48" t="str">
        <f>IF(OR(1770611.63183="",""="",2.976=""),"-",(2.976-"")/1770611.63183*100)</f>
        <v>-</v>
      </c>
      <c r="G105" s="48">
        <f>IF(OR(1881236.72041="",91.46202="",2.976=""),"-",(91.46202-2.976)/1881236.72041*100)</f>
        <v>4.7036090163451198E-3</v>
      </c>
    </row>
    <row r="106" spans="1:7" x14ac:dyDescent="0.25">
      <c r="A106" s="47" t="s">
        <v>139</v>
      </c>
      <c r="B106" s="48">
        <f>IF(78.03509="","-",78.03509)</f>
        <v>78.035089999999997</v>
      </c>
      <c r="C106" s="48">
        <f>IF(OR(327.2732="",78.03509=""),"-",78.03509/327.2732*100)</f>
        <v>23.844020836414348</v>
      </c>
      <c r="D106" s="48">
        <f>IF(327.2732="","-",327.2732/1881236.72041*100)</f>
        <v>1.7396704861718491E-2</v>
      </c>
      <c r="E106" s="48">
        <f>IF(78.03509="","-",78.03509/1650750.85967*100)</f>
        <v>4.7272481818122405E-3</v>
      </c>
      <c r="F106" s="48">
        <f>IF(OR(1770611.63183="",358.77035="",327.2732=""),"-",(327.2732-358.77035)/1770611.63183*100)</f>
        <v>-1.778885297813526E-3</v>
      </c>
      <c r="G106" s="48">
        <f>IF(OR(1881236.72041="",78.03509="",327.2732=""),"-",(78.03509-327.2732)/1881236.72041*100)</f>
        <v>-1.3248630929640825E-2</v>
      </c>
    </row>
    <row r="107" spans="1:7" x14ac:dyDescent="0.25">
      <c r="A107" s="47" t="s">
        <v>164</v>
      </c>
      <c r="B107" s="48">
        <f>IF(77.9029="","-",77.9029)</f>
        <v>77.902900000000002</v>
      </c>
      <c r="C107" s="48">
        <f>IF(OR(119.80262="",77.9029=""),"-",77.9029/119.80262*100)</f>
        <v>65.02604033200609</v>
      </c>
      <c r="D107" s="48">
        <f>IF(119.80262="","-",119.80262/1881236.72041*100)</f>
        <v>6.3682905346377676E-3</v>
      </c>
      <c r="E107" s="48">
        <f>IF(77.9029="","-",77.9029/1650750.85967*100)</f>
        <v>4.7192403107743043E-3</v>
      </c>
      <c r="F107" s="48">
        <f>IF(OR(1770611.63183="",80.6021="",119.80262=""),"-",(119.80262-80.6021)/1770611.63183*100)</f>
        <v>2.2139536019812915E-3</v>
      </c>
      <c r="G107" s="48">
        <f>IF(OR(1881236.72041="",77.9029="",119.80262=""),"-",(77.9029-119.80262)/1881236.72041*100)</f>
        <v>-2.2272433631248863E-3</v>
      </c>
    </row>
    <row r="108" spans="1:7" x14ac:dyDescent="0.25">
      <c r="A108" s="47" t="s">
        <v>110</v>
      </c>
      <c r="B108" s="48">
        <f>IF(75.38107="","-",75.38107)</f>
        <v>75.381069999999994</v>
      </c>
      <c r="C108" s="48" t="s">
        <v>106</v>
      </c>
      <c r="D108" s="48">
        <f>IF(45.07347="","-",45.07347/1881236.72041*100)</f>
        <v>2.3959488729401695E-3</v>
      </c>
      <c r="E108" s="48">
        <f>IF(75.38107="","-",75.38107/1650750.85967*100)</f>
        <v>4.5664716488513207E-3</v>
      </c>
      <c r="F108" s="48">
        <f>IF(OR(1770611.63183="",11.86669="",45.07347=""),"-",(45.07347-11.86669)/1770611.63183*100)</f>
        <v>1.8754411980045238E-3</v>
      </c>
      <c r="G108" s="48">
        <f>IF(OR(1881236.72041="",75.38107="",45.07347=""),"-",(75.38107-45.07347)/1881236.72041*100)</f>
        <v>1.6110465881930425E-3</v>
      </c>
    </row>
    <row r="109" spans="1:7" x14ac:dyDescent="0.25">
      <c r="A109" s="53" t="s">
        <v>165</v>
      </c>
      <c r="B109" s="54">
        <f>IF(65.73616="","-",65.73616)</f>
        <v>65.736159999999998</v>
      </c>
      <c r="C109" s="54">
        <f>IF(OR(72.00565="",65.73616=""),"-",65.73616/72.00565*100)</f>
        <v>91.293058253067642</v>
      </c>
      <c r="D109" s="54">
        <f>IF(72.00565="","-",72.00565/1881236.72041*100)</f>
        <v>3.8275698756457918E-3</v>
      </c>
      <c r="E109" s="54">
        <f>IF(65.73616="","-",65.73616/1650750.85967*100)</f>
        <v>3.982197532409055E-3</v>
      </c>
      <c r="F109" s="54" t="str">
        <f>IF(OR(1770611.63183="",""="",72.00565=""),"-",(72.00565-"")/1770611.63183*100)</f>
        <v>-</v>
      </c>
      <c r="G109" s="54">
        <f>IF(OR(1881236.72041="",65.73616="",72.00565=""),"-",(65.73616-72.00565)/1881236.72041*100)</f>
        <v>-3.332642793956106E-4</v>
      </c>
    </row>
    <row r="110" spans="1:7" x14ac:dyDescent="0.25">
      <c r="A110" s="49" t="s">
        <v>140</v>
      </c>
      <c r="B110" s="50">
        <f>IF(60.80411="","-",60.80411)</f>
        <v>60.804110000000001</v>
      </c>
      <c r="C110" s="50">
        <f>IF(OR(98.09369="",60.80411=""),"-",60.80411/98.09369*100)</f>
        <v>61.985750561529493</v>
      </c>
      <c r="D110" s="50">
        <f>IF(98.09369="","-",98.09369/1881236.72041*100)</f>
        <v>5.2143193323709565E-3</v>
      </c>
      <c r="E110" s="50">
        <f>IF(60.80411="","-",60.80411/1650750.85967*100)</f>
        <v>3.6834213742075708E-3</v>
      </c>
      <c r="F110" s="50">
        <f>IF(OR(1770611.63183="",77.7925="",98.09369=""),"-",(98.09369-77.7925)/1770611.63183*100)</f>
        <v>1.1465636865277946E-3</v>
      </c>
      <c r="G110" s="50">
        <f>IF(OR(1881236.72041="",60.80411="",98.09369=""),"-",(60.80411-98.09369)/1881236.72041*100)</f>
        <v>-1.9821843575258853E-3</v>
      </c>
    </row>
    <row r="111" spans="1:7" x14ac:dyDescent="0.25">
      <c r="A111" s="33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9"/>
  <sheetViews>
    <sheetView workbookViewId="0">
      <selection activeCell="F6" sqref="F6"/>
    </sheetView>
  </sheetViews>
  <sheetFormatPr defaultRowHeight="15.75" x14ac:dyDescent="0.25"/>
  <cols>
    <col min="1" max="1" width="43" customWidth="1"/>
    <col min="2" max="2" width="14.5" customWidth="1"/>
    <col min="3" max="3" width="14.75" customWidth="1"/>
    <col min="4" max="4" width="17.25" customWidth="1"/>
  </cols>
  <sheetData>
    <row r="1" spans="1:5" x14ac:dyDescent="0.25">
      <c r="A1" s="89" t="s">
        <v>169</v>
      </c>
      <c r="B1" s="89"/>
      <c r="C1" s="89"/>
      <c r="D1" s="89"/>
    </row>
    <row r="2" spans="1:5" x14ac:dyDescent="0.25">
      <c r="A2" s="4"/>
    </row>
    <row r="3" spans="1:5" ht="26.25" customHeight="1" x14ac:dyDescent="0.25">
      <c r="A3" s="90"/>
      <c r="B3" s="94" t="s">
        <v>194</v>
      </c>
      <c r="C3" s="95"/>
      <c r="D3" s="92" t="s">
        <v>195</v>
      </c>
      <c r="E3" s="1"/>
    </row>
    <row r="4" spans="1:5" ht="25.5" customHeight="1" x14ac:dyDescent="0.25">
      <c r="A4" s="91"/>
      <c r="B4" s="21">
        <v>2019</v>
      </c>
      <c r="C4" s="20">
        <v>2020</v>
      </c>
      <c r="D4" s="93"/>
      <c r="E4" s="1"/>
    </row>
    <row r="5" spans="1:5" ht="17.25" customHeight="1" x14ac:dyDescent="0.25">
      <c r="A5" s="68" t="s">
        <v>296</v>
      </c>
      <c r="B5" s="58">
        <v>-932769.85</v>
      </c>
      <c r="C5" s="44">
        <f>IF(-825916.32845="","-",-825916.32845)</f>
        <v>-825916.32845000003</v>
      </c>
      <c r="D5" s="58">
        <f>IF(-932769.85039="","-",-825916.32845/-932769.85039*100)</f>
        <v>88.544492310153089</v>
      </c>
    </row>
    <row r="6" spans="1:5" x14ac:dyDescent="0.25">
      <c r="A6" s="69" t="s">
        <v>160</v>
      </c>
      <c r="B6" s="74"/>
      <c r="C6" s="74"/>
      <c r="D6" s="41"/>
    </row>
    <row r="7" spans="1:5" x14ac:dyDescent="0.25">
      <c r="A7" s="45" t="s">
        <v>184</v>
      </c>
      <c r="B7" s="46">
        <f>IF(-312082.27727="","-",-312082.27727)</f>
        <v>-312082.27727000002</v>
      </c>
      <c r="C7" s="46">
        <f>IF(-248095.78505="","-",-248095.78505)</f>
        <v>-248095.78505000001</v>
      </c>
      <c r="D7" s="59">
        <f>IF(-312082.27727="","-",-248095.78505/-312082.27727*100)</f>
        <v>79.496915755763439</v>
      </c>
    </row>
    <row r="8" spans="1:5" x14ac:dyDescent="0.25">
      <c r="A8" s="47" t="s">
        <v>4</v>
      </c>
      <c r="B8" s="48">
        <f>IF(-73116.73075="","-",-73116.73075)</f>
        <v>-73116.730750000002</v>
      </c>
      <c r="C8" s="48">
        <f>IF(-66834.01901="","-",-66834.01901)</f>
        <v>-66834.019010000004</v>
      </c>
      <c r="D8" s="60">
        <f>IF(OR(-73116.73075="",-66834.01901="",-73116.73075=0),"-",-66834.01901/-73116.73075*100)</f>
        <v>91.407285753131134</v>
      </c>
    </row>
    <row r="9" spans="1:5" x14ac:dyDescent="0.25">
      <c r="A9" s="47" t="s">
        <v>297</v>
      </c>
      <c r="B9" s="48">
        <f>IF(-42388.26404="","-",-42388.26404)</f>
        <v>-42388.264040000002</v>
      </c>
      <c r="C9" s="48">
        <f>IF(-37862.42552="","-",-37862.42552)</f>
        <v>-37862.425519999997</v>
      </c>
      <c r="D9" s="60">
        <f>IF(OR(-42388.26404="",-37862.42552="",-42388.26404=0),"-",-37862.42552/-42388.26404*100)</f>
        <v>89.322897215773779</v>
      </c>
    </row>
    <row r="10" spans="1:5" x14ac:dyDescent="0.25">
      <c r="A10" s="47" t="s">
        <v>43</v>
      </c>
      <c r="B10" s="48">
        <f>IF(-35266.79337="","-",-35266.79337)</f>
        <v>-35266.793369999999</v>
      </c>
      <c r="C10" s="48">
        <f>IF(-33195.87522="","-",-33195.87522)</f>
        <v>-33195.875220000002</v>
      </c>
      <c r="D10" s="60">
        <f>IF(OR(-35266.79337="",-33195.87522="",-35266.79337=0),"-",-33195.87522/-35266.79337*100)</f>
        <v>94.127852429697668</v>
      </c>
    </row>
    <row r="11" spans="1:5" x14ac:dyDescent="0.25">
      <c r="A11" s="47" t="s">
        <v>5</v>
      </c>
      <c r="B11" s="48">
        <f>IF(-27242.56792="","-",-27242.56792)</f>
        <v>-27242.567920000001</v>
      </c>
      <c r="C11" s="48">
        <f>IF(-28893.14488="","-",-28893.14488)</f>
        <v>-28893.14488</v>
      </c>
      <c r="D11" s="60">
        <f>IF(OR(-27242.56792="",-28893.14488="",-27242.56792=0),"-",-28893.14488/-27242.56792*100)</f>
        <v>106.05881561843601</v>
      </c>
    </row>
    <row r="12" spans="1:5" x14ac:dyDescent="0.25">
      <c r="A12" s="47" t="s">
        <v>3</v>
      </c>
      <c r="B12" s="48">
        <f>IF(-29142.9553="","-",-29142.9553)</f>
        <v>-29142.955300000001</v>
      </c>
      <c r="C12" s="48">
        <f>IF(-28304.84897="","-",-28304.84897)</f>
        <v>-28304.848969999999</v>
      </c>
      <c r="D12" s="60">
        <f>IF(OR(-29142.9553="",-28304.84897="",-29142.9553=0),"-",-28304.84897/-29142.9553*100)</f>
        <v>97.124154632320341</v>
      </c>
    </row>
    <row r="13" spans="1:5" x14ac:dyDescent="0.25">
      <c r="A13" s="47" t="s">
        <v>8</v>
      </c>
      <c r="B13" s="48">
        <f>IF(-19151.30543="","-",-19151.30543)</f>
        <v>-19151.30543</v>
      </c>
      <c r="C13" s="48">
        <f>IF(-12181.33313="","-",-12181.33313)</f>
        <v>-12181.333130000001</v>
      </c>
      <c r="D13" s="60">
        <f>IF(OR(-19151.30543="",-12181.33313="",-19151.30543=0),"-",-12181.33313/-19151.30543*100)</f>
        <v>63.605758753751964</v>
      </c>
    </row>
    <row r="14" spans="1:5" x14ac:dyDescent="0.25">
      <c r="A14" s="47" t="s">
        <v>42</v>
      </c>
      <c r="B14" s="48">
        <f>IF(-8438.43807="","-",-8438.43807)</f>
        <v>-8438.4380700000002</v>
      </c>
      <c r="C14" s="48">
        <f>IF(-8625.13145="","-",-8625.13145)</f>
        <v>-8625.1314500000008</v>
      </c>
      <c r="D14" s="60">
        <f>IF(OR(-8438.43807="",-8625.13145="",-8438.43807=0),"-",-8625.13145/-8438.43807*100)</f>
        <v>102.21241630798626</v>
      </c>
    </row>
    <row r="15" spans="1:5" x14ac:dyDescent="0.25">
      <c r="A15" s="47" t="s">
        <v>53</v>
      </c>
      <c r="B15" s="48">
        <f>IF(-7448.13169="","-",-7448.13169)</f>
        <v>-7448.1316900000002</v>
      </c>
      <c r="C15" s="48">
        <f>IF(-8600.59361="","-",-8600.59361)</f>
        <v>-8600.5936099999999</v>
      </c>
      <c r="D15" s="60">
        <f>IF(OR(-7448.13169="",-8600.59361="",-7448.13169=0),"-",-8600.59361/-7448.13169*100)</f>
        <v>115.47316787574147</v>
      </c>
    </row>
    <row r="16" spans="1:5" x14ac:dyDescent="0.25">
      <c r="A16" s="47" t="s">
        <v>41</v>
      </c>
      <c r="B16" s="48">
        <f>IF(-16587.36316="","-",-16587.36316)</f>
        <v>-16587.363160000001</v>
      </c>
      <c r="C16" s="48">
        <f>IF(-8434.0924="","-",-8434.0924)</f>
        <v>-8434.0923999999995</v>
      </c>
      <c r="D16" s="60">
        <f>IF(OR(-16587.36316="",-8434.0924="",-16587.36316=0),"-",-8434.0924/-16587.36316*100)</f>
        <v>50.846492710418232</v>
      </c>
    </row>
    <row r="17" spans="1:4" x14ac:dyDescent="0.25">
      <c r="A17" s="47" t="s">
        <v>51</v>
      </c>
      <c r="B17" s="48">
        <f>IF(-8257.73682="","-",-8257.73682)</f>
        <v>-8257.7368200000001</v>
      </c>
      <c r="C17" s="48">
        <f>IF(-6086.77042="","-",-6086.77042)</f>
        <v>-6086.7704199999998</v>
      </c>
      <c r="D17" s="60">
        <f>IF(OR(-8257.73682="",-6086.77042="",-8257.73682=0),"-",-6086.77042/-8257.73682*100)</f>
        <v>73.709910507901128</v>
      </c>
    </row>
    <row r="18" spans="1:4" x14ac:dyDescent="0.25">
      <c r="A18" s="47" t="s">
        <v>10</v>
      </c>
      <c r="B18" s="48">
        <f>IF(-5200.01113="","-",-5200.01113)</f>
        <v>-5200.0111299999999</v>
      </c>
      <c r="C18" s="48">
        <f>IF(-5094.02901="","-",-5094.02901)</f>
        <v>-5094.0290100000002</v>
      </c>
      <c r="D18" s="60">
        <f>IF(OR(-5200.01113="",-5094.02901="",-5200.01113=0),"-",-5094.02901/-5200.01113*100)</f>
        <v>97.961886670038737</v>
      </c>
    </row>
    <row r="19" spans="1:4" x14ac:dyDescent="0.25">
      <c r="A19" s="47" t="s">
        <v>45</v>
      </c>
      <c r="B19" s="48">
        <f>IF(-7506.10863="","-",-7506.10863)</f>
        <v>-7506.1086299999997</v>
      </c>
      <c r="C19" s="48">
        <f>IF(-3785.98475="","-",-3785.98475)</f>
        <v>-3785.9847500000001</v>
      </c>
      <c r="D19" s="60">
        <f>IF(OR(-7506.10863="",-3785.98475="",-7506.10863=0),"-",-3785.98475/-7506.10863*100)</f>
        <v>50.438715140204415</v>
      </c>
    </row>
    <row r="20" spans="1:4" x14ac:dyDescent="0.25">
      <c r="A20" s="47" t="s">
        <v>49</v>
      </c>
      <c r="B20" s="48">
        <f>IF(-4216.58364="","-",-4216.58364)</f>
        <v>-4216.5836399999998</v>
      </c>
      <c r="C20" s="48">
        <f>IF(-3718.62757="","-",-3718.62757)</f>
        <v>-3718.6275700000001</v>
      </c>
      <c r="D20" s="60">
        <f>IF(OR(-4216.58364="",-3718.62757="",-4216.58364=0),"-",-3718.62757/-4216.58364*100)</f>
        <v>88.190532608526667</v>
      </c>
    </row>
    <row r="21" spans="1:4" x14ac:dyDescent="0.25">
      <c r="A21" s="47" t="s">
        <v>50</v>
      </c>
      <c r="B21" s="48">
        <f>IF(-3636.64329="","-",-3636.64329)</f>
        <v>-3636.64329</v>
      </c>
      <c r="C21" s="48">
        <f>IF(-3043.20736="","-",-3043.20736)</f>
        <v>-3043.2073599999999</v>
      </c>
      <c r="D21" s="60">
        <f>IF(OR(-3636.64329="",-3043.20736="",-3636.64329=0),"-",-3043.20736/-3636.64329*100)</f>
        <v>83.681766874638939</v>
      </c>
    </row>
    <row r="22" spans="1:4" x14ac:dyDescent="0.25">
      <c r="A22" s="47" t="s">
        <v>44</v>
      </c>
      <c r="B22" s="48">
        <f>IF(-2664.40513="","-",-2664.40513)</f>
        <v>-2664.4051300000001</v>
      </c>
      <c r="C22" s="48">
        <f>IF(-2872.96427="","-",-2872.96427)</f>
        <v>-2872.9642699999999</v>
      </c>
      <c r="D22" s="60">
        <f>IF(OR(-2664.40513="",-2872.96427="",-2664.40513=0),"-",-2872.96427/-2664.40513*100)</f>
        <v>107.82760615687599</v>
      </c>
    </row>
    <row r="23" spans="1:4" x14ac:dyDescent="0.25">
      <c r="A23" s="47" t="s">
        <v>54</v>
      </c>
      <c r="B23" s="48">
        <f>IF(-2137.28646="","-",-2137.28646)</f>
        <v>-2137.2864599999998</v>
      </c>
      <c r="C23" s="48">
        <f>IF(-2722.542="","-",-2722.542)</f>
        <v>-2722.5419999999999</v>
      </c>
      <c r="D23" s="60">
        <f>IF(OR(-2137.28646="",-2722.542="",-2137.28646=0),"-",-2722.542/-2137.28646*100)</f>
        <v>127.38311176125639</v>
      </c>
    </row>
    <row r="24" spans="1:4" x14ac:dyDescent="0.25">
      <c r="A24" s="47" t="s">
        <v>6</v>
      </c>
      <c r="B24" s="48">
        <f>IF(-1127.45983="","-",-1127.45983)</f>
        <v>-1127.45983</v>
      </c>
      <c r="C24" s="48">
        <f>IF(-2689.24063="","-",-2689.24063)</f>
        <v>-2689.2406299999998</v>
      </c>
      <c r="D24" s="60" t="s">
        <v>183</v>
      </c>
    </row>
    <row r="25" spans="1:4" x14ac:dyDescent="0.25">
      <c r="A25" s="47" t="s">
        <v>2</v>
      </c>
      <c r="B25" s="48">
        <f>IF(2597.5743="","-",2597.5743)</f>
        <v>2597.5743000000002</v>
      </c>
      <c r="C25" s="48">
        <f>IF(-2261.05256="","-",-2261.05256)</f>
        <v>-2261.0525600000001</v>
      </c>
      <c r="D25" s="60" t="s">
        <v>22</v>
      </c>
    </row>
    <row r="26" spans="1:4" x14ac:dyDescent="0.25">
      <c r="A26" s="47" t="s">
        <v>46</v>
      </c>
      <c r="B26" s="48">
        <f>IF(-1097.72948="","-",-1097.72948)</f>
        <v>-1097.72948</v>
      </c>
      <c r="C26" s="48">
        <f>IF(-2211.09688="","-",-2211.09688)</f>
        <v>-2211.0968800000001</v>
      </c>
      <c r="D26" s="60" t="s">
        <v>20</v>
      </c>
    </row>
    <row r="27" spans="1:4" x14ac:dyDescent="0.25">
      <c r="A27" s="47" t="s">
        <v>298</v>
      </c>
      <c r="B27" s="48">
        <f>IF(-1333.51042="","-",-1333.51042)</f>
        <v>-1333.5104200000001</v>
      </c>
      <c r="C27" s="48">
        <f>IF(-1111.24293="","-",-1111.24293)</f>
        <v>-1111.2429299999999</v>
      </c>
      <c r="D27" s="60">
        <f>IF(OR(-1333.51042="",-1111.24293="",-1333.51042=0),"-",-1111.24293/-1333.51042*100)</f>
        <v>83.332151990233399</v>
      </c>
    </row>
    <row r="28" spans="1:4" x14ac:dyDescent="0.25">
      <c r="A28" s="47" t="s">
        <v>55</v>
      </c>
      <c r="B28" s="48">
        <f>IF(-416.83046="","-",-416.83046)</f>
        <v>-416.83046000000002</v>
      </c>
      <c r="C28" s="48">
        <f>IF(-304.96193="","-",-304.96193)</f>
        <v>-304.96193</v>
      </c>
      <c r="D28" s="60">
        <f>IF(OR(-416.83046="",-304.96193="",-416.83046=0),"-",-304.96193/-416.83046*100)</f>
        <v>73.162102884707608</v>
      </c>
    </row>
    <row r="29" spans="1:4" x14ac:dyDescent="0.25">
      <c r="A29" s="47" t="s">
        <v>56</v>
      </c>
      <c r="B29" s="48">
        <f>IF(414.31419="","-",414.31419)</f>
        <v>414.31419</v>
      </c>
      <c r="C29" s="48">
        <f>IF(-16.53074="","-",-16.53074)</f>
        <v>-16.530740000000002</v>
      </c>
      <c r="D29" s="60" t="s">
        <v>22</v>
      </c>
    </row>
    <row r="30" spans="1:4" x14ac:dyDescent="0.25">
      <c r="A30" s="47" t="s">
        <v>7</v>
      </c>
      <c r="B30" s="48">
        <f>IF(-18564.72548="","-",-18564.72548)</f>
        <v>-18564.725480000001</v>
      </c>
      <c r="C30" s="48">
        <f>IF(1121.33289="","-",1121.33289)</f>
        <v>1121.3328899999999</v>
      </c>
      <c r="D30" s="60" t="s">
        <v>22</v>
      </c>
    </row>
    <row r="31" spans="1:4" x14ac:dyDescent="0.25">
      <c r="A31" s="47" t="s">
        <v>47</v>
      </c>
      <c r="B31" s="48">
        <f>IF(-488.40594="","-",-488.40594)</f>
        <v>-488.40593999999999</v>
      </c>
      <c r="C31" s="48">
        <f>IF(1187.75557="","-",1187.75557)</f>
        <v>1187.75557</v>
      </c>
      <c r="D31" s="60" t="s">
        <v>22</v>
      </c>
    </row>
    <row r="32" spans="1:4" x14ac:dyDescent="0.25">
      <c r="A32" s="47" t="s">
        <v>52</v>
      </c>
      <c r="B32" s="48">
        <f>IF(-5613.8957="","-",-5613.8957)</f>
        <v>-5613.8957</v>
      </c>
      <c r="C32" s="48">
        <f>IF(3030.33668="","-",3030.33668)</f>
        <v>3030.3366799999999</v>
      </c>
      <c r="D32" s="60" t="s">
        <v>22</v>
      </c>
    </row>
    <row r="33" spans="1:4" x14ac:dyDescent="0.25">
      <c r="A33" s="47" t="s">
        <v>48</v>
      </c>
      <c r="B33" s="48">
        <f>IF(4061.23973="","-",4061.23973)</f>
        <v>4061.2397299999998</v>
      </c>
      <c r="C33" s="48">
        <f>IF(6915.52499="","-",6915.52499)</f>
        <v>6915.5249899999999</v>
      </c>
      <c r="D33" s="60" t="s">
        <v>106</v>
      </c>
    </row>
    <row r="34" spans="1:4" x14ac:dyDescent="0.25">
      <c r="A34" s="47" t="s">
        <v>9</v>
      </c>
      <c r="B34" s="48">
        <f>IF(1888.47665="","-",1888.47665)</f>
        <v>1888.4766500000001</v>
      </c>
      <c r="C34" s="48">
        <f>IF(8498.98006="","-",8498.98006)</f>
        <v>8498.9800599999999</v>
      </c>
      <c r="D34" s="60" t="s">
        <v>181</v>
      </c>
    </row>
    <row r="35" spans="1:4" x14ac:dyDescent="0.25">
      <c r="A35" s="72" t="s">
        <v>185</v>
      </c>
      <c r="B35" s="46">
        <f>IF(-360026.83999="","-",-360026.83999)</f>
        <v>-360026.83999000001</v>
      </c>
      <c r="C35" s="46">
        <f>IF(-282877.94529="","-",-282877.94529)</f>
        <v>-282877.94529</v>
      </c>
      <c r="D35" s="59">
        <f>IF(-360026.83999="","-",-282877.94529/-360026.83999*100)</f>
        <v>78.571349096599889</v>
      </c>
    </row>
    <row r="36" spans="1:4" x14ac:dyDescent="0.25">
      <c r="A36" s="47" t="s">
        <v>299</v>
      </c>
      <c r="B36" s="48">
        <f>IF(-195611.53494="","-",-195611.53494)</f>
        <v>-195611.53494000001</v>
      </c>
      <c r="C36" s="48">
        <f>IF(-142606.41836="","-",-142606.41836)</f>
        <v>-142606.41836000001</v>
      </c>
      <c r="D36" s="60">
        <f>IF(OR(-195611.53494="",-142606.41836="",-195611.53494=0),"-",-142606.41836/-195611.53494*100)</f>
        <v>72.902867616545066</v>
      </c>
    </row>
    <row r="37" spans="1:4" x14ac:dyDescent="0.25">
      <c r="A37" s="47" t="s">
        <v>12</v>
      </c>
      <c r="B37" s="48">
        <f>IF(-151487.51101="","-",-151487.51101)</f>
        <v>-151487.51100999999</v>
      </c>
      <c r="C37" s="48">
        <f>IF(-128667.05083="","-",-128667.05083)</f>
        <v>-128667.05082999999</v>
      </c>
      <c r="D37" s="60">
        <f>IF(OR(-151487.51101="",-128667.05083="",-151487.51101=0),"-",-128667.05083/-151487.51101*100)</f>
        <v>84.935748149896284</v>
      </c>
    </row>
    <row r="38" spans="1:4" x14ac:dyDescent="0.25">
      <c r="A38" s="47" t="s">
        <v>11</v>
      </c>
      <c r="B38" s="48">
        <f>IF(-10865.60322="","-",-10865.60322)</f>
        <v>-10865.603220000001</v>
      </c>
      <c r="C38" s="48">
        <f>IF(-6660.04962="","-",-6660.04962)</f>
        <v>-6660.0496199999998</v>
      </c>
      <c r="D38" s="60">
        <f>IF(OR(-10865.60322="",-6660.04962="",-10865.60322=0),"-",-6660.04962/-10865.60322*100)</f>
        <v>61.294798688590426</v>
      </c>
    </row>
    <row r="39" spans="1:4" x14ac:dyDescent="0.25">
      <c r="A39" s="47" t="s">
        <v>14</v>
      </c>
      <c r="B39" s="48">
        <f>IF(1207.20999="","-",1207.20999)</f>
        <v>1207.2099900000001</v>
      </c>
      <c r="C39" s="48">
        <f>IF(-2491.83348="","-",-2491.83348)</f>
        <v>-2491.8334799999998</v>
      </c>
      <c r="D39" s="60" t="s">
        <v>22</v>
      </c>
    </row>
    <row r="40" spans="1:4" x14ac:dyDescent="0.25">
      <c r="A40" s="47" t="s">
        <v>16</v>
      </c>
      <c r="B40" s="48">
        <f>IF(-1768.52816="","-",-1768.52816)</f>
        <v>-1768.5281600000001</v>
      </c>
      <c r="C40" s="48">
        <f>IF(-1294.13212="","-",-1294.13212)</f>
        <v>-1294.13212</v>
      </c>
      <c r="D40" s="60">
        <f>IF(OR(-1768.52816="",-1294.13212="",-1768.52816=0),"-",-1294.13212/-1768.52816*100)</f>
        <v>73.175658113354544</v>
      </c>
    </row>
    <row r="41" spans="1:4" x14ac:dyDescent="0.25">
      <c r="A41" s="47" t="s">
        <v>15</v>
      </c>
      <c r="B41" s="48">
        <f>IF(-1931.98307="","-",-1931.98307)</f>
        <v>-1931.98307</v>
      </c>
      <c r="C41" s="48">
        <f>IF(-1220.69097="","-",-1220.69097)</f>
        <v>-1220.6909700000001</v>
      </c>
      <c r="D41" s="60">
        <f>IF(OR(-1931.98307="",-1220.69097="",-1931.98307=0),"-",-1220.69097/-1931.98307*100)</f>
        <v>63.183316093965573</v>
      </c>
    </row>
    <row r="42" spans="1:4" x14ac:dyDescent="0.25">
      <c r="A42" s="47" t="s">
        <v>13</v>
      </c>
      <c r="B42" s="48">
        <f>IF(211.499="","-",211.499)</f>
        <v>211.499</v>
      </c>
      <c r="C42" s="48">
        <f>IF(-134.41917="","-",-134.41917)</f>
        <v>-134.41917000000001</v>
      </c>
      <c r="D42" s="60" t="s">
        <v>22</v>
      </c>
    </row>
    <row r="43" spans="1:4" x14ac:dyDescent="0.25">
      <c r="A43" s="47" t="s">
        <v>17</v>
      </c>
      <c r="B43" s="48">
        <f>IF(-32.79006="","-",-32.79006)</f>
        <v>-32.790059999999997</v>
      </c>
      <c r="C43" s="48">
        <f>IF(-110.97913="","-",-110.97913)</f>
        <v>-110.97913</v>
      </c>
      <c r="D43" s="60" t="s">
        <v>215</v>
      </c>
    </row>
    <row r="44" spans="1:4" x14ac:dyDescent="0.25">
      <c r="A44" s="47" t="s">
        <v>18</v>
      </c>
      <c r="B44" s="48">
        <f>IF(73.88569="","-",73.88569)</f>
        <v>73.885689999999997</v>
      </c>
      <c r="C44" s="48">
        <f>IF(110.83798="","-",110.83798)</f>
        <v>110.83798</v>
      </c>
      <c r="D44" s="60" t="s">
        <v>132</v>
      </c>
    </row>
    <row r="45" spans="1:4" x14ac:dyDescent="0.25">
      <c r="A45" s="47" t="s">
        <v>133</v>
      </c>
      <c r="B45" s="48">
        <f>IF(178.51579="","-",178.51579)</f>
        <v>178.51579000000001</v>
      </c>
      <c r="C45" s="48">
        <f>IF(196.79041="","-",196.79041)</f>
        <v>196.79041000000001</v>
      </c>
      <c r="D45" s="60">
        <f>IF(OR(178.51579="",196.79041="",178.51579=0),"-",196.79041/178.51579*100)</f>
        <v>110.23697679628228</v>
      </c>
    </row>
    <row r="46" spans="1:4" x14ac:dyDescent="0.25">
      <c r="A46" s="45" t="s">
        <v>186</v>
      </c>
      <c r="B46" s="46">
        <f>IF(-260660.73313="","-",-260660.73313)</f>
        <v>-260660.73313000001</v>
      </c>
      <c r="C46" s="46">
        <f>IF(-294942.59811="","-",-294942.59811)</f>
        <v>-294942.59811000002</v>
      </c>
      <c r="D46" s="59">
        <f>IF(-260660.73313="","-",-294942.59811/-260660.73313*100)</f>
        <v>113.15190998212321</v>
      </c>
    </row>
    <row r="47" spans="1:4" x14ac:dyDescent="0.25">
      <c r="A47" s="47" t="s">
        <v>60</v>
      </c>
      <c r="B47" s="48">
        <f>IF(-176920.35216="","-",-176920.35216)</f>
        <v>-176920.35216000001</v>
      </c>
      <c r="C47" s="48">
        <f>IF(-164782.78015="","-",-164782.78015)</f>
        <v>-164782.78015000001</v>
      </c>
      <c r="D47" s="60">
        <f>IF(OR(-176920.35216="",-164782.78015="",-176920.35216=0),"-",-164782.78015/-176920.35216*100)</f>
        <v>93.139527554736475</v>
      </c>
    </row>
    <row r="48" spans="1:4" x14ac:dyDescent="0.25">
      <c r="A48" s="47" t="s">
        <v>57</v>
      </c>
      <c r="B48" s="48">
        <f>IF(-25335.15918="","-",-25335.15918)</f>
        <v>-25335.159179999999</v>
      </c>
      <c r="C48" s="48">
        <f>IF(-59950.14849="","-",-59950.14849)</f>
        <v>-59950.14849</v>
      </c>
      <c r="D48" s="60" t="s">
        <v>183</v>
      </c>
    </row>
    <row r="49" spans="1:5" x14ac:dyDescent="0.25">
      <c r="A49" s="47" t="s">
        <v>77</v>
      </c>
      <c r="B49" s="48">
        <f>IF(-14817.05769="","-",-14817.05769)</f>
        <v>-14817.05769</v>
      </c>
      <c r="C49" s="48">
        <f>IF(-15643.50495="","-",-15643.50495)</f>
        <v>-15643.50495</v>
      </c>
      <c r="D49" s="60">
        <f>IF(OR(-14817.05769="",-15643.50495="",-14817.05769=0),"-",-15643.50495/-14817.05769*100)</f>
        <v>105.5776745781166</v>
      </c>
    </row>
    <row r="50" spans="1:5" x14ac:dyDescent="0.25">
      <c r="A50" s="47" t="s">
        <v>19</v>
      </c>
      <c r="B50" s="48">
        <f>IF(-17702.71258="","-",-17702.71258)</f>
        <v>-17702.712579999999</v>
      </c>
      <c r="C50" s="48">
        <f>IF(-14672.47805="","-",-14672.47805)</f>
        <v>-14672.47805</v>
      </c>
      <c r="D50" s="60">
        <f>IF(OR(-17702.71258="",-14672.47805="",-17702.71258=0),"-",-14672.47805/-17702.71258*100)</f>
        <v>82.882654190389616</v>
      </c>
    </row>
    <row r="51" spans="1:5" x14ac:dyDescent="0.25">
      <c r="A51" s="47" t="s">
        <v>70</v>
      </c>
      <c r="B51" s="48">
        <f>IF(-11485.17279="","-",-11485.17279)</f>
        <v>-11485.172790000001</v>
      </c>
      <c r="C51" s="48">
        <f>IF(-11934.19482="","-",-11934.19482)</f>
        <v>-11934.194820000001</v>
      </c>
      <c r="D51" s="60">
        <f>IF(OR(-11485.17279="",-11934.19482="",-11485.17279=0),"-",-11934.19482/-11485.17279*100)</f>
        <v>103.90958010131948</v>
      </c>
    </row>
    <row r="52" spans="1:5" x14ac:dyDescent="0.25">
      <c r="A52" s="47" t="s">
        <v>37</v>
      </c>
      <c r="B52" s="48">
        <f>IF(-9318.01785="","-",-9318.01785)</f>
        <v>-9318.0178500000002</v>
      </c>
      <c r="C52" s="48">
        <f>IF(-11543.27326="","-",-11543.27326)</f>
        <v>-11543.27326</v>
      </c>
      <c r="D52" s="60">
        <f>IF(OR(-9318.01785="",-11543.27326="",-9318.01785=0),"-",-11543.27326/-9318.01785*100)</f>
        <v>123.88120999360395</v>
      </c>
    </row>
    <row r="53" spans="1:5" x14ac:dyDescent="0.25">
      <c r="A53" s="47" t="s">
        <v>73</v>
      </c>
      <c r="B53" s="48">
        <f>IF(-10465.31884="","-",-10465.31884)</f>
        <v>-10465.31884</v>
      </c>
      <c r="C53" s="48">
        <f>IF(-7480.90382="","-",-7480.90382)</f>
        <v>-7480.9038200000005</v>
      </c>
      <c r="D53" s="60">
        <f>IF(OR(-10465.31884="",-7480.90382="",-10465.31884=0),"-",-7480.90382/-10465.31884*100)</f>
        <v>71.482808449245496</v>
      </c>
    </row>
    <row r="54" spans="1:5" x14ac:dyDescent="0.25">
      <c r="A54" s="47" t="s">
        <v>80</v>
      </c>
      <c r="B54" s="48">
        <f>IF(-6623.78601="","-",-6623.78601)</f>
        <v>-6623.7860099999998</v>
      </c>
      <c r="C54" s="48">
        <f>IF(-7472.3006="","-",-7472.3006)</f>
        <v>-7472.3005999999996</v>
      </c>
      <c r="D54" s="60">
        <f>IF(OR(-6623.78601="",-7472.3006="",-6623.78601=0),"-",-7472.3006/-6623.78601*100)</f>
        <v>112.81011476999691</v>
      </c>
    </row>
    <row r="55" spans="1:5" x14ac:dyDescent="0.25">
      <c r="A55" s="47" t="s">
        <v>67</v>
      </c>
      <c r="B55" s="48">
        <f>IF(-2830.29782="","-",-2830.29782)</f>
        <v>-2830.2978199999998</v>
      </c>
      <c r="C55" s="48">
        <f>IF(-6623.10124="","-",-6623.10124)</f>
        <v>-6623.10124</v>
      </c>
      <c r="D55" s="60" t="s">
        <v>113</v>
      </c>
    </row>
    <row r="56" spans="1:5" x14ac:dyDescent="0.25">
      <c r="A56" s="47" t="s">
        <v>300</v>
      </c>
      <c r="B56" s="48">
        <f>IF(-2784.31168="","-",-2784.31168)</f>
        <v>-2784.3116799999998</v>
      </c>
      <c r="C56" s="48">
        <f>IF(-6078.18918="","-",-6078.18918)</f>
        <v>-6078.1891800000003</v>
      </c>
      <c r="D56" s="60" t="s">
        <v>100</v>
      </c>
    </row>
    <row r="57" spans="1:5" x14ac:dyDescent="0.25">
      <c r="A57" s="47" t="s">
        <v>71</v>
      </c>
      <c r="B57" s="48">
        <f>IF(-6848.07248="","-",-6848.07248)</f>
        <v>-6848.0724799999998</v>
      </c>
      <c r="C57" s="48">
        <f>IF(-4281.62687="","-",-4281.62687)</f>
        <v>-4281.6268700000001</v>
      </c>
      <c r="D57" s="60">
        <f>IF(OR(-6848.07248="",-4281.62687="",-6848.07248=0),"-",-4281.62687/-6848.07248*100)</f>
        <v>62.523095111867157</v>
      </c>
    </row>
    <row r="58" spans="1:5" x14ac:dyDescent="0.25">
      <c r="A58" s="47" t="s">
        <v>64</v>
      </c>
      <c r="B58" s="48">
        <f>IF(-2528.57748="","-",-2528.57748)</f>
        <v>-2528.5774799999999</v>
      </c>
      <c r="C58" s="48">
        <f>IF(-3953.55088="","-",-3953.55088)</f>
        <v>-3953.5508799999998</v>
      </c>
      <c r="D58" s="60" t="s">
        <v>107</v>
      </c>
    </row>
    <row r="59" spans="1:5" x14ac:dyDescent="0.25">
      <c r="A59" s="47" t="s">
        <v>84</v>
      </c>
      <c r="B59" s="48">
        <f>IF(-2233.29956="","-",-2233.29956)</f>
        <v>-2233.2995599999999</v>
      </c>
      <c r="C59" s="48">
        <f>IF(-3411.63869="","-",-3411.63869)</f>
        <v>-3411.6386900000002</v>
      </c>
      <c r="D59" s="60" t="s">
        <v>132</v>
      </c>
    </row>
    <row r="60" spans="1:5" x14ac:dyDescent="0.25">
      <c r="A60" s="47" t="s">
        <v>75</v>
      </c>
      <c r="B60" s="48">
        <f>IF(-2046.48617="","-",-2046.48617)</f>
        <v>-2046.4861699999999</v>
      </c>
      <c r="C60" s="48">
        <f>IF(-3059.65325="","-",-3059.65325)</f>
        <v>-3059.6532499999998</v>
      </c>
      <c r="D60" s="60">
        <f>IF(OR(-2046.48617="",-3059.65325="",-2046.48617=0),"-",-3059.65325/-2046.48617*100)</f>
        <v>149.50764363093643</v>
      </c>
    </row>
    <row r="61" spans="1:5" x14ac:dyDescent="0.25">
      <c r="A61" s="47" t="s">
        <v>72</v>
      </c>
      <c r="B61" s="48">
        <f>IF(-2840.1173="","-",-2840.1173)</f>
        <v>-2840.1172999999999</v>
      </c>
      <c r="C61" s="48">
        <f>IF(-2991.09478="","-",-2991.09478)</f>
        <v>-2991.0947799999999</v>
      </c>
      <c r="D61" s="60">
        <f>IF(OR(-2840.1173="",-2991.09478="",-2840.1173=0),"-",-2991.09478/-2840.1173*100)</f>
        <v>105.31588888951875</v>
      </c>
      <c r="E61" s="1"/>
    </row>
    <row r="62" spans="1:5" x14ac:dyDescent="0.25">
      <c r="A62" s="47" t="s">
        <v>79</v>
      </c>
      <c r="B62" s="48">
        <f>IF(-2926.96618="","-",-2926.96618)</f>
        <v>-2926.9661799999999</v>
      </c>
      <c r="C62" s="48">
        <f>IF(-2982.54892="","-",-2982.54892)</f>
        <v>-2982.5489200000002</v>
      </c>
      <c r="D62" s="60">
        <f>IF(OR(-2926.96618="",-2982.54892="",-2926.96618=0),"-",-2982.54892/-2926.96618*100)</f>
        <v>101.89898811881729</v>
      </c>
    </row>
    <row r="63" spans="1:5" x14ac:dyDescent="0.25">
      <c r="A63" s="47" t="s">
        <v>63</v>
      </c>
      <c r="B63" s="48">
        <f>IF(-1670.51351="","-",-1670.51351)</f>
        <v>-1670.51351</v>
      </c>
      <c r="C63" s="48">
        <f>IF(-2245.29392="","-",-2245.29392)</f>
        <v>-2245.2939200000001</v>
      </c>
      <c r="D63" s="60">
        <f>IF(OR(-1670.51351="",-2245.29392="",-1670.51351=0),"-",-2245.29392/-1670.51351*100)</f>
        <v>134.40740865364208</v>
      </c>
    </row>
    <row r="64" spans="1:5" x14ac:dyDescent="0.25">
      <c r="A64" s="47" t="s">
        <v>83</v>
      </c>
      <c r="B64" s="48">
        <f>IF(-3283.65663="","-",-3283.65663)</f>
        <v>-3283.65663</v>
      </c>
      <c r="C64" s="48">
        <f>IF(-2192.43259="","-",-2192.43259)</f>
        <v>-2192.4325899999999</v>
      </c>
      <c r="D64" s="60">
        <f>IF(OR(-3283.65663="",-2192.43259="",-3283.65663=0),"-",-2192.43259/-3283.65663*100)</f>
        <v>66.768022270343167</v>
      </c>
    </row>
    <row r="65" spans="1:5" x14ac:dyDescent="0.25">
      <c r="A65" s="47" t="s">
        <v>81</v>
      </c>
      <c r="B65" s="48">
        <f>IF(-2321.87266="","-",-2321.87266)</f>
        <v>-2321.87266</v>
      </c>
      <c r="C65" s="48">
        <f>IF(-2046.16877="","-",-2046.16877)</f>
        <v>-2046.16877</v>
      </c>
      <c r="D65" s="60">
        <f>IF(OR(-2321.87266="",-2046.16877="",-2321.87266=0),"-",-2046.16877/-2321.87266*100)</f>
        <v>88.125796269981493</v>
      </c>
    </row>
    <row r="66" spans="1:5" x14ac:dyDescent="0.25">
      <c r="A66" s="47" t="s">
        <v>85</v>
      </c>
      <c r="B66" s="48">
        <f>IF(-1224.12378="","-",-1224.12378)</f>
        <v>-1224.1237799999999</v>
      </c>
      <c r="C66" s="48">
        <f>IF(-1799.36302="","-",-1799.36302)</f>
        <v>-1799.36302</v>
      </c>
      <c r="D66" s="60">
        <f>IF(OR(-1224.12378="",-1799.36302="",-1224.12378=0),"-",-1799.36302/-1224.12378*100)</f>
        <v>146.9919177617806</v>
      </c>
    </row>
    <row r="67" spans="1:5" x14ac:dyDescent="0.25">
      <c r="A67" s="47" t="s">
        <v>76</v>
      </c>
      <c r="B67" s="48">
        <f>IF(-229.09924="","-",-229.09924)</f>
        <v>-229.09924000000001</v>
      </c>
      <c r="C67" s="48">
        <f>IF(-1704.72281="","-",-1704.72281)</f>
        <v>-1704.72281</v>
      </c>
      <c r="D67" s="60" t="s">
        <v>308</v>
      </c>
    </row>
    <row r="68" spans="1:5" x14ac:dyDescent="0.25">
      <c r="A68" s="47" t="s">
        <v>87</v>
      </c>
      <c r="B68" s="48">
        <f>IF(-584.15116="","-",-584.15116)</f>
        <v>-584.15116</v>
      </c>
      <c r="C68" s="48">
        <f>IF(-1640.81201="","-",-1640.81201)</f>
        <v>-1640.8120100000001</v>
      </c>
      <c r="D68" s="60" t="s">
        <v>182</v>
      </c>
      <c r="E68" s="1"/>
    </row>
    <row r="69" spans="1:5" x14ac:dyDescent="0.25">
      <c r="A69" s="47" t="s">
        <v>82</v>
      </c>
      <c r="B69" s="48">
        <f>IF(-901.95123="","-",-901.95123)</f>
        <v>-901.95123000000001</v>
      </c>
      <c r="C69" s="48">
        <f>IF(-1481.59718="","-",-1481.59718)</f>
        <v>-1481.59718</v>
      </c>
      <c r="D69" s="60" t="s">
        <v>107</v>
      </c>
    </row>
    <row r="70" spans="1:5" x14ac:dyDescent="0.25">
      <c r="A70" s="47" t="s">
        <v>86</v>
      </c>
      <c r="B70" s="48">
        <f>IF(-1562.23736="","-",-1562.23736)</f>
        <v>-1562.2373600000001</v>
      </c>
      <c r="C70" s="48">
        <f>IF(-999.49381="","-",-999.49381)</f>
        <v>-999.49381000000005</v>
      </c>
      <c r="D70" s="60">
        <f>IF(OR(-1562.23736="",-999.49381="",-1562.23736=0),"-",-999.49381/-1562.23736*100)</f>
        <v>63.978357936594222</v>
      </c>
    </row>
    <row r="71" spans="1:5" x14ac:dyDescent="0.25">
      <c r="A71" s="47" t="s">
        <v>89</v>
      </c>
      <c r="B71" s="48">
        <f>IF(-981.19554="","-",-981.19554)</f>
        <v>-981.19554000000005</v>
      </c>
      <c r="C71" s="48">
        <f>IF(-894.804="","-",-894.804)</f>
        <v>-894.80399999999997</v>
      </c>
      <c r="D71" s="60">
        <f>IF(OR(-981.19554="",-894.804="",-981.19554=0),"-",-894.804/-981.19554*100)</f>
        <v>91.195277956522304</v>
      </c>
    </row>
    <row r="72" spans="1:5" x14ac:dyDescent="0.25">
      <c r="A72" s="47" t="s">
        <v>62</v>
      </c>
      <c r="B72" s="48">
        <f>IF(-1470.98209="","-",-1470.98209)</f>
        <v>-1470.98209</v>
      </c>
      <c r="C72" s="48">
        <f>IF(-877.0755="","-",-877.0755)</f>
        <v>-877.07550000000003</v>
      </c>
      <c r="D72" s="60">
        <f>IF(OR(-1470.98209="",-877.0755="",-1470.98209=0),"-",-877.0755/-1470.98209*100)</f>
        <v>59.62516511672824</v>
      </c>
    </row>
    <row r="73" spans="1:5" x14ac:dyDescent="0.25">
      <c r="A73" s="47" t="s">
        <v>149</v>
      </c>
      <c r="B73" s="48">
        <f>IF(-2179.53428="","-",-2179.53428)</f>
        <v>-2179.5342799999999</v>
      </c>
      <c r="C73" s="48">
        <f>IF(-783.62084="","-",-783.62084)</f>
        <v>-783.62084000000004</v>
      </c>
      <c r="D73" s="60">
        <f>IF(OR(-2179.53428="",-783.62084="",-2179.53428=0),"-",-783.62084/-2179.53428*100)</f>
        <v>35.953590966231566</v>
      </c>
    </row>
    <row r="74" spans="1:5" x14ac:dyDescent="0.25">
      <c r="A74" s="47" t="s">
        <v>39</v>
      </c>
      <c r="B74" s="48">
        <f>IF(-405.0443="","-",-405.0443)</f>
        <v>-405.04430000000002</v>
      </c>
      <c r="C74" s="48">
        <f>IF(-674.69716="","-",-674.69716)</f>
        <v>-674.69716000000005</v>
      </c>
      <c r="D74" s="60" t="s">
        <v>106</v>
      </c>
    </row>
    <row r="75" spans="1:5" x14ac:dyDescent="0.25">
      <c r="A75" s="47" t="s">
        <v>74</v>
      </c>
      <c r="B75" s="48">
        <f>IF(-653.14099="","-",-653.14099)</f>
        <v>-653.14098999999999</v>
      </c>
      <c r="C75" s="48">
        <f>IF(-639.10389="","-",-639.10389)</f>
        <v>-639.10388999999998</v>
      </c>
      <c r="D75" s="60">
        <f>IF(OR(-653.14099="",-639.10389="",-653.14099=0),"-",-639.10389/-653.14099*100)</f>
        <v>97.850831563947622</v>
      </c>
    </row>
    <row r="76" spans="1:5" x14ac:dyDescent="0.25">
      <c r="A76" s="47" t="s">
        <v>151</v>
      </c>
      <c r="B76" s="48">
        <f>IF(63.4274="","-",63.4274)</f>
        <v>63.427399999999999</v>
      </c>
      <c r="C76" s="48">
        <f>IF(-625.6032="","-",-625.6032)</f>
        <v>-625.60320000000002</v>
      </c>
      <c r="D76" s="60" t="s">
        <v>22</v>
      </c>
      <c r="E76" s="12"/>
    </row>
    <row r="77" spans="1:5" x14ac:dyDescent="0.25">
      <c r="A77" s="47" t="s">
        <v>301</v>
      </c>
      <c r="B77" s="48">
        <f>IF(3="","-",3)</f>
        <v>3</v>
      </c>
      <c r="C77" s="48">
        <f>IF(-625.2805="","-",-625.2805)</f>
        <v>-625.28049999999996</v>
      </c>
      <c r="D77" s="60" t="s">
        <v>22</v>
      </c>
    </row>
    <row r="78" spans="1:5" x14ac:dyDescent="0.25">
      <c r="A78" s="47" t="s">
        <v>153</v>
      </c>
      <c r="B78" s="48">
        <f>IF(-1580.77483="","-",-1580.77483)</f>
        <v>-1580.7748300000001</v>
      </c>
      <c r="C78" s="48">
        <f>IF(-578.18535="","-",-578.18535)</f>
        <v>-578.18534999999997</v>
      </c>
      <c r="D78" s="60">
        <f>IF(OR(-1580.77483="",-578.18535="",-1580.77483=0),"-",-578.18535/-1580.77483*100)</f>
        <v>36.57607263395002</v>
      </c>
    </row>
    <row r="79" spans="1:5" x14ac:dyDescent="0.25">
      <c r="A79" s="47" t="s">
        <v>92</v>
      </c>
      <c r="B79" s="48">
        <f>IF(263.48755="","-",263.48755)</f>
        <v>263.48755</v>
      </c>
      <c r="C79" s="48">
        <f>IF(-538.17018="","-",-538.17018)</f>
        <v>-538.17017999999996</v>
      </c>
      <c r="D79" s="60" t="s">
        <v>22</v>
      </c>
    </row>
    <row r="80" spans="1:5" x14ac:dyDescent="0.25">
      <c r="A80" s="47" t="s">
        <v>98</v>
      </c>
      <c r="B80" s="48">
        <f>IF(-340.19159="","-",-340.19159)</f>
        <v>-340.19159000000002</v>
      </c>
      <c r="C80" s="48">
        <f>IF(-442.03372="","-",-442.03372)</f>
        <v>-442.03372000000002</v>
      </c>
      <c r="D80" s="60">
        <f>IF(OR(-340.19159="",-442.03372="",-340.19159=0),"-",-442.03372/-340.19159*100)</f>
        <v>129.93669831755687</v>
      </c>
    </row>
    <row r="81" spans="1:5" x14ac:dyDescent="0.25">
      <c r="A81" s="47" t="s">
        <v>90</v>
      </c>
      <c r="B81" s="48">
        <f>IF(-505.9109="","-",-505.9109)</f>
        <v>-505.91090000000003</v>
      </c>
      <c r="C81" s="48">
        <f>IF(-426.62075="","-",-426.62075)</f>
        <v>-426.62074999999999</v>
      </c>
      <c r="D81" s="60">
        <f>IF(OR(-505.9109="",-426.62075="",-505.9109=0),"-",-426.62075/-505.9109*100)</f>
        <v>84.327250114595273</v>
      </c>
    </row>
    <row r="82" spans="1:5" x14ac:dyDescent="0.25">
      <c r="A82" s="47" t="s">
        <v>95</v>
      </c>
      <c r="B82" s="48">
        <f>IF(-210.58651="","-",-210.58651)</f>
        <v>-210.58651</v>
      </c>
      <c r="C82" s="48">
        <f>IF(-421.27291="","-",-421.27291)</f>
        <v>-421.27291000000002</v>
      </c>
      <c r="D82" s="60" t="s">
        <v>20</v>
      </c>
    </row>
    <row r="83" spans="1:5" x14ac:dyDescent="0.25">
      <c r="A83" s="47" t="s">
        <v>93</v>
      </c>
      <c r="B83" s="48">
        <f>IF(-261.40139="","-",-261.40139)</f>
        <v>-261.40138999999999</v>
      </c>
      <c r="C83" s="48">
        <f>IF(-332.39895="","-",-332.39895)</f>
        <v>-332.39895000000001</v>
      </c>
      <c r="D83" s="60">
        <f>IF(OR(-261.40139="",-332.39895="",-261.40139=0),"-",-332.39895/-261.40139*100)</f>
        <v>127.16036054743245</v>
      </c>
    </row>
    <row r="84" spans="1:5" x14ac:dyDescent="0.25">
      <c r="A84" s="47" t="s">
        <v>115</v>
      </c>
      <c r="B84" s="48">
        <f>IF(32.46873="","-",32.46873)</f>
        <v>32.468730000000001</v>
      </c>
      <c r="C84" s="48">
        <f>IF(-326.97397="","-",-326.97397)</f>
        <v>-326.97397000000001</v>
      </c>
      <c r="D84" s="60" t="s">
        <v>22</v>
      </c>
    </row>
    <row r="85" spans="1:5" x14ac:dyDescent="0.25">
      <c r="A85" s="47" t="s">
        <v>210</v>
      </c>
      <c r="B85" s="48">
        <f>IF(-433.2355="","-",-433.2355)</f>
        <v>-433.2355</v>
      </c>
      <c r="C85" s="48">
        <f>IF(-281.41302="","-",-281.41302)</f>
        <v>-281.41302000000002</v>
      </c>
      <c r="D85" s="60">
        <f>IF(OR(-433.2355="",-281.41302="",-433.2355=0),"-",-281.41302/-433.2355*100)</f>
        <v>64.956131249632136</v>
      </c>
    </row>
    <row r="86" spans="1:5" x14ac:dyDescent="0.25">
      <c r="A86" s="47" t="s">
        <v>155</v>
      </c>
      <c r="B86" s="48">
        <f>IF(-81.60976="","-",-81.60976)</f>
        <v>-81.609759999999994</v>
      </c>
      <c r="C86" s="48">
        <f>IF(-169.99808="","-",-169.99808)</f>
        <v>-169.99807999999999</v>
      </c>
      <c r="D86" s="60" t="s">
        <v>96</v>
      </c>
    </row>
    <row r="87" spans="1:5" x14ac:dyDescent="0.25">
      <c r="A87" s="47" t="s">
        <v>99</v>
      </c>
      <c r="B87" s="48">
        <f>IF(-403.98357="","-",-403.98357)</f>
        <v>-403.98356999999999</v>
      </c>
      <c r="C87" s="48">
        <f>IF(-152.2291="","-",-152.2291)</f>
        <v>-152.22909999999999</v>
      </c>
      <c r="D87" s="60">
        <f>IF(OR(-403.98357="",-152.2291="",-403.98357=0),"-",-152.2291/-403.98357*100)</f>
        <v>37.682002760656822</v>
      </c>
    </row>
    <row r="88" spans="1:5" x14ac:dyDescent="0.25">
      <c r="A88" s="47" t="s">
        <v>103</v>
      </c>
      <c r="B88" s="48">
        <f>IF(85.36562="","-",85.36562)</f>
        <v>85.365620000000007</v>
      </c>
      <c r="C88" s="48">
        <f>IF(-149.13465="","-",-149.13465)</f>
        <v>-149.13464999999999</v>
      </c>
      <c r="D88" s="60" t="s">
        <v>22</v>
      </c>
    </row>
    <row r="89" spans="1:5" x14ac:dyDescent="0.25">
      <c r="A89" s="47" t="s">
        <v>91</v>
      </c>
      <c r="B89" s="48">
        <f>IF(-204.81655="","-",-204.81655)</f>
        <v>-204.81655000000001</v>
      </c>
      <c r="C89" s="48">
        <f>IF(-148.96861="","-",-148.96861)</f>
        <v>-148.96861000000001</v>
      </c>
      <c r="D89" s="60">
        <f>IF(OR(-204.81655="",-148.96861="",-204.81655=0),"-",-148.96861/-204.81655*100)</f>
        <v>72.732701532175994</v>
      </c>
    </row>
    <row r="90" spans="1:5" x14ac:dyDescent="0.25">
      <c r="A90" s="47" t="s">
        <v>209</v>
      </c>
      <c r="B90" s="48">
        <f>IF(-197.79015="","-",-197.79015)</f>
        <v>-197.79015000000001</v>
      </c>
      <c r="C90" s="48">
        <f>IF(-136.56209="","-",-136.56209)</f>
        <v>-136.56209000000001</v>
      </c>
      <c r="D90" s="60">
        <f>IF(OR(-197.79015="",-136.56209="",-197.79015=0),"-",-136.56209/-197.79015*100)</f>
        <v>69.043928628397325</v>
      </c>
    </row>
    <row r="91" spans="1:5" x14ac:dyDescent="0.25">
      <c r="A91" s="47" t="s">
        <v>163</v>
      </c>
      <c r="B91" s="48">
        <f>IF(-2.07269="","-",-2.07269)</f>
        <v>-2.0726900000000001</v>
      </c>
      <c r="C91" s="48">
        <f>IF(-110.60563="","-",-110.60563)</f>
        <v>-110.60563</v>
      </c>
      <c r="D91" s="60" t="s">
        <v>213</v>
      </c>
    </row>
    <row r="92" spans="1:5" x14ac:dyDescent="0.25">
      <c r="A92" s="47" t="s">
        <v>302</v>
      </c>
      <c r="B92" s="48">
        <f>IF(-2.976="","-",-2.976)</f>
        <v>-2.976</v>
      </c>
      <c r="C92" s="48">
        <f>IF(-90.86414="","-",-90.86414)</f>
        <v>-90.864140000000006</v>
      </c>
      <c r="D92" s="60" t="s">
        <v>309</v>
      </c>
    </row>
    <row r="93" spans="1:5" x14ac:dyDescent="0.25">
      <c r="A93" s="47" t="s">
        <v>139</v>
      </c>
      <c r="B93" s="48">
        <f>IF(-327.2732="","-",-327.2732)</f>
        <v>-327.27319999999997</v>
      </c>
      <c r="C93" s="48">
        <f>IF(-78.03509="","-",-78.03509)</f>
        <v>-78.035089999999997</v>
      </c>
      <c r="D93" s="60">
        <f>IF(OR(-327.2732="",-78.03509="",-327.2732=0),"-",-78.03509/-327.2732*100)</f>
        <v>23.844020836414348</v>
      </c>
    </row>
    <row r="94" spans="1:5" x14ac:dyDescent="0.25">
      <c r="A94" s="47" t="s">
        <v>164</v>
      </c>
      <c r="B94" s="48">
        <f>IF(-119.80262="","-",-119.80262)</f>
        <v>-119.80262</v>
      </c>
      <c r="C94" s="48">
        <f>IF(-77.9029="","-",-77.9029)</f>
        <v>-77.902900000000002</v>
      </c>
      <c r="D94" s="60">
        <f>IF(OR(-119.80262="",-77.9029="",-119.80262=0),"-",-77.9029/-119.80262*100)</f>
        <v>65.02604033200609</v>
      </c>
    </row>
    <row r="95" spans="1:5" x14ac:dyDescent="0.25">
      <c r="A95" s="47" t="s">
        <v>104</v>
      </c>
      <c r="B95" s="48">
        <f>IF(-98.37831="","-",-98.37831)</f>
        <v>-98.378309999999999</v>
      </c>
      <c r="C95" s="48">
        <f>IF(-73.16214="","-",-73.16214)</f>
        <v>-73.162139999999994</v>
      </c>
      <c r="D95" s="60">
        <f>IF(OR(-98.37831="",-73.16214="",-98.37831=0),"-",-73.16214/-98.37831*100)</f>
        <v>74.368161030617415</v>
      </c>
    </row>
    <row r="96" spans="1:5" x14ac:dyDescent="0.25">
      <c r="A96" s="47" t="s">
        <v>165</v>
      </c>
      <c r="B96" s="48">
        <f>IF(-25.62046="","-",-25.62046)</f>
        <v>-25.620460000000001</v>
      </c>
      <c r="C96" s="48">
        <f>IF(-65.34107="","-",-65.34107)</f>
        <v>-65.341070000000002</v>
      </c>
      <c r="D96" s="60" t="s">
        <v>157</v>
      </c>
      <c r="E96" s="12"/>
    </row>
    <row r="97" spans="1:5" x14ac:dyDescent="0.25">
      <c r="A97" s="47" t="s">
        <v>140</v>
      </c>
      <c r="B97" s="48">
        <f>IF(-98.09369="","-",-98.09369)</f>
        <v>-98.093689999999995</v>
      </c>
      <c r="C97" s="48">
        <f>IF(-60.80411="","-",-60.80411)</f>
        <v>-60.804110000000001</v>
      </c>
      <c r="D97" s="60">
        <f>IF(OR(-98.09369="",-60.80411="",-98.09369=0),"-",-60.80411/-98.09369*100)</f>
        <v>61.985750561529493</v>
      </c>
    </row>
    <row r="98" spans="1:5" x14ac:dyDescent="0.25">
      <c r="A98" s="47" t="s">
        <v>176</v>
      </c>
      <c r="B98" s="48">
        <f>IF(-26.40084="","-",-26.40084)</f>
        <v>-26.400839999999999</v>
      </c>
      <c r="C98" s="48">
        <f>IF(-44.31296="","-",-44.31296)</f>
        <v>-44.312959999999997</v>
      </c>
      <c r="D98" s="60" t="s">
        <v>106</v>
      </c>
      <c r="E98" s="11"/>
    </row>
    <row r="99" spans="1:5" x14ac:dyDescent="0.25">
      <c r="A99" s="47" t="s">
        <v>303</v>
      </c>
      <c r="B99" s="48">
        <f>IF(-38.64161="","-",-38.64161)</f>
        <v>-38.64161</v>
      </c>
      <c r="C99" s="48">
        <f>IF(-38.15714="","-",-38.15714)</f>
        <v>-38.157139999999998</v>
      </c>
      <c r="D99" s="60">
        <f>IF(OR(-38.64161="",-38.15714="",-38.64161=0),"-",-38.15714/-38.64161*100)</f>
        <v>98.746247891845087</v>
      </c>
    </row>
    <row r="100" spans="1:5" x14ac:dyDescent="0.25">
      <c r="A100" s="47" t="s">
        <v>177</v>
      </c>
      <c r="B100" s="48">
        <f>IF(-119.24538="","-",-119.24538)</f>
        <v>-119.24538</v>
      </c>
      <c r="C100" s="48">
        <f>IF(-37.76302="","-",-37.76302)</f>
        <v>-37.763019999999997</v>
      </c>
      <c r="D100" s="60">
        <f>IF(OR(-119.24538="",-37.76302="",-119.24538=0),"-",-37.76302/-119.24538*100)</f>
        <v>31.668329624174955</v>
      </c>
      <c r="E100" s="11"/>
    </row>
    <row r="101" spans="1:5" x14ac:dyDescent="0.25">
      <c r="A101" s="47" t="s">
        <v>156</v>
      </c>
      <c r="B101" s="48">
        <f>IF(-16.58063="","-",-16.58063)</f>
        <v>-16.580629999999999</v>
      </c>
      <c r="C101" s="48">
        <f>IF(-30.40966="","-",-30.40966)</f>
        <v>-30.409659999999999</v>
      </c>
      <c r="D101" s="60" t="s">
        <v>105</v>
      </c>
      <c r="E101" s="1"/>
    </row>
    <row r="102" spans="1:5" x14ac:dyDescent="0.25">
      <c r="A102" s="47" t="s">
        <v>304</v>
      </c>
      <c r="B102" s="48">
        <f>IF(-6.02778="","-",-6.02778)</f>
        <v>-6.0277799999999999</v>
      </c>
      <c r="C102" s="48">
        <f>IF(-24.53194="","-",-24.53194)</f>
        <v>-24.531939999999999</v>
      </c>
      <c r="D102" s="60" t="s">
        <v>180</v>
      </c>
    </row>
    <row r="103" spans="1:5" x14ac:dyDescent="0.25">
      <c r="A103" s="47" t="s">
        <v>305</v>
      </c>
      <c r="B103" s="48">
        <f>IF(-48.26714="","-",-48.26714)</f>
        <v>-48.267139999999998</v>
      </c>
      <c r="C103" s="48">
        <f>IF(-22.78218="","-",-22.78218)</f>
        <v>-22.78218</v>
      </c>
      <c r="D103" s="60">
        <f>IF(OR(-48.26714="",-22.78218="",-48.26714=0),"-",-22.78218/-48.26714*100)</f>
        <v>47.200186296515604</v>
      </c>
    </row>
    <row r="104" spans="1:5" x14ac:dyDescent="0.25">
      <c r="A104" s="47" t="s">
        <v>306</v>
      </c>
      <c r="B104" s="48">
        <f>IF(-263.67519="","-",-263.67519)</f>
        <v>-263.67518999999999</v>
      </c>
      <c r="C104" s="48">
        <f>IF(22.8079="","-",22.8079)</f>
        <v>22.8079</v>
      </c>
      <c r="D104" s="60" t="s">
        <v>22</v>
      </c>
    </row>
    <row r="105" spans="1:5" x14ac:dyDescent="0.25">
      <c r="A105" s="47" t="s">
        <v>150</v>
      </c>
      <c r="B105" s="48">
        <f>IF(-28.55638="","-",-28.55638)</f>
        <v>-28.556380000000001</v>
      </c>
      <c r="C105" s="48">
        <f>IF(32.89396="","-",32.89396)</f>
        <v>32.89396</v>
      </c>
      <c r="D105" s="60" t="s">
        <v>22</v>
      </c>
      <c r="E105" s="12"/>
    </row>
    <row r="106" spans="1:5" x14ac:dyDescent="0.25">
      <c r="A106" s="47" t="s">
        <v>162</v>
      </c>
      <c r="B106" s="48" t="str">
        <f>IF(OR(0="",50.18097="",0=0),"-",50.18097/0*100)</f>
        <v>-</v>
      </c>
      <c r="C106" s="48">
        <f>IF(50.18097="","-",50.18097)</f>
        <v>50.180970000000002</v>
      </c>
      <c r="D106" s="60" t="s">
        <v>22</v>
      </c>
      <c r="E106" s="10"/>
    </row>
    <row r="107" spans="1:5" x14ac:dyDescent="0.25">
      <c r="A107" s="47" t="s">
        <v>178</v>
      </c>
      <c r="B107" s="48">
        <f>IF(19.49049="","-",19.49049)</f>
        <v>19.490490000000001</v>
      </c>
      <c r="C107" s="48">
        <f>IF(59.40215="","-",59.40215)</f>
        <v>59.402149999999999</v>
      </c>
      <c r="D107" s="60" t="s">
        <v>138</v>
      </c>
    </row>
    <row r="108" spans="1:5" x14ac:dyDescent="0.25">
      <c r="A108" s="47" t="s">
        <v>136</v>
      </c>
      <c r="B108" s="48">
        <f>IF(2432.16442="","-",2432.16442)</f>
        <v>2432.1644200000001</v>
      </c>
      <c r="C108" s="48">
        <f>IF(69.92118="","-",69.92118)</f>
        <v>69.921180000000007</v>
      </c>
      <c r="D108" s="60">
        <f>IF(OR(2432.16442="",69.92118="",2432.16442=0),"-",69.92118/2432.16442*100)</f>
        <v>2.8748541597364543</v>
      </c>
      <c r="E108" s="12"/>
    </row>
    <row r="109" spans="1:5" x14ac:dyDescent="0.25">
      <c r="A109" s="47" t="s">
        <v>179</v>
      </c>
      <c r="B109" s="48">
        <f>IF(82.78842="","-",82.78842)</f>
        <v>82.788420000000002</v>
      </c>
      <c r="C109" s="48">
        <f>IF(86.20905="","-",86.20905)</f>
        <v>86.209050000000005</v>
      </c>
      <c r="D109" s="60">
        <f>IF(OR(82.78842="",86.20905="",82.78842=0),"-",86.20905/82.78842*100)</f>
        <v>104.13177350165638</v>
      </c>
    </row>
    <row r="110" spans="1:5" x14ac:dyDescent="0.25">
      <c r="A110" s="47" t="s">
        <v>142</v>
      </c>
      <c r="B110" s="48">
        <f>IF(176.73205="","-",176.73205)</f>
        <v>176.73204999999999</v>
      </c>
      <c r="C110" s="48">
        <f>IF(128.30535="","-",128.30535)</f>
        <v>128.30535</v>
      </c>
      <c r="D110" s="60">
        <f>IF(OR(176.73205="",128.30535="",176.73205=0),"-",128.30535/176.73205*100)</f>
        <v>72.598801405857074</v>
      </c>
    </row>
    <row r="111" spans="1:5" x14ac:dyDescent="0.25">
      <c r="A111" s="47" t="s">
        <v>88</v>
      </c>
      <c r="B111" s="48">
        <f>IF(-726.58481="","-",-726.58481)</f>
        <v>-726.58480999999995</v>
      </c>
      <c r="C111" s="48">
        <f>IF(136.52795="","-",136.52795)</f>
        <v>136.52795</v>
      </c>
      <c r="D111" s="60" t="s">
        <v>22</v>
      </c>
      <c r="E111" s="12"/>
    </row>
    <row r="112" spans="1:5" x14ac:dyDescent="0.25">
      <c r="A112" s="47" t="s">
        <v>94</v>
      </c>
      <c r="B112" s="48">
        <f>IF(-335.60206="","-",-335.60206)</f>
        <v>-335.60205999999999</v>
      </c>
      <c r="C112" s="48">
        <f>IF(142.46746="","-",142.46746)</f>
        <v>142.46745999999999</v>
      </c>
      <c r="D112" s="60" t="s">
        <v>22</v>
      </c>
    </row>
    <row r="113" spans="1:4" x14ac:dyDescent="0.25">
      <c r="A113" s="47" t="s">
        <v>65</v>
      </c>
      <c r="B113" s="48">
        <f>IF(532.74187="","-",532.74187)</f>
        <v>532.74186999999995</v>
      </c>
      <c r="C113" s="48">
        <f>IF(156.84552="","-",156.84552)</f>
        <v>156.84551999999999</v>
      </c>
      <c r="D113" s="60">
        <f>IF(OR(532.74187="",156.84552="",532.74187=0),"-",156.84552/532.74187*100)</f>
        <v>29.441185090257694</v>
      </c>
    </row>
    <row r="114" spans="1:4" x14ac:dyDescent="0.25">
      <c r="A114" s="47" t="s">
        <v>97</v>
      </c>
      <c r="B114" s="48">
        <f>IF(248.77491="","-",248.77491)</f>
        <v>248.77491000000001</v>
      </c>
      <c r="C114" s="48">
        <f>IF(159.60595="","-",159.60595)</f>
        <v>159.60595000000001</v>
      </c>
      <c r="D114" s="60">
        <f>IF(OR(248.77491="",159.60595="",248.77491=0),"-",159.60595/248.77491*100)</f>
        <v>64.156771275688541</v>
      </c>
    </row>
    <row r="115" spans="1:4" x14ac:dyDescent="0.25">
      <c r="A115" s="47" t="s">
        <v>141</v>
      </c>
      <c r="B115" s="48">
        <f>IF(83.7158="","-",83.7158)</f>
        <v>83.715800000000002</v>
      </c>
      <c r="C115" s="48">
        <f>IF(218.837="","-",218.837)</f>
        <v>218.83699999999999</v>
      </c>
      <c r="D115" s="60" t="s">
        <v>157</v>
      </c>
    </row>
    <row r="116" spans="1:4" x14ac:dyDescent="0.25">
      <c r="A116" s="47" t="s">
        <v>148</v>
      </c>
      <c r="B116" s="48">
        <f>IF(-0.58173="","-",-0.58173)</f>
        <v>-0.58172999999999997</v>
      </c>
      <c r="C116" s="48">
        <f>IF(243.93226="","-",243.93226)</f>
        <v>243.93226000000001</v>
      </c>
      <c r="D116" s="60" t="s">
        <v>22</v>
      </c>
    </row>
    <row r="117" spans="1:4" x14ac:dyDescent="0.25">
      <c r="A117" s="47" t="s">
        <v>40</v>
      </c>
      <c r="B117" s="48">
        <f>IF(-149.99276="","-",-149.99276)</f>
        <v>-149.99276</v>
      </c>
      <c r="C117" s="48">
        <f>IF(279.82482="","-",279.82482)</f>
        <v>279.82481999999999</v>
      </c>
      <c r="D117" s="60" t="s">
        <v>22</v>
      </c>
    </row>
    <row r="118" spans="1:4" x14ac:dyDescent="0.25">
      <c r="A118" s="47" t="s">
        <v>112</v>
      </c>
      <c r="B118" s="48">
        <f>IF(526.87127="","-",526.87127)</f>
        <v>526.87126999999998</v>
      </c>
      <c r="C118" s="48">
        <f>IF(296.3804="","-",296.3804)</f>
        <v>296.38040000000001</v>
      </c>
      <c r="D118" s="60">
        <f>IF(OR(526.87127="",296.3804="",526.87127=0),"-",296.3804/526.87127*100)</f>
        <v>56.252905951770728</v>
      </c>
    </row>
    <row r="119" spans="1:4" x14ac:dyDescent="0.25">
      <c r="A119" s="47" t="s">
        <v>69</v>
      </c>
      <c r="B119" s="48">
        <f>IF(2559.76417="","-",2559.76417)</f>
        <v>2559.7641699999999</v>
      </c>
      <c r="C119" s="48">
        <f>IF(349.02975="","-",349.02975)</f>
        <v>349.02974999999998</v>
      </c>
      <c r="D119" s="60">
        <f>IF(OR(2559.76417="",349.02975="",2559.76417=0),"-",349.02975/2559.76417*100)</f>
        <v>13.635230701740777</v>
      </c>
    </row>
    <row r="120" spans="1:4" x14ac:dyDescent="0.25">
      <c r="A120" s="47" t="s">
        <v>78</v>
      </c>
      <c r="B120" s="48">
        <f>IF(449.74149="","-",449.74149)</f>
        <v>449.74149</v>
      </c>
      <c r="C120" s="48">
        <f>IF(425.69266="","-",425.69266)</f>
        <v>425.69265999999999</v>
      </c>
      <c r="D120" s="60">
        <f>IF(OR(449.74149="",425.69266="",449.74149=0),"-",425.69266/449.74149*100)</f>
        <v>94.65274373507323</v>
      </c>
    </row>
    <row r="121" spans="1:4" x14ac:dyDescent="0.25">
      <c r="A121" s="47" t="s">
        <v>38</v>
      </c>
      <c r="B121" s="48">
        <f>IF(503.05635="","-",503.05635)</f>
        <v>503.05635000000001</v>
      </c>
      <c r="C121" s="48">
        <f>IF(556.93902="","-",556.93902)</f>
        <v>556.93902000000003</v>
      </c>
      <c r="D121" s="60">
        <f>IF(OR(503.05635="",556.93902="",503.05635=0),"-",556.93902/503.05635*100)</f>
        <v>110.71106050047872</v>
      </c>
    </row>
    <row r="122" spans="1:4" x14ac:dyDescent="0.25">
      <c r="A122" s="47" t="s">
        <v>68</v>
      </c>
      <c r="B122" s="48">
        <f>IF(-599.72001="","-",-599.72001)</f>
        <v>-599.72001</v>
      </c>
      <c r="C122" s="48">
        <f>IF(936.48864="","-",936.48864)</f>
        <v>936.48864000000003</v>
      </c>
      <c r="D122" s="60" t="s">
        <v>22</v>
      </c>
    </row>
    <row r="123" spans="1:4" x14ac:dyDescent="0.25">
      <c r="A123" s="47" t="s">
        <v>66</v>
      </c>
      <c r="B123" s="48">
        <f>IF(3457.46075="","-",3457.46075)</f>
        <v>3457.4607500000002</v>
      </c>
      <c r="C123" s="48">
        <f>IF(2435.68214="","-",2435.68214)</f>
        <v>2435.6821399999999</v>
      </c>
      <c r="D123" s="60">
        <f>IF(OR(3457.46075="",2435.68214="",3457.46075=0),"-",2435.68214/3457.46075*100)</f>
        <v>70.447137830848831</v>
      </c>
    </row>
    <row r="124" spans="1:4" x14ac:dyDescent="0.25">
      <c r="A124" s="47" t="s">
        <v>58</v>
      </c>
      <c r="B124" s="48">
        <f>IF(4363.4312="","-",4363.4312)</f>
        <v>4363.4312</v>
      </c>
      <c r="C124" s="48">
        <f>IF(2801.23124="","-",2801.23124)</f>
        <v>2801.2312400000001</v>
      </c>
      <c r="D124" s="60">
        <f>IF(OR(4363.4312="",2801.23124="",4363.4312=0),"-",2801.23124/4363.4312*100)</f>
        <v>64.197900954643217</v>
      </c>
    </row>
    <row r="125" spans="1:4" x14ac:dyDescent="0.25">
      <c r="A125" s="47" t="s">
        <v>135</v>
      </c>
      <c r="B125" s="48">
        <f>IF(4601.1498="","-",4601.1498)</f>
        <v>4601.1498000000001</v>
      </c>
      <c r="C125" s="48">
        <f>IF(2917.79619="","-",2917.79619)</f>
        <v>2917.79619</v>
      </c>
      <c r="D125" s="60">
        <f>IF(OR(4601.1498="",2917.79619="",4601.1498=0),"-",2917.79619/4601.1498*100)</f>
        <v>63.414501088401856</v>
      </c>
    </row>
    <row r="126" spans="1:4" x14ac:dyDescent="0.25">
      <c r="A126" s="47" t="s">
        <v>59</v>
      </c>
      <c r="B126" s="48">
        <f>IF(4621.47498="","-",4621.47498)</f>
        <v>4621.47498</v>
      </c>
      <c r="C126" s="48">
        <f>IF(3963.61867="","-",3963.61867)</f>
        <v>3963.6186699999998</v>
      </c>
      <c r="D126" s="60">
        <f>IF(OR(4621.47498="",3963.61867="",4621.47498=0),"-",3963.61867/4621.47498*100)</f>
        <v>85.765230519542911</v>
      </c>
    </row>
    <row r="127" spans="1:4" x14ac:dyDescent="0.25">
      <c r="A127" s="47" t="s">
        <v>61</v>
      </c>
      <c r="B127" s="48">
        <f>IF(2598.62805="","-",2598.62805)</f>
        <v>2598.6280499999998</v>
      </c>
      <c r="C127" s="48">
        <f>IF(6495.27589="","-",6495.27589)</f>
        <v>6495.2758899999999</v>
      </c>
      <c r="D127" s="60" t="s">
        <v>152</v>
      </c>
    </row>
    <row r="128" spans="1:4" x14ac:dyDescent="0.25">
      <c r="A128" s="49" t="s">
        <v>307</v>
      </c>
      <c r="B128" s="50">
        <f>IF(17714.63641="","-",17714.63641)</f>
        <v>17714.636409999999</v>
      </c>
      <c r="C128" s="50">
        <f>IF(23549.86815="","-",23549.86815)</f>
        <v>23549.868149999998</v>
      </c>
      <c r="D128" s="73">
        <f>IF(OR(17714.63641="",23549.86815="",17714.63641=0),"-",23549.86815/17714.63641*100)</f>
        <v>132.94017221096325</v>
      </c>
    </row>
    <row r="129" spans="1:1" x14ac:dyDescent="0.25">
      <c r="A129" s="26" t="s">
        <v>21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selection activeCell="A40" sqref="A40"/>
    </sheetView>
  </sheetViews>
  <sheetFormatPr defaultRowHeight="15.75" x14ac:dyDescent="0.25"/>
  <cols>
    <col min="1" max="1" width="29.5" customWidth="1"/>
    <col min="2" max="2" width="14.875" customWidth="1"/>
    <col min="3" max="3" width="14.5" customWidth="1"/>
    <col min="4" max="5" width="11.625" customWidth="1"/>
  </cols>
  <sheetData>
    <row r="1" spans="1:6" x14ac:dyDescent="0.25">
      <c r="A1" s="76" t="s">
        <v>170</v>
      </c>
      <c r="B1" s="76"/>
      <c r="C1" s="76"/>
      <c r="D1" s="76"/>
      <c r="E1" s="76"/>
    </row>
    <row r="2" spans="1:6" x14ac:dyDescent="0.25">
      <c r="A2" s="9"/>
      <c r="B2" s="9"/>
      <c r="C2" s="9"/>
      <c r="D2" s="9"/>
      <c r="E2" s="9"/>
    </row>
    <row r="3" spans="1:6" x14ac:dyDescent="0.25">
      <c r="A3" s="77"/>
      <c r="B3" s="80" t="s">
        <v>191</v>
      </c>
      <c r="C3" s="81"/>
      <c r="D3" s="80" t="s">
        <v>111</v>
      </c>
      <c r="E3" s="96"/>
      <c r="F3" s="1"/>
    </row>
    <row r="4" spans="1:6" ht="18" customHeight="1" x14ac:dyDescent="0.25">
      <c r="A4" s="78"/>
      <c r="B4" s="84" t="s">
        <v>127</v>
      </c>
      <c r="C4" s="86" t="s">
        <v>196</v>
      </c>
      <c r="D4" s="88" t="s">
        <v>193</v>
      </c>
      <c r="E4" s="80"/>
      <c r="F4" s="1"/>
    </row>
    <row r="5" spans="1:6" ht="22.5" customHeight="1" x14ac:dyDescent="0.25">
      <c r="A5" s="79"/>
      <c r="B5" s="85"/>
      <c r="C5" s="87"/>
      <c r="D5" s="23">
        <v>2019</v>
      </c>
      <c r="E5" s="22">
        <v>2020</v>
      </c>
      <c r="F5" s="1"/>
    </row>
    <row r="6" spans="1:6" ht="15.75" customHeight="1" x14ac:dyDescent="0.25">
      <c r="A6" s="68" t="s">
        <v>166</v>
      </c>
      <c r="B6" s="62">
        <f>IF(824834.53122="","-",824834.53122)</f>
        <v>824834.53122</v>
      </c>
      <c r="C6" s="44">
        <f>IF(948466.87002="","-",824834.53122/948466.87002*100)</f>
        <v>86.965033496911389</v>
      </c>
      <c r="D6" s="63">
        <v>100</v>
      </c>
      <c r="E6" s="63">
        <v>100</v>
      </c>
    </row>
    <row r="7" spans="1:6" ht="15.75" customHeight="1" x14ac:dyDescent="0.25">
      <c r="A7" s="69" t="s">
        <v>143</v>
      </c>
      <c r="B7" s="36"/>
      <c r="C7" s="37"/>
      <c r="D7" s="36"/>
      <c r="E7" s="36"/>
    </row>
    <row r="8" spans="1:6" x14ac:dyDescent="0.25">
      <c r="A8" s="70" t="s">
        <v>117</v>
      </c>
      <c r="B8" s="48">
        <f>IF(82029.06968="","-",82029.06968)</f>
        <v>82029.069680000001</v>
      </c>
      <c r="C8" s="64">
        <v>114.60980000000001</v>
      </c>
      <c r="D8" s="48">
        <f>IF(71572.53401="","-",71572.53401/948466.87002*100)</f>
        <v>7.5461290501892568</v>
      </c>
      <c r="E8" s="48">
        <f>IF(82029.06968="","-",82029.06968/824834.53122*100)</f>
        <v>9.9449121702836649</v>
      </c>
    </row>
    <row r="9" spans="1:6" x14ac:dyDescent="0.25">
      <c r="A9" s="70" t="s">
        <v>118</v>
      </c>
      <c r="B9" s="48">
        <f>IF(42327.15553="","-",42327.15553)</f>
        <v>42327.155530000004</v>
      </c>
      <c r="C9" s="64">
        <v>86.922300000000007</v>
      </c>
      <c r="D9" s="48">
        <f>IF(48695.42107="","-",48695.42107/948466.87002*100)</f>
        <v>5.1341193466223203</v>
      </c>
      <c r="E9" s="48">
        <f>IF(42327.15553="","-",42327.15553/824834.53122*100)</f>
        <v>5.1315935412396669</v>
      </c>
    </row>
    <row r="10" spans="1:6" x14ac:dyDescent="0.25">
      <c r="A10" s="70" t="s">
        <v>119</v>
      </c>
      <c r="B10" s="48">
        <f>IF(689391.43812="","-",689391.43812)</f>
        <v>689391.43811999995</v>
      </c>
      <c r="C10" s="64">
        <v>84.813599999999994</v>
      </c>
      <c r="D10" s="48">
        <f>IF(812831.94798="","-",812831.94798/948466.87002*100)</f>
        <v>85.699561436748979</v>
      </c>
      <c r="E10" s="48">
        <f>IF(689391.43812="","-",689391.43812/824834.53122*100)</f>
        <v>83.579361923697803</v>
      </c>
    </row>
    <row r="11" spans="1:6" x14ac:dyDescent="0.25">
      <c r="A11" s="70" t="s">
        <v>120</v>
      </c>
      <c r="B11" s="48">
        <f>IF(10787.37894="","-",10787.37894)</f>
        <v>10787.378940000001</v>
      </c>
      <c r="C11" s="64">
        <v>73.7012</v>
      </c>
      <c r="D11" s="48">
        <f>IF(14636.63857="","-",14636.63857/948466.87002*100)</f>
        <v>1.5431892280740771</v>
      </c>
      <c r="E11" s="48">
        <f>IF(10787.37894="","-",10787.37894/824834.53122*100)</f>
        <v>1.3078233914436821</v>
      </c>
    </row>
    <row r="12" spans="1:6" x14ac:dyDescent="0.25">
      <c r="A12" s="70" t="s">
        <v>121</v>
      </c>
      <c r="B12" s="48">
        <f>IF(281.57912="","-",281.57912)</f>
        <v>281.57911999999999</v>
      </c>
      <c r="C12" s="64">
        <v>48.441400000000002</v>
      </c>
      <c r="D12" s="48">
        <f>IF(581.28277="","-",581.28277/948466.87002*100)</f>
        <v>6.1286565548435305E-2</v>
      </c>
      <c r="E12" s="48">
        <f>IF(281.57912="","-",281.57912/824834.53122*100)</f>
        <v>3.4137649351745819E-2</v>
      </c>
    </row>
    <row r="13" spans="1:6" x14ac:dyDescent="0.25">
      <c r="A13" s="70" t="s">
        <v>122</v>
      </c>
      <c r="B13" s="48">
        <f>IF(2.4755="","-",2.4755)</f>
        <v>2.4754999999999998</v>
      </c>
      <c r="C13" s="64">
        <v>101.63939999999999</v>
      </c>
      <c r="D13" s="48">
        <f>IF(2.43599="","-",2.43599/948466.87002*100)</f>
        <v>2.5683448489335561E-4</v>
      </c>
      <c r="E13" s="48">
        <f>IF(2.4755="","-",2.4755/824834.53122*100)</f>
        <v>3.0012080075485275E-4</v>
      </c>
    </row>
    <row r="14" spans="1:6" x14ac:dyDescent="0.25">
      <c r="A14" s="70" t="s">
        <v>123</v>
      </c>
      <c r="B14" s="48">
        <f>IF(15.43433="","-",15.43433)</f>
        <v>15.434329999999999</v>
      </c>
      <c r="C14" s="64">
        <v>10.5246</v>
      </c>
      <c r="D14" s="48">
        <f>IF(146.60963="","-",146.60963/948466.87002*100)</f>
        <v>1.5457538332035625E-2</v>
      </c>
      <c r="E14" s="48">
        <f>IF(15.43433="","-",15.43433/824834.53122*100)</f>
        <v>1.8712031826760842E-3</v>
      </c>
    </row>
    <row r="15" spans="1:6" x14ac:dyDescent="0.25">
      <c r="A15" s="45" t="s">
        <v>187</v>
      </c>
      <c r="B15" s="46">
        <f>IF(529513.41594="","-",529513.41594)</f>
        <v>529513.41593999998</v>
      </c>
      <c r="C15" s="46">
        <f>IF(585280.73053="","-",529513.41594/585280.73053*100)</f>
        <v>90.471698164485957</v>
      </c>
      <c r="D15" s="46">
        <f>IF(585280.73053="","-",585280.73053/948466.87002*100)</f>
        <v>61.708083753906791</v>
      </c>
      <c r="E15" s="46">
        <f>IF(529513.41594="","-",529513.41594/824834.53122*100)</f>
        <v>64.196320097899502</v>
      </c>
    </row>
    <row r="16" spans="1:6" x14ac:dyDescent="0.25">
      <c r="A16" s="69" t="s">
        <v>143</v>
      </c>
      <c r="B16" s="38"/>
      <c r="C16" s="38"/>
      <c r="D16" s="38"/>
      <c r="E16" s="38"/>
    </row>
    <row r="17" spans="1:11" x14ac:dyDescent="0.25">
      <c r="A17" s="70" t="s">
        <v>117</v>
      </c>
      <c r="B17" s="48">
        <f>IF(49183.42642="","-",49183.42642)</f>
        <v>49183.426420000003</v>
      </c>
      <c r="C17" s="64" t="s">
        <v>106</v>
      </c>
      <c r="D17" s="48">
        <f>IF(28758.27501="","-",28758.27501/948466.87002*100)</f>
        <v>3.0320800777568104</v>
      </c>
      <c r="E17" s="48">
        <f>IF(49183.42642="","-",49183.42642/824834.53122*100)</f>
        <v>5.9628233977126976</v>
      </c>
      <c r="K17" s="25"/>
    </row>
    <row r="18" spans="1:11" x14ac:dyDescent="0.25">
      <c r="A18" s="70" t="s">
        <v>118</v>
      </c>
      <c r="B18" s="48">
        <f>IF(9984.9958="","-",9984.9958)</f>
        <v>9984.9958000000006</v>
      </c>
      <c r="C18" s="64">
        <v>97.147000000000006</v>
      </c>
      <c r="D18" s="48">
        <f>IF(10278.24183="","-",10278.24183/948466.87002*100)</f>
        <v>1.0836690405204419</v>
      </c>
      <c r="E18" s="48">
        <f>IF(9984.9958="","-",9984.9958/824834.53122*100)</f>
        <v>1.2105453181296069</v>
      </c>
    </row>
    <row r="19" spans="1:11" x14ac:dyDescent="0.25">
      <c r="A19" s="70" t="s">
        <v>119</v>
      </c>
      <c r="B19" s="48">
        <f>IF(468102.75474="","-",468102.75474)</f>
        <v>468102.75474</v>
      </c>
      <c r="C19" s="64">
        <v>85.986599999999996</v>
      </c>
      <c r="D19" s="48">
        <f>IF(544390.62397="","-",544390.62397/948466.87002*100)</f>
        <v>57.396904539061076</v>
      </c>
      <c r="E19" s="48">
        <f>IF(468102.75474="","-",468102.75474/824834.53122*100)</f>
        <v>56.751110316348715</v>
      </c>
    </row>
    <row r="20" spans="1:11" x14ac:dyDescent="0.25">
      <c r="A20" s="70" t="s">
        <v>120</v>
      </c>
      <c r="B20" s="48">
        <f>IF(2109.50368="","-",2109.50368)</f>
        <v>2109.5036799999998</v>
      </c>
      <c r="C20" s="64">
        <v>128.12649999999999</v>
      </c>
      <c r="D20" s="48">
        <f>IF(1646.41802="","-",1646.41802/948466.87002*100)</f>
        <v>0.17358729883367277</v>
      </c>
      <c r="E20" s="48">
        <f>IF(2109.50368="","-",2109.50368/824834.53122*100)</f>
        <v>0.25574871082080736</v>
      </c>
    </row>
    <row r="21" spans="1:11" x14ac:dyDescent="0.25">
      <c r="A21" s="70" t="s">
        <v>121</v>
      </c>
      <c r="B21" s="48">
        <f>IF(132.7353="","-",132.7353)</f>
        <v>132.7353</v>
      </c>
      <c r="C21" s="65">
        <v>76.617599999999996</v>
      </c>
      <c r="D21" s="48">
        <f>IF(173.24654="","-",173.24654/948466.87002*100)</f>
        <v>1.826595587849545E-2</v>
      </c>
      <c r="E21" s="48">
        <f>IF(132.7353="","-",132.7353/824834.53122*100)</f>
        <v>1.6092354887673441E-2</v>
      </c>
    </row>
    <row r="22" spans="1:11" x14ac:dyDescent="0.25">
      <c r="A22" s="52" t="s">
        <v>123</v>
      </c>
      <c r="B22" s="54" t="s">
        <v>158</v>
      </c>
      <c r="C22" s="65" t="s">
        <v>22</v>
      </c>
      <c r="D22" s="48">
        <f>IF(33.92516="","-",33.92516/948466.87002*100)</f>
        <v>3.5768418562985363E-3</v>
      </c>
      <c r="E22" s="54" t="s">
        <v>158</v>
      </c>
    </row>
    <row r="23" spans="1:11" x14ac:dyDescent="0.25">
      <c r="A23" s="45" t="s">
        <v>188</v>
      </c>
      <c r="B23" s="46">
        <f>IF(128972.24029="","-",128972.24029)</f>
        <v>128972.24029</v>
      </c>
      <c r="C23" s="46">
        <f>IF(138986.19225="","-",128972.24029/138986.19225*100)</f>
        <v>92.795002296352209</v>
      </c>
      <c r="D23" s="46">
        <f>IF(138986.19225="","-",138986.19225/948466.87002*100)</f>
        <v>14.653774068784209</v>
      </c>
      <c r="E23" s="46">
        <f>IF(128972.24029="","-",128972.24029/824834.53122*100)</f>
        <v>15.636134934753418</v>
      </c>
    </row>
    <row r="24" spans="1:11" x14ac:dyDescent="0.25">
      <c r="A24" s="69" t="s">
        <v>143</v>
      </c>
      <c r="B24" s="38"/>
      <c r="C24" s="38"/>
      <c r="D24" s="38"/>
      <c r="E24" s="38"/>
    </row>
    <row r="25" spans="1:11" x14ac:dyDescent="0.25">
      <c r="A25" s="70" t="s">
        <v>117</v>
      </c>
      <c r="B25" s="48">
        <f>IF(1252.01706="","-",1252.01706)</f>
        <v>1252.0170599999999</v>
      </c>
      <c r="C25" s="64">
        <v>57.666499999999999</v>
      </c>
      <c r="D25" s="48">
        <f>IF(2171.14401="","-",2171.14401/948466.87002*100)</f>
        <v>0.22891089595509198</v>
      </c>
      <c r="E25" s="48">
        <f>IF(1252.01706="","-",1252.01706/824834.53122*100)</f>
        <v>0.15179008790383214</v>
      </c>
    </row>
    <row r="26" spans="1:11" x14ac:dyDescent="0.25">
      <c r="A26" s="70" t="s">
        <v>118</v>
      </c>
      <c r="B26" s="48">
        <f>IF(2534.86014="","-",2534.86014)</f>
        <v>2534.8601399999998</v>
      </c>
      <c r="C26" s="64">
        <v>41.1738</v>
      </c>
      <c r="D26" s="48">
        <f>IF(6156.49024="","-",6156.49024/948466.87002*100)</f>
        <v>0.64909913404462716</v>
      </c>
      <c r="E26" s="48">
        <f>IF(2534.86014="","-",2534.86014/824834.53122*100)</f>
        <v>0.30731741265132623</v>
      </c>
      <c r="F26" s="1"/>
      <c r="G26" s="1"/>
    </row>
    <row r="27" spans="1:11" x14ac:dyDescent="0.25">
      <c r="A27" s="70" t="s">
        <v>119</v>
      </c>
      <c r="B27" s="48">
        <f>IF(122279.22893="","-",122279.22893)</f>
        <v>122279.22893</v>
      </c>
      <c r="C27" s="66">
        <v>95.838099999999997</v>
      </c>
      <c r="D27" s="48">
        <f>IF(127589.43812="","-",127589.43812/948466.87002*100)</f>
        <v>13.452176576005186</v>
      </c>
      <c r="E27" s="48">
        <f>IF(122279.22893="","-",122279.22893/824834.53122*100)</f>
        <v>14.824698082067281</v>
      </c>
      <c r="F27" s="12"/>
      <c r="G27" s="12"/>
    </row>
    <row r="28" spans="1:11" x14ac:dyDescent="0.25">
      <c r="A28" s="70" t="s">
        <v>120</v>
      </c>
      <c r="B28" s="48">
        <f>IF(2846.58094="","-",2846.58094)</f>
        <v>2846.5809399999998</v>
      </c>
      <c r="C28" s="66">
        <v>104.3445</v>
      </c>
      <c r="D28" s="48">
        <f>IF(2728.06175="","-",2728.06175/948466.87002*100)</f>
        <v>0.28762857578172168</v>
      </c>
      <c r="E28" s="48">
        <f>IF(2846.58094="","-",2846.58094/824834.53122*100)</f>
        <v>0.34510933190317167</v>
      </c>
    </row>
    <row r="29" spans="1:11" x14ac:dyDescent="0.25">
      <c r="A29" s="70" t="s">
        <v>121</v>
      </c>
      <c r="B29" s="48">
        <f>IF(41.64339="","-",41.64339)</f>
        <v>41.643389999999997</v>
      </c>
      <c r="C29" s="66">
        <v>12.297000000000001</v>
      </c>
      <c r="D29" s="48">
        <f>IF(338.62214="","-",338.62214/948466.87002*100)</f>
        <v>3.5702052512689202E-2</v>
      </c>
      <c r="E29" s="48">
        <f>IF(41.64339="","-",41.64339/824834.53122*100)</f>
        <v>5.0486962443735111E-3</v>
      </c>
    </row>
    <row r="30" spans="1:11" x14ac:dyDescent="0.25">
      <c r="A30" s="70" t="s">
        <v>122</v>
      </c>
      <c r="B30" s="48">
        <f>IF(2.4755="","-",2.4755)</f>
        <v>2.4754999999999998</v>
      </c>
      <c r="C30" s="66">
        <v>101.63939999999999</v>
      </c>
      <c r="D30" s="48">
        <f>IF(2.43599="","-",2.43599/948466.87002*100)</f>
        <v>2.5683448489335561E-4</v>
      </c>
      <c r="E30" s="48">
        <f>IF(2.4755="","-",2.4755/824834.53122*100)</f>
        <v>3.0012080075485275E-4</v>
      </c>
    </row>
    <row r="31" spans="1:11" x14ac:dyDescent="0.25">
      <c r="A31" s="70" t="s">
        <v>123</v>
      </c>
      <c r="B31" s="48">
        <f>IF(15.43433="","-",15.43433)</f>
        <v>15.434329999999999</v>
      </c>
      <c r="C31" s="66" t="s">
        <v>22</v>
      </c>
      <c r="D31" s="66" t="s">
        <v>159</v>
      </c>
      <c r="E31" s="48">
        <f>IF(15.43433="","-",15.43433/824834.53122*100)</f>
        <v>1.8712031826760842E-3</v>
      </c>
    </row>
    <row r="32" spans="1:11" x14ac:dyDescent="0.25">
      <c r="A32" s="45" t="s">
        <v>189</v>
      </c>
      <c r="B32" s="46">
        <f>IF(166348.87499="","-",166348.87499)</f>
        <v>166348.87499000001</v>
      </c>
      <c r="C32" s="46">
        <f>IF(224199.94724="","-",166348.87499/224199.94724*100)</f>
        <v>74.19666107767992</v>
      </c>
      <c r="D32" s="46">
        <f>IF(224199.94724="","-",224199.94724/948466.87002*100)</f>
        <v>23.638142177308985</v>
      </c>
      <c r="E32" s="46">
        <f>IF(166348.87499="","-",166348.87499/824834.53122*100)</f>
        <v>20.16754496734708</v>
      </c>
    </row>
    <row r="33" spans="1:5" x14ac:dyDescent="0.25">
      <c r="A33" s="69" t="s">
        <v>143</v>
      </c>
      <c r="B33" s="38"/>
      <c r="C33" s="38"/>
      <c r="D33" s="38"/>
      <c r="E33" s="38"/>
    </row>
    <row r="34" spans="1:5" x14ac:dyDescent="0.25">
      <c r="A34" s="70" t="s">
        <v>117</v>
      </c>
      <c r="B34" s="48">
        <f>IF(31593.6262="","-",31593.6262)</f>
        <v>31593.626199999999</v>
      </c>
      <c r="C34" s="64">
        <v>77.734300000000005</v>
      </c>
      <c r="D34" s="48">
        <f>IF(40643.11499="","-",40643.11499/948466.87002*100)</f>
        <v>4.2851380764773541</v>
      </c>
      <c r="E34" s="48">
        <f>IF(31593.6262="","-",31593.6262/824834.53122*100)</f>
        <v>3.8302986846671363</v>
      </c>
    </row>
    <row r="35" spans="1:5" x14ac:dyDescent="0.25">
      <c r="A35" s="70" t="s">
        <v>118</v>
      </c>
      <c r="B35" s="48">
        <f>IF(29807.29959="","-",29807.29959)</f>
        <v>29807.299589999999</v>
      </c>
      <c r="C35" s="64">
        <v>92.395099999999999</v>
      </c>
      <c r="D35" s="48">
        <f>IF(32260.689="","-",32260.689/948466.87002*100)</f>
        <v>3.4013511720572516</v>
      </c>
      <c r="E35" s="48">
        <f>IF(29807.29959="","-",29807.29959/824834.53122*100)</f>
        <v>3.6137308104587333</v>
      </c>
    </row>
    <row r="36" spans="1:5" x14ac:dyDescent="0.25">
      <c r="A36" s="70" t="s">
        <v>119</v>
      </c>
      <c r="B36" s="48">
        <f>IF(99009.45445="","-",99009.45445)</f>
        <v>99009.454450000005</v>
      </c>
      <c r="C36" s="64">
        <v>70.293300000000002</v>
      </c>
      <c r="D36" s="48">
        <f>IF(140851.88589="","-",140851.88589/948466.87002*100)</f>
        <v>14.850480321682708</v>
      </c>
      <c r="E36" s="48">
        <f>IF(99009.45445="","-",99009.45445/824834.53122*100)</f>
        <v>12.003553525281809</v>
      </c>
    </row>
    <row r="37" spans="1:5" x14ac:dyDescent="0.25">
      <c r="A37" s="70" t="s">
        <v>120</v>
      </c>
      <c r="B37" s="48">
        <f>IF(5831.29432="","-",5831.29432)</f>
        <v>5831.29432</v>
      </c>
      <c r="C37" s="65">
        <v>56.823300000000003</v>
      </c>
      <c r="D37" s="48">
        <f>IF(10262.1588="","-",10262.1588/948466.87002*100)</f>
        <v>1.0819733534586826</v>
      </c>
      <c r="E37" s="48">
        <f>IF(5831.29432="","-",5831.29432/824834.53122*100)</f>
        <v>0.70696534871970296</v>
      </c>
    </row>
    <row r="38" spans="1:5" x14ac:dyDescent="0.25">
      <c r="A38" s="52" t="s">
        <v>121</v>
      </c>
      <c r="B38" s="48">
        <f>IF(107.20043="","-",107.20043)</f>
        <v>107.20043</v>
      </c>
      <c r="C38" s="65" t="s">
        <v>132</v>
      </c>
      <c r="D38" s="48">
        <f>IF(69.41409="","-",69.41409/948466.87002*100)</f>
        <v>7.3185571572506568E-3</v>
      </c>
      <c r="E38" s="48">
        <f>IF(107.20043="","-",107.20043/824834.53122*100)</f>
        <v>1.2996598219698865E-2</v>
      </c>
    </row>
    <row r="39" spans="1:5" x14ac:dyDescent="0.25">
      <c r="A39" s="71" t="s">
        <v>123</v>
      </c>
      <c r="B39" s="50" t="s">
        <v>158</v>
      </c>
      <c r="C39" s="67" t="s">
        <v>22</v>
      </c>
      <c r="D39" s="50">
        <f>IF(112.68447="","-",112.68447/948466.87002*100)</f>
        <v>1.1880696475737088E-2</v>
      </c>
      <c r="E39" s="50" t="s">
        <v>158</v>
      </c>
    </row>
    <row r="40" spans="1:5" x14ac:dyDescent="0.25">
      <c r="A40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workbookViewId="0">
      <selection activeCell="I36" sqref="I36"/>
    </sheetView>
  </sheetViews>
  <sheetFormatPr defaultRowHeight="15.75" x14ac:dyDescent="0.25"/>
  <cols>
    <col min="1" max="1" width="30.125" customWidth="1"/>
    <col min="2" max="2" width="14.5" customWidth="1"/>
    <col min="3" max="3" width="14.375" customWidth="1"/>
    <col min="4" max="5" width="11.625" customWidth="1"/>
  </cols>
  <sheetData>
    <row r="1" spans="1:6" x14ac:dyDescent="0.25">
      <c r="A1" s="76" t="s">
        <v>171</v>
      </c>
      <c r="B1" s="76"/>
      <c r="C1" s="76"/>
      <c r="D1" s="76"/>
      <c r="E1" s="76"/>
    </row>
    <row r="2" spans="1:6" x14ac:dyDescent="0.25">
      <c r="A2" s="9"/>
      <c r="B2" s="9"/>
      <c r="C2" s="9"/>
      <c r="D2" s="9"/>
      <c r="E2" s="9"/>
    </row>
    <row r="3" spans="1:6" ht="15.75" customHeight="1" x14ac:dyDescent="0.25">
      <c r="A3" s="77"/>
      <c r="B3" s="80" t="s">
        <v>191</v>
      </c>
      <c r="C3" s="81"/>
      <c r="D3" s="80" t="s">
        <v>111</v>
      </c>
      <c r="E3" s="96"/>
      <c r="F3" s="1"/>
    </row>
    <row r="4" spans="1:6" ht="19.5" customHeight="1" x14ac:dyDescent="0.25">
      <c r="A4" s="78"/>
      <c r="B4" s="84" t="s">
        <v>127</v>
      </c>
      <c r="C4" s="86" t="s">
        <v>196</v>
      </c>
      <c r="D4" s="88" t="s">
        <v>193</v>
      </c>
      <c r="E4" s="80"/>
      <c r="F4" s="1"/>
    </row>
    <row r="5" spans="1:6" ht="20.25" customHeight="1" x14ac:dyDescent="0.25">
      <c r="A5" s="79"/>
      <c r="B5" s="85"/>
      <c r="C5" s="87"/>
      <c r="D5" s="32">
        <v>2019</v>
      </c>
      <c r="E5" s="31">
        <v>2020</v>
      </c>
      <c r="F5" s="1"/>
    </row>
    <row r="6" spans="1:6" ht="15.75" customHeight="1" x14ac:dyDescent="0.25">
      <c r="A6" s="68" t="s">
        <v>144</v>
      </c>
      <c r="B6" s="44">
        <f>IF(1650750.85967="","-",1650750.85967)</f>
        <v>1650750.8596699999</v>
      </c>
      <c r="C6" s="44">
        <f>IF(1881236.72041="","-",1650750.85967/1881236.72041*100)</f>
        <v>87.748173409576665</v>
      </c>
      <c r="D6" s="63">
        <v>100</v>
      </c>
      <c r="E6" s="63">
        <v>100</v>
      </c>
    </row>
    <row r="7" spans="1:6" ht="15.75" customHeight="1" x14ac:dyDescent="0.25">
      <c r="A7" s="69" t="s">
        <v>143</v>
      </c>
      <c r="B7" s="36"/>
      <c r="C7" s="37"/>
      <c r="D7" s="36"/>
      <c r="E7" s="36"/>
    </row>
    <row r="8" spans="1:6" x14ac:dyDescent="0.25">
      <c r="A8" s="70" t="s">
        <v>117</v>
      </c>
      <c r="B8" s="48">
        <f>IF(27699.25937="","-",27699.25937)</f>
        <v>27699.25937</v>
      </c>
      <c r="C8" s="64">
        <v>68.364199999999997</v>
      </c>
      <c r="D8" s="48">
        <f>IF(40517.2247="","-",40517.2247/1881236.72041*100)</f>
        <v>2.1537547221154392</v>
      </c>
      <c r="E8" s="48">
        <f>IF(27699.25937="","-",27699.25937/1650750.85967*100)</f>
        <v>1.6779793999645309</v>
      </c>
    </row>
    <row r="9" spans="1:6" x14ac:dyDescent="0.25">
      <c r="A9" s="70" t="s">
        <v>118</v>
      </c>
      <c r="B9" s="48">
        <f>IF(70352.42812="","-",70352.42812)</f>
        <v>70352.428119999997</v>
      </c>
      <c r="C9" s="64">
        <v>79.549400000000006</v>
      </c>
      <c r="D9" s="48">
        <f>IF(88438.72209="","-",88438.72209/1881236.72041*100)</f>
        <v>4.7010948239797017</v>
      </c>
      <c r="E9" s="48">
        <f>IF(70352.42812="","-",70352.42812/1650750.85967*100)</f>
        <v>4.2618441000881306</v>
      </c>
    </row>
    <row r="10" spans="1:6" x14ac:dyDescent="0.25">
      <c r="A10" s="70" t="s">
        <v>119</v>
      </c>
      <c r="B10" s="48">
        <f>IF(1403677.62749="","-",1403677.62749)</f>
        <v>1403677.6274900001</v>
      </c>
      <c r="C10" s="64">
        <v>90.994399999999999</v>
      </c>
      <c r="D10" s="48">
        <f>IF(1542597.6757="","-",1542597.6757/1881236.72041*100)</f>
        <v>81.999126370646408</v>
      </c>
      <c r="E10" s="48">
        <f>IF(1403677.62749="","-",1403677.62749/1650750.85967*100)</f>
        <v>85.03267584368291</v>
      </c>
    </row>
    <row r="11" spans="1:6" x14ac:dyDescent="0.25">
      <c r="A11" s="70" t="s">
        <v>120</v>
      </c>
      <c r="B11" s="48">
        <f>IF(40851.21872="","-",40851.21872)</f>
        <v>40851.218719999997</v>
      </c>
      <c r="C11" s="64">
        <v>87.149799999999999</v>
      </c>
      <c r="D11" s="48">
        <f>IF(46874.7404="","-",46874.7404/1881236.72041*100)</f>
        <v>2.4916981415174608</v>
      </c>
      <c r="E11" s="48">
        <f>IF(40851.21872="","-",40851.21872/1650750.85967*100)</f>
        <v>2.4747052821869517</v>
      </c>
    </row>
    <row r="12" spans="1:6" x14ac:dyDescent="0.25">
      <c r="A12" s="70" t="s">
        <v>121</v>
      </c>
      <c r="B12" s="48">
        <f>IF(3130.19363="","-",3130.19363)</f>
        <v>3130.1936300000002</v>
      </c>
      <c r="C12" s="64">
        <v>96.426000000000002</v>
      </c>
      <c r="D12" s="48">
        <f>IF(3246.2141="","-",3246.2141/1881236.72041*100)</f>
        <v>0.17255744929816777</v>
      </c>
      <c r="E12" s="48">
        <f>IF(3130.19363="","-",3130.19363/1650750.85967*100)</f>
        <v>0.18962241404652391</v>
      </c>
    </row>
    <row r="13" spans="1:6" x14ac:dyDescent="0.25">
      <c r="A13" s="70" t="s">
        <v>122</v>
      </c>
      <c r="B13" s="48">
        <f>IF(97915.41686="","-",97915.41686)</f>
        <v>97915.416859999998</v>
      </c>
      <c r="C13" s="64">
        <v>66.743099999999998</v>
      </c>
      <c r="D13" s="48">
        <f>IF(146704.98687="","-",146704.98687/1881236.72041*100)</f>
        <v>7.7983267750603362</v>
      </c>
      <c r="E13" s="48">
        <f>IF(97915.41686="","-",97915.41686/1650750.85967*100)</f>
        <v>5.9315684305973448</v>
      </c>
    </row>
    <row r="14" spans="1:6" x14ac:dyDescent="0.25">
      <c r="A14" s="70" t="s">
        <v>123</v>
      </c>
      <c r="B14" s="48">
        <f>IF(7124.71548="","-",7124.71548)</f>
        <v>7124.7154799999998</v>
      </c>
      <c r="C14" s="64">
        <v>55.414499999999997</v>
      </c>
      <c r="D14" s="48">
        <f>IF(12857.15655="","-",12857.15655/1881236.72041*100)</f>
        <v>0.68344171738248272</v>
      </c>
      <c r="E14" s="48">
        <f>IF(7124.71548="","-",7124.71548/1650750.85967*100)</f>
        <v>0.43160452943361155</v>
      </c>
    </row>
    <row r="15" spans="1:6" x14ac:dyDescent="0.25">
      <c r="A15" s="45" t="s">
        <v>187</v>
      </c>
      <c r="B15" s="46">
        <f>IF(777609.20099="","-",777609.20099)</f>
        <v>777609.20099000004</v>
      </c>
      <c r="C15" s="46">
        <f>IF(897363.0078="","-",777609.20099/897363.0078*100)</f>
        <v>86.654920498272858</v>
      </c>
      <c r="D15" s="46">
        <f>IF(897363.0078="","-",897363.0078/1881236.72041*100)</f>
        <v>47.700695933918787</v>
      </c>
      <c r="E15" s="46">
        <f>IF(777609.20099="","-",777609.20099/1650750.85967*100)</f>
        <v>47.10639382283594</v>
      </c>
    </row>
    <row r="16" spans="1:6" x14ac:dyDescent="0.25">
      <c r="A16" s="69" t="s">
        <v>143</v>
      </c>
      <c r="B16" s="36"/>
      <c r="C16" s="39"/>
      <c r="D16" s="36"/>
      <c r="E16" s="36"/>
    </row>
    <row r="17" spans="1:7" x14ac:dyDescent="0.25">
      <c r="A17" s="70" t="s">
        <v>117</v>
      </c>
      <c r="B17" s="48">
        <f>IF(10638.26158="","-",10638.26158)</f>
        <v>10638.26158</v>
      </c>
      <c r="C17" s="64">
        <v>39.023099999999999</v>
      </c>
      <c r="D17" s="48">
        <f>IF(27261.4403="","-",27261.4403/1881236.72041*100)</f>
        <v>1.449123334891028</v>
      </c>
      <c r="E17" s="48">
        <f>IF(10638.26158="","-",10638.26158/1650750.85967*100)</f>
        <v>0.64444985854053616</v>
      </c>
    </row>
    <row r="18" spans="1:7" x14ac:dyDescent="0.25">
      <c r="A18" s="70" t="s">
        <v>118</v>
      </c>
      <c r="B18" s="48">
        <f>IF(7366.41105="","-",7366.41105)</f>
        <v>7366.4110499999997</v>
      </c>
      <c r="C18" s="64">
        <v>57.320599999999999</v>
      </c>
      <c r="D18" s="48">
        <f>IF(12851.26067="","-",12851.26067/1881236.72041*100)</f>
        <v>0.68312831291104992</v>
      </c>
      <c r="E18" s="48">
        <f>IF(7366.41105="","-",7366.41105/1650750.85967*100)</f>
        <v>0.44624608291723755</v>
      </c>
    </row>
    <row r="19" spans="1:7" x14ac:dyDescent="0.25">
      <c r="A19" s="70" t="s">
        <v>119</v>
      </c>
      <c r="B19" s="48">
        <f>IF(740472.81847="","-",740472.81847)</f>
        <v>740472.81847000006</v>
      </c>
      <c r="C19" s="64">
        <v>89.018600000000006</v>
      </c>
      <c r="D19" s="48">
        <f>IF(831818.52724="","-",831818.52724/1881236.72041*100)</f>
        <v>44.216579349924231</v>
      </c>
      <c r="E19" s="48">
        <f>IF(740472.81847="","-",740472.81847/1650750.85967*100)</f>
        <v>44.856727720743237</v>
      </c>
    </row>
    <row r="20" spans="1:7" x14ac:dyDescent="0.25">
      <c r="A20" s="70" t="s">
        <v>120</v>
      </c>
      <c r="B20" s="48">
        <f>IF(11444.48065="","-",11444.48065)</f>
        <v>11444.48065</v>
      </c>
      <c r="C20" s="64">
        <v>83.518699999999995</v>
      </c>
      <c r="D20" s="48">
        <f>IF(13702.91359="","-",13702.91359/1881236.72041*100)</f>
        <v>0.72839921958431486</v>
      </c>
      <c r="E20" s="48">
        <f>IF(11444.48065="","-",11444.48065/1650750.85967*100)</f>
        <v>0.69328939512337162</v>
      </c>
    </row>
    <row r="21" spans="1:7" x14ac:dyDescent="0.25">
      <c r="A21" s="70" t="s">
        <v>121</v>
      </c>
      <c r="B21" s="48">
        <f>IF(1315.27596="","-",1315.27596)</f>
        <v>1315.2759599999999</v>
      </c>
      <c r="C21" s="64">
        <v>87.066000000000003</v>
      </c>
      <c r="D21" s="48">
        <f>IF(1510.67168="","-",1510.67168/1881236.72041*100)</f>
        <v>8.0302051496781407E-2</v>
      </c>
      <c r="E21" s="48">
        <f>IF(1315.27596="","-",1315.27596/1650750.85967*100)</f>
        <v>7.9677436016173608E-2</v>
      </c>
    </row>
    <row r="22" spans="1:7" x14ac:dyDescent="0.25">
      <c r="A22" s="70" t="s">
        <v>123</v>
      </c>
      <c r="B22" s="48">
        <f>IF(6371.95328="","-",6371.95328)</f>
        <v>6371.9532799999997</v>
      </c>
      <c r="C22" s="64">
        <v>62.358899999999998</v>
      </c>
      <c r="D22" s="48">
        <f>IF(10218.19432="","-",10218.19432/1881236.72041*100)</f>
        <v>0.54316366511137582</v>
      </c>
      <c r="E22" s="48">
        <f>IF(6371.95328="","-",6371.95328/1650750.85967*100)</f>
        <v>0.38600332949539162</v>
      </c>
    </row>
    <row r="23" spans="1:7" x14ac:dyDescent="0.25">
      <c r="A23" s="45" t="s">
        <v>188</v>
      </c>
      <c r="B23" s="46">
        <f>IF(411850.18558="","-",411850.18558)</f>
        <v>411850.18557999999</v>
      </c>
      <c r="C23" s="46">
        <f>IF(499013.03224="","-",411850.18558/499013.03224*100)</f>
        <v>82.532951841209808</v>
      </c>
      <c r="D23" s="46">
        <f>IF(499013.03224="","-",499013.03224/1881236.72041*100)</f>
        <v>26.52579693060872</v>
      </c>
      <c r="E23" s="46">
        <f>IF(411850.18558="","-",411850.18558/1650750.85967*100)</f>
        <v>24.949263734585156</v>
      </c>
    </row>
    <row r="24" spans="1:7" x14ac:dyDescent="0.25">
      <c r="A24" s="70" t="s">
        <v>143</v>
      </c>
      <c r="B24" s="36"/>
      <c r="C24" s="39"/>
      <c r="D24" s="36"/>
      <c r="E24" s="36"/>
    </row>
    <row r="25" spans="1:7" x14ac:dyDescent="0.25">
      <c r="A25" s="70" t="s">
        <v>117</v>
      </c>
      <c r="B25" s="48">
        <f>IF(10901.11656="","-",10901.11656)</f>
        <v>10901.11656</v>
      </c>
      <c r="C25" s="64">
        <v>100.2227</v>
      </c>
      <c r="D25" s="48">
        <f>IF(10876.89704="","-",10876.89704/1881236.72041*100)</f>
        <v>0.57817801034786676</v>
      </c>
      <c r="E25" s="48">
        <f>IF(10901.11656="","-",10901.11656/1650750.85967*100)</f>
        <v>0.66037321720245734</v>
      </c>
    </row>
    <row r="26" spans="1:7" x14ac:dyDescent="0.25">
      <c r="A26" s="70" t="s">
        <v>118</v>
      </c>
      <c r="B26" s="48">
        <f>IF(62877.14384="","-",62877.14384)</f>
        <v>62877.143839999997</v>
      </c>
      <c r="C26" s="64">
        <v>83.504499999999993</v>
      </c>
      <c r="D26" s="48">
        <f>IF(75297.90145="","-",75297.90145/1881236.72041*100)</f>
        <v>4.0025745103247532</v>
      </c>
      <c r="E26" s="48">
        <f>IF(62877.14384="","-",62877.14384/1650750.85967*100)</f>
        <v>3.8090026409296982</v>
      </c>
      <c r="F26" s="1"/>
      <c r="G26" s="1"/>
    </row>
    <row r="27" spans="1:7" x14ac:dyDescent="0.25">
      <c r="A27" s="70" t="s">
        <v>119</v>
      </c>
      <c r="B27" s="48">
        <f>IF(236419.74442="","-",236419.74442)</f>
        <v>236419.74442</v>
      </c>
      <c r="C27" s="64">
        <v>91.127700000000004</v>
      </c>
      <c r="D27" s="48">
        <f>IF(259437.8179="","-",259437.8179/1881236.72041*100)</f>
        <v>13.790811920971734</v>
      </c>
      <c r="E27" s="48">
        <f>IF(236419.74442="","-",236419.74442/1650750.85967*100)</f>
        <v>14.321951918732454</v>
      </c>
      <c r="F27" s="1"/>
      <c r="G27" s="1"/>
    </row>
    <row r="28" spans="1:7" x14ac:dyDescent="0.25">
      <c r="A28" s="70" t="s">
        <v>120</v>
      </c>
      <c r="B28" s="48">
        <f>IF(3503.74426="","-",3503.74426)</f>
        <v>3503.7442599999999</v>
      </c>
      <c r="C28" s="64">
        <v>69.814599999999999</v>
      </c>
      <c r="D28" s="48">
        <f>IF(5018.63589="","-",5018.63589/1881236.72041*100)</f>
        <v>0.26677322612043364</v>
      </c>
      <c r="E28" s="48">
        <f>IF(3503.74426="","-",3503.74426/1650750.85967*100)</f>
        <v>0.21225154840751864</v>
      </c>
      <c r="F28" s="12"/>
      <c r="G28" s="12"/>
    </row>
    <row r="29" spans="1:7" x14ac:dyDescent="0.25">
      <c r="A29" s="70" t="s">
        <v>121</v>
      </c>
      <c r="B29" s="48">
        <f>IF(209.34297="","-",209.34297)</f>
        <v>209.34297000000001</v>
      </c>
      <c r="C29" s="64">
        <v>138.71850000000001</v>
      </c>
      <c r="D29" s="48">
        <f>IF(150.90672="","-",150.90672/1881236.72041*100)</f>
        <v>8.0216762921314407E-3</v>
      </c>
      <c r="E29" s="48">
        <f>IF(209.34297="","-",209.34297/1650750.85967*100)</f>
        <v>1.268168171918139E-2</v>
      </c>
    </row>
    <row r="30" spans="1:7" x14ac:dyDescent="0.25">
      <c r="A30" s="70" t="s">
        <v>122</v>
      </c>
      <c r="B30" s="48">
        <f>IF(97915.41686="","-",97915.41686)</f>
        <v>97915.416859999998</v>
      </c>
      <c r="C30" s="64">
        <v>66.743099999999998</v>
      </c>
      <c r="D30" s="48">
        <f>IF(146704.98687="","-",146704.98687/1881236.72041*100)</f>
        <v>7.7983267750603362</v>
      </c>
      <c r="E30" s="48">
        <f>IF(97915.41686="","-",97915.41686/1650750.85967*100)</f>
        <v>5.9315684305973448</v>
      </c>
    </row>
    <row r="31" spans="1:7" x14ac:dyDescent="0.25">
      <c r="A31" s="70" t="s">
        <v>123</v>
      </c>
      <c r="B31" s="48">
        <f>IF(23.67667="","-",23.67667)</f>
        <v>23.676670000000001</v>
      </c>
      <c r="C31" s="64">
        <v>1.5519000000000001</v>
      </c>
      <c r="D31" s="48">
        <f>IF(1525.88637="","-",1525.88637/1881236.72041*100)</f>
        <v>8.11108114914664E-2</v>
      </c>
      <c r="E31" s="48">
        <f>IF(23.67667="","-",23.67667/1650750.85967*100)</f>
        <v>1.4342969965033478E-3</v>
      </c>
    </row>
    <row r="32" spans="1:7" x14ac:dyDescent="0.25">
      <c r="A32" s="45" t="s">
        <v>190</v>
      </c>
      <c r="B32" s="46">
        <f>IF(461291.4731="","-",461291.4731)</f>
        <v>461291.4731</v>
      </c>
      <c r="C32" s="46">
        <f>IF(484860.68037="","-",461291.4731/484860.68037*100)</f>
        <v>95.138973271246869</v>
      </c>
      <c r="D32" s="46">
        <f>IF(484860.68037="","-",484860.68037/1881236.72041*100)</f>
        <v>25.773507135472489</v>
      </c>
      <c r="E32" s="46">
        <f>IF(461291.4731="","-",461291.4731/1650750.85967*100)</f>
        <v>27.944342442578911</v>
      </c>
    </row>
    <row r="33" spans="1:5" x14ac:dyDescent="0.25">
      <c r="A33" s="70" t="s">
        <v>143</v>
      </c>
      <c r="B33" s="36"/>
      <c r="C33" s="39"/>
      <c r="D33" s="40"/>
      <c r="E33" s="36"/>
    </row>
    <row r="34" spans="1:5" x14ac:dyDescent="0.25">
      <c r="A34" s="70" t="s">
        <v>117</v>
      </c>
      <c r="B34" s="48">
        <f>IF(6159.88123="","-",6159.88123)</f>
        <v>6159.88123</v>
      </c>
      <c r="C34" s="64" t="s">
        <v>157</v>
      </c>
      <c r="D34" s="54">
        <f>IF(2378.88736="","-",2378.88736/1881236.72041*100)</f>
        <v>0.12645337687654434</v>
      </c>
      <c r="E34" s="48">
        <f>IF(6159.88123="","-",6159.88123/1650750.85967*100)</f>
        <v>0.37315632422153733</v>
      </c>
    </row>
    <row r="35" spans="1:5" x14ac:dyDescent="0.25">
      <c r="A35" s="70" t="s">
        <v>118</v>
      </c>
      <c r="B35" s="48">
        <f>IF(108.87323="","-",108.87323)</f>
        <v>108.87323000000001</v>
      </c>
      <c r="C35" s="64">
        <v>37.598500000000001</v>
      </c>
      <c r="D35" s="54">
        <f>IF(289.55997="","-",289.55997/1881236.72041*100)</f>
        <v>1.5392000743898557E-2</v>
      </c>
      <c r="E35" s="48">
        <f>IF(108.87323="","-",108.87323/1650750.85967*100)</f>
        <v>6.5953762411951585E-3</v>
      </c>
    </row>
    <row r="36" spans="1:5" x14ac:dyDescent="0.25">
      <c r="A36" s="70" t="s">
        <v>119</v>
      </c>
      <c r="B36" s="48">
        <f>IF(426785.0646="","-",426785.0646)</f>
        <v>426785.06459999998</v>
      </c>
      <c r="C36" s="64">
        <v>94.559299999999993</v>
      </c>
      <c r="D36" s="54">
        <f>IF(451341.33056="","-",451341.33056/1881236.72041*100)</f>
        <v>23.991735099750436</v>
      </c>
      <c r="E36" s="48">
        <f>IF(426785.0646="","-",426785.0646/1650750.85967*100)</f>
        <v>25.853996204207231</v>
      </c>
    </row>
    <row r="37" spans="1:5" x14ac:dyDescent="0.25">
      <c r="A37" s="70" t="s">
        <v>120</v>
      </c>
      <c r="B37" s="48">
        <f>IF(25902.99381="","-",25902.99381)</f>
        <v>25902.99381</v>
      </c>
      <c r="C37" s="64">
        <v>92.007300000000001</v>
      </c>
      <c r="D37" s="54">
        <f>IF(28153.19092="","-",28153.19092/1881236.72041*100)</f>
        <v>1.4965256958127122</v>
      </c>
      <c r="E37" s="48">
        <f>IF(25902.99381="","-",25902.99381/1650750.85967*100)</f>
        <v>1.5691643386560612</v>
      </c>
    </row>
    <row r="38" spans="1:5" x14ac:dyDescent="0.25">
      <c r="A38" s="70" t="s">
        <v>121</v>
      </c>
      <c r="B38" s="48">
        <f>IF(1605.5747="","-",1605.5747)</f>
        <v>1605.5746999999999</v>
      </c>
      <c r="C38" s="64">
        <v>101.32080000000001</v>
      </c>
      <c r="D38" s="54">
        <f>IF(1584.6357="","-",1584.6357/1881236.72041*100)</f>
        <v>8.4233721509254927E-2</v>
      </c>
      <c r="E38" s="48">
        <f>IF(1605.5747="","-",1605.5747/1650750.85967*100)</f>
        <v>9.7263296311168895E-2</v>
      </c>
    </row>
    <row r="39" spans="1:5" x14ac:dyDescent="0.25">
      <c r="A39" s="71" t="s">
        <v>123</v>
      </c>
      <c r="B39" s="50">
        <f>IF(729.08553="","-",729.08553)</f>
        <v>729.08552999999995</v>
      </c>
      <c r="C39" s="67">
        <v>65.502099999999999</v>
      </c>
      <c r="D39" s="50">
        <f>IF(1113.07586="","-",1113.07586/1881236.72041*100)</f>
        <v>5.9167240779640647E-2</v>
      </c>
      <c r="E39" s="50">
        <f>IF(729.08553="","-",729.08553/1650750.85967*100)</f>
        <v>4.4166902941716518E-2</v>
      </c>
    </row>
    <row r="40" spans="1:5" x14ac:dyDescent="0.25">
      <c r="A40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8"/>
  <sheetViews>
    <sheetView zoomScaleNormal="100" workbookViewId="0">
      <selection activeCell="A48" sqref="A48"/>
    </sheetView>
  </sheetViews>
  <sheetFormatPr defaultRowHeight="15.75" x14ac:dyDescent="0.25"/>
  <cols>
    <col min="1" max="1" width="27.5" customWidth="1"/>
    <col min="2" max="2" width="11.375" customWidth="1"/>
    <col min="3" max="3" width="10.875" customWidth="1"/>
    <col min="4" max="4" width="8.25" customWidth="1"/>
    <col min="5" max="5" width="8.375" customWidth="1"/>
    <col min="6" max="6" width="9.625" customWidth="1"/>
    <col min="7" max="7" width="9.5" customWidth="1"/>
  </cols>
  <sheetData>
    <row r="1" spans="1:9" x14ac:dyDescent="0.25">
      <c r="A1" s="89" t="s">
        <v>172</v>
      </c>
      <c r="B1" s="89"/>
      <c r="C1" s="89"/>
      <c r="D1" s="89"/>
      <c r="E1" s="89"/>
      <c r="F1" s="89"/>
      <c r="G1" s="89"/>
    </row>
    <row r="2" spans="1:9" x14ac:dyDescent="0.25">
      <c r="A2" s="89" t="s">
        <v>23</v>
      </c>
      <c r="B2" s="89"/>
      <c r="C2" s="89"/>
      <c r="D2" s="89"/>
      <c r="E2" s="89"/>
      <c r="F2" s="89"/>
      <c r="G2" s="89"/>
    </row>
    <row r="3" spans="1:9" x14ac:dyDescent="0.25">
      <c r="A3" s="6"/>
    </row>
    <row r="4" spans="1:9" ht="57" customHeight="1" x14ac:dyDescent="0.25">
      <c r="A4" s="97"/>
      <c r="B4" s="100" t="s">
        <v>191</v>
      </c>
      <c r="C4" s="95"/>
      <c r="D4" s="100" t="s">
        <v>0</v>
      </c>
      <c r="E4" s="95"/>
      <c r="F4" s="92" t="s">
        <v>109</v>
      </c>
      <c r="G4" s="101"/>
    </row>
    <row r="5" spans="1:9" ht="26.25" customHeight="1" x14ac:dyDescent="0.25">
      <c r="A5" s="98"/>
      <c r="B5" s="102" t="s">
        <v>114</v>
      </c>
      <c r="C5" s="90" t="s">
        <v>192</v>
      </c>
      <c r="D5" s="104" t="s">
        <v>193</v>
      </c>
      <c r="E5" s="104"/>
      <c r="F5" s="104" t="s">
        <v>193</v>
      </c>
      <c r="G5" s="100"/>
    </row>
    <row r="6" spans="1:9" ht="26.25" customHeight="1" x14ac:dyDescent="0.25">
      <c r="A6" s="99"/>
      <c r="B6" s="103"/>
      <c r="C6" s="91"/>
      <c r="D6" s="24">
        <v>2019</v>
      </c>
      <c r="E6" s="24">
        <v>2020</v>
      </c>
      <c r="F6" s="24" t="s">
        <v>126</v>
      </c>
      <c r="G6" s="20" t="s">
        <v>146</v>
      </c>
    </row>
    <row r="7" spans="1:9" ht="16.5" customHeight="1" x14ac:dyDescent="0.25">
      <c r="A7" s="43" t="s">
        <v>102</v>
      </c>
      <c r="B7" s="44">
        <f>IF(824834.53122="","-",824834.53122)</f>
        <v>824834.53122</v>
      </c>
      <c r="C7" s="44">
        <f>IF(948466.87002="","-",824834.53122/948466.87002*100)</f>
        <v>86.965033496911389</v>
      </c>
      <c r="D7" s="44">
        <v>100</v>
      </c>
      <c r="E7" s="44">
        <v>100</v>
      </c>
      <c r="F7" s="44">
        <f>IF(877651.01761="","-",(948466.87002-877651.01761)/877651.01761*100)</f>
        <v>8.0687939726708482</v>
      </c>
      <c r="G7" s="44">
        <f>IF(948466.87002="","-",(824834.53122-948466.87002)/948466.87002*100)</f>
        <v>-13.034966503088613</v>
      </c>
    </row>
    <row r="8" spans="1:9" ht="13.5" customHeight="1" x14ac:dyDescent="0.25">
      <c r="A8" s="52" t="s">
        <v>143</v>
      </c>
      <c r="B8" s="51"/>
      <c r="C8" s="51"/>
      <c r="D8" s="51"/>
      <c r="E8" s="51"/>
      <c r="F8" s="51"/>
      <c r="G8" s="51"/>
    </row>
    <row r="9" spans="1:9" ht="13.5" customHeight="1" x14ac:dyDescent="0.25">
      <c r="A9" s="55" t="s">
        <v>217</v>
      </c>
      <c r="B9" s="46">
        <f>IF(249382.19627="","-",249382.19627)</f>
        <v>249382.19626999999</v>
      </c>
      <c r="C9" s="46">
        <f>IF(216559.11765="","-",249382.19627/216559.11765*100)</f>
        <v>115.15663666170279</v>
      </c>
      <c r="D9" s="46">
        <f>IF(216559.11765="","-",216559.11765/948466.87002*100)</f>
        <v>22.832544234827463</v>
      </c>
      <c r="E9" s="46">
        <f>IF(249382.19627="","-",249382.19627/824834.53122*100)</f>
        <v>30.234209023856291</v>
      </c>
      <c r="F9" s="46">
        <f>IF(877651.01761="","-",(216559.11765-196364.65038)/877651.01761*100)</f>
        <v>2.3009677952625323</v>
      </c>
      <c r="G9" s="46">
        <f>IF(948466.87002="","-",(249382.19627-216559.11765)/948466.87002*100)</f>
        <v>3.4606457702953666</v>
      </c>
      <c r="I9" s="17"/>
    </row>
    <row r="10" spans="1:9" s="9" customFormat="1" ht="13.5" customHeight="1" x14ac:dyDescent="0.25">
      <c r="A10" s="47" t="s">
        <v>24</v>
      </c>
      <c r="B10" s="48">
        <f>IF(5330.79888="","-",5330.79888)</f>
        <v>5330.7988800000003</v>
      </c>
      <c r="C10" s="48" t="s">
        <v>116</v>
      </c>
      <c r="D10" s="48">
        <f>IF(1683.24035="","-",1683.24035/948466.87002*100)</f>
        <v>0.17746959890802574</v>
      </c>
      <c r="E10" s="48">
        <f>IF(5330.79888="","-",5330.79888/824834.53122*100)</f>
        <v>0.64628706464498986</v>
      </c>
      <c r="F10" s="48">
        <f>IF(OR(877651.01761="",3765.89376="",1683.24035=""),"-",(1683.24035-3765.89376)/877651.01761*100)</f>
        <v>-0.23729858089510747</v>
      </c>
      <c r="G10" s="48">
        <f>IF(OR(948466.87002="",5330.79888="",1683.24035=""),"-",(5330.79888-1683.24035)/948466.87002*100)</f>
        <v>0.38457416334669503</v>
      </c>
      <c r="I10" s="17"/>
    </row>
    <row r="11" spans="1:9" s="9" customFormat="1" ht="14.25" customHeight="1" x14ac:dyDescent="0.25">
      <c r="A11" s="47" t="s">
        <v>218</v>
      </c>
      <c r="B11" s="48">
        <f>IF(906.51573="","-",906.51573)</f>
        <v>906.51572999999996</v>
      </c>
      <c r="C11" s="48">
        <f>IF(OR(1941.57206="",906.51573=""),"-",906.51573/1941.57206*100)</f>
        <v>46.689780342224331</v>
      </c>
      <c r="D11" s="48">
        <f>IF(1941.57206="","-",1941.57206/948466.87002*100)</f>
        <v>0.20470636575414158</v>
      </c>
      <c r="E11" s="48">
        <f>IF(906.51573="","-",906.51573/824834.53122*100)</f>
        <v>0.10990273754169658</v>
      </c>
      <c r="F11" s="48">
        <f>IF(OR(877651.01761="",1808.41039="",1941.57206=""),"-",(1941.57206-1808.41039)/877651.01761*100)</f>
        <v>1.5172507902129812E-2</v>
      </c>
      <c r="G11" s="48">
        <f>IF(OR(948466.87002="",906.51573="",1941.57206=""),"-",(906.51573-1941.57206)/948466.87002*100)</f>
        <v>-0.10912941323698254</v>
      </c>
      <c r="I11" s="17"/>
    </row>
    <row r="12" spans="1:9" s="9" customFormat="1" x14ac:dyDescent="0.25">
      <c r="A12" s="47" t="s">
        <v>219</v>
      </c>
      <c r="B12" s="48">
        <f>IF(2779.46533="","-",2779.46533)</f>
        <v>2779.46533</v>
      </c>
      <c r="C12" s="48">
        <f>IF(OR(5021.95958="",2779.46533=""),"-",2779.46533/5021.95958*100)</f>
        <v>55.346230604269422</v>
      </c>
      <c r="D12" s="48">
        <f>IF(5021.95958="","-",5021.95958/948466.87002*100)</f>
        <v>0.52948181309633968</v>
      </c>
      <c r="E12" s="48">
        <f>IF(2779.46533="","-",2779.46533/824834.53122*100)</f>
        <v>0.33697247445362594</v>
      </c>
      <c r="F12" s="48">
        <f>IF(OR(877651.01761="",6331.44446="",5021.95958=""),"-",(5021.95958-6331.44446)/877651.01761*100)</f>
        <v>-0.14920336827797004</v>
      </c>
      <c r="G12" s="48">
        <f>IF(OR(948466.87002="",2779.46533="",5021.95958=""),"-",(2779.46533-5021.95958)/948466.87002*100)</f>
        <v>-0.23643358781237273</v>
      </c>
      <c r="I12" s="17"/>
    </row>
    <row r="13" spans="1:9" s="9" customFormat="1" x14ac:dyDescent="0.25">
      <c r="A13" s="47" t="s">
        <v>220</v>
      </c>
      <c r="B13" s="48">
        <f>IF(2.95359="","-",2.95359)</f>
        <v>2.9535900000000002</v>
      </c>
      <c r="C13" s="48">
        <f>IF(OR(12.69111="",2.95359=""),"-",2.95359/12.69111*100)</f>
        <v>23.272905206873158</v>
      </c>
      <c r="D13" s="48">
        <f>IF(12.69111="","-",12.69111/948466.87002*100)</f>
        <v>1.3380657143809763E-3</v>
      </c>
      <c r="E13" s="48">
        <f>IF(2.95359="","-",2.95359/824834.53122*100)</f>
        <v>3.5808272910584755E-4</v>
      </c>
      <c r="F13" s="48">
        <f>IF(OR(877651.01761="",3.81906="",12.69111=""),"-",(12.69111-3.81906)/877651.01761*100)</f>
        <v>1.0108858557653329E-3</v>
      </c>
      <c r="G13" s="48">
        <f>IF(OR(948466.87002="",2.95359="",12.69111=""),"-",(2.95359-12.69111)/948466.87002*100)</f>
        <v>-1.0266589490674216E-3</v>
      </c>
      <c r="I13" s="17"/>
    </row>
    <row r="14" spans="1:9" s="9" customFormat="1" ht="15" customHeight="1" x14ac:dyDescent="0.25">
      <c r="A14" s="47" t="s">
        <v>221</v>
      </c>
      <c r="B14" s="48">
        <f>IF(94007.83294="","-",94007.83294)</f>
        <v>94007.832939999993</v>
      </c>
      <c r="C14" s="48">
        <f>IF(OR(87826.75545="",94007.83294=""),"-",94007.83294/87826.75545*100)</f>
        <v>107.03780693973022</v>
      </c>
      <c r="D14" s="48">
        <f>IF(87826.75545="","-",87826.75545/948466.87002*100)</f>
        <v>9.2598653918347225</v>
      </c>
      <c r="E14" s="48">
        <f>IF(94007.83294="","-",94007.83294/824834.53122*100)</f>
        <v>11.397174752244485</v>
      </c>
      <c r="F14" s="48">
        <f>IF(OR(877651.01761="",70224.08317="",87826.75545=""),"-",(87826.75545-70224.08317)/877651.01761*100)</f>
        <v>2.0056573657186898</v>
      </c>
      <c r="G14" s="48">
        <f>IF(OR(948466.87002="",94007.83294="",87826.75545=""),"-",(94007.83294-87826.75545)/948466.87002*100)</f>
        <v>0.65169144915622179</v>
      </c>
      <c r="I14" s="17"/>
    </row>
    <row r="15" spans="1:9" s="9" customFormat="1" ht="15.75" customHeight="1" x14ac:dyDescent="0.25">
      <c r="A15" s="47" t="s">
        <v>222</v>
      </c>
      <c r="B15" s="48">
        <f>IF(122444.51288="","-",122444.51288)</f>
        <v>122444.51287999999</v>
      </c>
      <c r="C15" s="48">
        <f>IF(OR(101859.48461="",122444.51288=""),"-",122444.51288/101859.48461*100)</f>
        <v>120.20924055213516</v>
      </c>
      <c r="D15" s="48">
        <f>IF(101859.48461="","-",101859.48461/948466.87002*100)</f>
        <v>10.739382452847522</v>
      </c>
      <c r="E15" s="48">
        <f>IF(122444.51288="","-",122444.51288/824834.53122*100)</f>
        <v>14.844736519322755</v>
      </c>
      <c r="F15" s="48">
        <f>IF(OR(877651.01761="",93632.98719="",101859.48461=""),"-",(101859.48461-93632.98719)/877651.01761*100)</f>
        <v>0.93733126891394902</v>
      </c>
      <c r="G15" s="48">
        <f>IF(OR(948466.87002="",122444.51288="",101859.48461=""),"-",(122444.51288-101859.48461)/948466.87002*100)</f>
        <v>2.1703476337097496</v>
      </c>
      <c r="I15" s="17"/>
    </row>
    <row r="16" spans="1:9" s="9" customFormat="1" ht="15" customHeight="1" x14ac:dyDescent="0.25">
      <c r="A16" s="47" t="s">
        <v>223</v>
      </c>
      <c r="B16" s="48">
        <f>IF(8177.53627="","-",8177.53627)</f>
        <v>8177.5362699999996</v>
      </c>
      <c r="C16" s="48" t="s">
        <v>96</v>
      </c>
      <c r="D16" s="48">
        <f>IF(3966.89597="","-",3966.89597/948466.87002*100)</f>
        <v>0.41824296613716738</v>
      </c>
      <c r="E16" s="48">
        <f>IF(8177.53627="","-",8177.53627/824834.53122*100)</f>
        <v>0.99141536398879082</v>
      </c>
      <c r="F16" s="48">
        <f>IF(OR(877651.01761="",7630.06031="",3966.89597=""),"-",(3966.89597-7630.06031)/877651.01761*100)</f>
        <v>-0.41738279412874707</v>
      </c>
      <c r="G16" s="48">
        <f>IF(OR(948466.87002="",8177.53627="",3966.89597=""),"-",(8177.53627-3966.89597)/948466.87002*100)</f>
        <v>0.44394173724921049</v>
      </c>
      <c r="I16" s="17"/>
    </row>
    <row r="17" spans="1:9" s="9" customFormat="1" ht="25.5" x14ac:dyDescent="0.25">
      <c r="A17" s="47" t="s">
        <v>224</v>
      </c>
      <c r="B17" s="48">
        <f>IF(3177.99664="","-",3177.99664)</f>
        <v>3177.9966399999998</v>
      </c>
      <c r="C17" s="48">
        <f>IF(OR(3386.05415="",3177.99664=""),"-",3177.99664/3386.05415*100)</f>
        <v>93.855458277298965</v>
      </c>
      <c r="D17" s="48">
        <f>IF(3386.05415="","-",3386.05415/948466.87002*100)</f>
        <v>0.3570028914060645</v>
      </c>
      <c r="E17" s="48">
        <f>IF(3177.99664="","-",3177.99664/824834.53122*100)</f>
        <v>0.3852889906657368</v>
      </c>
      <c r="F17" s="48">
        <f>IF(OR(877651.01761="",3540.04946="",3386.05415=""),"-",(3386.05415-3540.04946)/877651.01761*100)</f>
        <v>-1.7546303360914103E-2</v>
      </c>
      <c r="G17" s="48">
        <f>IF(OR(948466.87002="",3177.99664="",3386.05415=""),"-",(3177.99664-3386.05415)/948466.87002*100)</f>
        <v>-2.1936191613694724E-2</v>
      </c>
      <c r="I17" s="17"/>
    </row>
    <row r="18" spans="1:9" s="9" customFormat="1" ht="25.5" x14ac:dyDescent="0.25">
      <c r="A18" s="47" t="s">
        <v>225</v>
      </c>
      <c r="B18" s="48">
        <f>IF(11530.11749="","-",11530.11749)</f>
        <v>11530.117490000001</v>
      </c>
      <c r="C18" s="48">
        <f>IF(OR(9911.47634="",11530.11749=""),"-",11530.11749/9911.47634*100)</f>
        <v>116.33097930595476</v>
      </c>
      <c r="D18" s="48">
        <f>IF(9911.47634="","-",9911.47634/948466.87002*100)</f>
        <v>1.0449997415082088</v>
      </c>
      <c r="E18" s="48">
        <f>IF(11530.11749="","-",11530.11749/824834.53122*100)</f>
        <v>1.3978703671566686</v>
      </c>
      <c r="F18" s="48">
        <f>IF(OR(877651.01761="",8632.91472="",9911.47634=""),"-",(9911.47634-8632.91472)/877651.01761*100)</f>
        <v>0.14567995642296977</v>
      </c>
      <c r="G18" s="48">
        <f>IF(OR(948466.87002="",11530.11749="",9911.47634=""),"-",(11530.11749-9911.47634)/948466.87002*100)</f>
        <v>0.17065869153298621</v>
      </c>
      <c r="I18" s="17"/>
    </row>
    <row r="19" spans="1:9" s="9" customFormat="1" x14ac:dyDescent="0.25">
      <c r="A19" s="47" t="s">
        <v>226</v>
      </c>
      <c r="B19" s="48">
        <f>IF(1024.46652="","-",1024.46652)</f>
        <v>1024.4665199999999</v>
      </c>
      <c r="C19" s="48">
        <f>IF(OR(948.98803="",1024.46652=""),"-",1024.46652/948.98803*100)</f>
        <v>107.95357661149845</v>
      </c>
      <c r="D19" s="48">
        <f>IF(948.98803="","-",948.98803/948466.87002*100)</f>
        <v>0.10005494762088939</v>
      </c>
      <c r="E19" s="48">
        <f>IF(1024.46652="","-",1024.46652/824834.53122*100)</f>
        <v>0.12420267110843763</v>
      </c>
      <c r="F19" s="48">
        <f>IF(OR(877651.01761="",794.98786="",948.98803=""),"-",(948.98803-794.98786)/877651.01761*100)</f>
        <v>1.754685711176749E-2</v>
      </c>
      <c r="G19" s="48">
        <f>IF(OR(948466.87002="",1024.46652="",948.98803=""),"-",(1024.46652-948.98803)/948466.87002*100)</f>
        <v>7.9579469126220912E-3</v>
      </c>
    </row>
    <row r="20" spans="1:9" s="9" customFormat="1" x14ac:dyDescent="0.25">
      <c r="A20" s="55" t="s">
        <v>227</v>
      </c>
      <c r="B20" s="46">
        <f>IF(59300.15056="","-",59300.15056)</f>
        <v>59300.150560000002</v>
      </c>
      <c r="C20" s="46">
        <f>IF(66422.08288="","-",59300.15056/66422.08288*100)</f>
        <v>89.277764244661398</v>
      </c>
      <c r="D20" s="46">
        <f>IF(66422.08288="","-",66422.08288/948466.87002*100)</f>
        <v>7.0030999478768701</v>
      </c>
      <c r="E20" s="46">
        <f>IF(59300.15056="","-",59300.15056/824834.53122*100)</f>
        <v>7.1893389904869851</v>
      </c>
      <c r="F20" s="46">
        <f>IF(877651.01761="","-",(66422.08288-69974.38785)/877651.01761*100)</f>
        <v>-0.40475142154720634</v>
      </c>
      <c r="G20" s="46">
        <f>IF(948466.87002="","-",(59300.15056-66422.08288)/948466.87002*100)</f>
        <v>-0.75088888659335273</v>
      </c>
    </row>
    <row r="21" spans="1:9" s="9" customFormat="1" x14ac:dyDescent="0.25">
      <c r="A21" s="47" t="s">
        <v>228</v>
      </c>
      <c r="B21" s="48">
        <f>IF(54732.51155="","-",54732.51155)</f>
        <v>54732.511550000003</v>
      </c>
      <c r="C21" s="48">
        <f>IF(OR(58343.92455="",54732.51155=""),"-",54732.51155/58343.92455*100)</f>
        <v>93.810130141476748</v>
      </c>
      <c r="D21" s="48">
        <f>IF(58343.92455="","-",58343.92455/948466.87002*100)</f>
        <v>6.1513929894852017</v>
      </c>
      <c r="E21" s="48">
        <f>IF(54732.51155="","-",54732.51155/824834.53122*100)</f>
        <v>6.6355747096385489</v>
      </c>
      <c r="F21" s="48">
        <f>IF(OR(877651.01761="",62853.60652="",58343.92455=""),"-",(58343.92455-62853.60652)/877651.01761*100)</f>
        <v>-0.51383544022778715</v>
      </c>
      <c r="G21" s="48">
        <f>IF(OR(948466.87002="",54732.51155="",58343.92455=""),"-",(54732.51155-58343.92455)/948466.87002*100)</f>
        <v>-0.38076322053545714</v>
      </c>
    </row>
    <row r="22" spans="1:9" s="9" customFormat="1" x14ac:dyDescent="0.25">
      <c r="A22" s="47" t="s">
        <v>229</v>
      </c>
      <c r="B22" s="48">
        <f>IF(4567.63901="","-",4567.63901)</f>
        <v>4567.6390099999999</v>
      </c>
      <c r="C22" s="48">
        <f>IF(OR(8078.15833="",4567.63901=""),"-",4567.63901/8078.15833*100)</f>
        <v>56.543073599301444</v>
      </c>
      <c r="D22" s="48">
        <f>IF(8078.15833="","-",8078.15833/948466.87002*100)</f>
        <v>0.85170695839166832</v>
      </c>
      <c r="E22" s="48">
        <f>IF(4567.63901="","-",4567.63901/824834.53122*100)</f>
        <v>0.55376428084843576</v>
      </c>
      <c r="F22" s="48">
        <f>IF(OR(877651.01761="",7120.78133="",8078.15833=""),"-",(8078.15833-7120.78133)/877651.01761*100)</f>
        <v>0.10908401868058087</v>
      </c>
      <c r="G22" s="48">
        <f>IF(OR(948466.87002="",4567.63901="",8078.15833=""),"-",(4567.63901-8078.15833)/948466.87002*100)</f>
        <v>-0.3701256660578956</v>
      </c>
    </row>
    <row r="23" spans="1:9" s="9" customFormat="1" ht="25.5" x14ac:dyDescent="0.25">
      <c r="A23" s="55" t="s">
        <v>25</v>
      </c>
      <c r="B23" s="46">
        <f>IF(80355.21554="","-",80355.21554)</f>
        <v>80355.215540000005</v>
      </c>
      <c r="C23" s="46">
        <f>IF(117870.8304="","-",80355.21554/117870.8304*100)</f>
        <v>68.172265578609185</v>
      </c>
      <c r="D23" s="46">
        <f>IF(117870.8304="","-",117870.8304/948466.87002*100)</f>
        <v>12.427511611187274</v>
      </c>
      <c r="E23" s="46">
        <f>IF(80355.21554="","-",80355.21554/824834.53122*100)</f>
        <v>9.7419800576423317</v>
      </c>
      <c r="F23" s="46">
        <f>IF(877651.01761="","-",(117870.8304-104277.4731)/877651.01761*100)</f>
        <v>1.5488339929254724</v>
      </c>
      <c r="G23" s="46">
        <f>IF(948466.87002="","-",(80355.21554-117870.8304)/948466.87002*100)</f>
        <v>-3.955395390796193</v>
      </c>
      <c r="H23" s="7"/>
    </row>
    <row r="24" spans="1:9" s="9" customFormat="1" x14ac:dyDescent="0.25">
      <c r="A24" s="47" t="s">
        <v>230</v>
      </c>
      <c r="B24" s="48">
        <f>IF(575.68205="","-",575.68205)</f>
        <v>575.68205</v>
      </c>
      <c r="C24" s="48">
        <f>IF(OR(467.64384="",575.68205=""),"-",575.68205/467.64384*100)</f>
        <v>123.1026693305743</v>
      </c>
      <c r="D24" s="48">
        <f>IF(467.64384="","-",467.64384/948466.87002*100)</f>
        <v>4.9305237197176853E-2</v>
      </c>
      <c r="E24" s="48">
        <f>IF(575.68205="","-",575.68205/824834.53122*100)</f>
        <v>6.9793640810420193E-2</v>
      </c>
      <c r="F24" s="48">
        <f>IF(OR(877651.01761="",1349.97296="",467.64384=""),"-",(467.64384-1349.97296)/877651.01761*100)</f>
        <v>-0.10053302534790416</v>
      </c>
      <c r="G24" s="48">
        <f>IF(OR(948466.87002="",575.68205="",467.64384=""),"-",(575.68205-467.64384)/948466.87002*100)</f>
        <v>1.139082591231909E-2</v>
      </c>
      <c r="H24" s="8"/>
    </row>
    <row r="25" spans="1:9" s="9" customFormat="1" x14ac:dyDescent="0.25">
      <c r="A25" s="47" t="s">
        <v>231</v>
      </c>
      <c r="B25" s="48">
        <f>IF(71155.36986="","-",71155.36986)</f>
        <v>71155.369860000006</v>
      </c>
      <c r="C25" s="48">
        <f>IF(OR(105771.15698="",71155.36986=""),"-",71155.36986/105771.15698*100)</f>
        <v>67.272942729986966</v>
      </c>
      <c r="D25" s="48">
        <f>IF(105771.15698="","-",105771.15698/948466.87002*100)</f>
        <v>11.151803012135748</v>
      </c>
      <c r="E25" s="48">
        <f>IF(71155.36986="","-",71155.36986/824834.53122*100)</f>
        <v>8.6266235428765583</v>
      </c>
      <c r="F25" s="48">
        <f>IF(OR(877651.01761="",91475.01046="",105771.15698=""),"-",(105771.15698-91475.01046)/877651.01761*100)</f>
        <v>1.6289101514325075</v>
      </c>
      <c r="G25" s="48">
        <f>IF(OR(948466.87002="",71155.36986="",105771.15698=""),"-",(71155.36986-105771.15698)/948466.87002*100)</f>
        <v>-3.6496569584207048</v>
      </c>
      <c r="H25" s="8"/>
    </row>
    <row r="26" spans="1:9" s="9" customFormat="1" ht="25.5" x14ac:dyDescent="0.25">
      <c r="A26" s="47" t="s">
        <v>232</v>
      </c>
      <c r="B26" s="48">
        <f>IF(0.11619="","-",0.11619)</f>
        <v>0.11619</v>
      </c>
      <c r="C26" s="48">
        <f>IF(OR(0.23836="",0.11619=""),"-",0.11619/0.23836*100)</f>
        <v>48.745594898472902</v>
      </c>
      <c r="D26" s="48">
        <f>IF(0.23836="","-",0.23836/948466.87002*100)</f>
        <v>2.51310833867053E-5</v>
      </c>
      <c r="E26" s="48">
        <f>IF(0.11619="","-",0.11619/824834.53122*100)</f>
        <v>1.4086461660152025E-5</v>
      </c>
      <c r="F26" s="48">
        <f>IF(OR(877651.01761="",0.04748="",0.23836=""),"-",(0.23836-0.04748)/877651.01761*100)</f>
        <v>2.1748963559547875E-5</v>
      </c>
      <c r="G26" s="48">
        <f>IF(OR(948466.87002="",0.11619="",0.23836=""),"-",(0.11619-0.23836)/948466.87002*100)</f>
        <v>-1.2880787285424509E-5</v>
      </c>
      <c r="H26" s="8"/>
    </row>
    <row r="27" spans="1:9" s="9" customFormat="1" ht="14.25" customHeight="1" x14ac:dyDescent="0.25">
      <c r="A27" s="47" t="s">
        <v>233</v>
      </c>
      <c r="B27" s="48">
        <f>IF(601.02533="","-",601.02533)</f>
        <v>601.02533000000005</v>
      </c>
      <c r="C27" s="48" t="s">
        <v>215</v>
      </c>
      <c r="D27" s="48">
        <f>IF(175.50655="","-",175.50655/948466.87002*100)</f>
        <v>1.8504236209779173E-2</v>
      </c>
      <c r="E27" s="48">
        <f>IF(601.02533="","-",601.02533/824834.53122*100)</f>
        <v>7.2866169789355548E-2</v>
      </c>
      <c r="F27" s="48">
        <f>IF(OR(877651.01761="",205.50177="",175.50655=""),"-",(175.50655-205.50177)/877651.01761*100)</f>
        <v>-3.4176705089093745E-3</v>
      </c>
      <c r="G27" s="48">
        <f>IF(OR(948466.87002="",601.02533="",175.50655=""),"-",(601.02533-175.50655)/948466.87002*100)</f>
        <v>4.4863852755450198E-2</v>
      </c>
      <c r="H27" s="8"/>
    </row>
    <row r="28" spans="1:9" s="9" customFormat="1" x14ac:dyDescent="0.25">
      <c r="A28" s="47" t="s">
        <v>234</v>
      </c>
      <c r="B28" s="48">
        <f>IF(562.2545="","-",562.2545)</f>
        <v>562.25450000000001</v>
      </c>
      <c r="C28" s="48">
        <f>IF(OR(827.59546="",562.2545=""),"-",562.2545/827.59546*100)</f>
        <v>67.938325809568852</v>
      </c>
      <c r="D28" s="48">
        <f>IF(827.59546="","-",827.59546/948466.87002*100)</f>
        <v>8.7256127352402804E-2</v>
      </c>
      <c r="E28" s="48">
        <f>IF(562.2545="","-",562.2545/824834.53122*100)</f>
        <v>6.8165732485566302E-2</v>
      </c>
      <c r="F28" s="48">
        <f>IF(OR(877651.01761="",979.03076="",827.59546=""),"-",(827.59546-979.03076)/877651.01761*100)</f>
        <v>-1.7254614529176447E-2</v>
      </c>
      <c r="G28" s="48">
        <f>IF(OR(948466.87002="",562.2545="",827.59546=""),"-",(562.2545-827.59546)/948466.87002*100)</f>
        <v>-2.7975775262915066E-2</v>
      </c>
      <c r="H28" s="8"/>
    </row>
    <row r="29" spans="1:9" s="9" customFormat="1" ht="38.25" x14ac:dyDescent="0.25">
      <c r="A29" s="47" t="s">
        <v>235</v>
      </c>
      <c r="B29" s="48">
        <f>IF(12.29931="","-",12.29931)</f>
        <v>12.29931</v>
      </c>
      <c r="C29" s="48">
        <f>IF(OR(103.33915="",12.29931=""),"-",12.29931/103.33915*100)</f>
        <v>11.90188810339547</v>
      </c>
      <c r="D29" s="48">
        <f>IF(103.33915="","-",103.33915/948466.87002*100)</f>
        <v>1.0895388470218356E-2</v>
      </c>
      <c r="E29" s="48">
        <f>IF(12.29931="","-",12.29931/824834.53122*100)</f>
        <v>1.491124526734869E-3</v>
      </c>
      <c r="F29" s="48">
        <f>IF(OR(877651.01761="",63.83006="",103.33915=""),"-",(103.33915-63.83006)/877651.01761*100)</f>
        <v>4.5016856594766209E-3</v>
      </c>
      <c r="G29" s="48">
        <f>IF(OR(948466.87002="",12.29931="",103.33915=""),"-",(12.29931-103.33915)/948466.87002*100)</f>
        <v>-9.5986315260627141E-3</v>
      </c>
      <c r="H29" s="8"/>
    </row>
    <row r="30" spans="1:9" s="9" customFormat="1" ht="38.25" x14ac:dyDescent="0.25">
      <c r="A30" s="47" t="s">
        <v>236</v>
      </c>
      <c r="B30" s="48">
        <f>IF(2497.63914="","-",2497.63914)</f>
        <v>2497.6391400000002</v>
      </c>
      <c r="C30" s="48">
        <f>IF(OR(3106.26869="",2497.63914=""),"-",2497.63914/3106.26869*100)</f>
        <v>80.406410045616511</v>
      </c>
      <c r="D30" s="48">
        <f>IF(3106.26869="","-",3106.26869/948466.87002*100)</f>
        <v>0.32750418472017889</v>
      </c>
      <c r="E30" s="48">
        <f>IF(2497.63914="","-",2497.63914/824834.53122*100)</f>
        <v>0.30280487121529465</v>
      </c>
      <c r="F30" s="48">
        <f>IF(OR(877651.01761="",3422.50504="",3106.26869=""),"-",(3106.26869-3422.50504)/877651.01761*100)</f>
        <v>-3.6032129360616255E-2</v>
      </c>
      <c r="G30" s="48">
        <f>IF(OR(948466.87002="",2497.63914="",3106.26869=""),"-",(2497.63914-3106.26869)/948466.87002*100)</f>
        <v>-6.4169827037518529E-2</v>
      </c>
      <c r="H30" s="8"/>
    </row>
    <row r="31" spans="1:9" s="9" customFormat="1" ht="15.75" customHeight="1" x14ac:dyDescent="0.25">
      <c r="A31" s="47" t="s">
        <v>237</v>
      </c>
      <c r="B31" s="48">
        <f>IF(2811.0545="","-",2811.0545)</f>
        <v>2811.0545000000002</v>
      </c>
      <c r="C31" s="48">
        <f>IF(OR(5607.26833="",2811.0545=""),"-",2811.0545/5607.26833*100)</f>
        <v>50.132334223427478</v>
      </c>
      <c r="D31" s="48">
        <f>IF(5607.26833="","-",5607.26833/948466.87002*100)</f>
        <v>0.59119285103566788</v>
      </c>
      <c r="E31" s="48">
        <f>IF(2811.0545="","-",2811.0545/824834.53122*100)</f>
        <v>0.3408022328844808</v>
      </c>
      <c r="F31" s="48">
        <f>IF(OR(877651.01761="",5019.77898="",5607.26833=""),"-",(5607.26833-5019.77898)/877651.01761*100)</f>
        <v>6.6938833113854068E-2</v>
      </c>
      <c r="G31" s="48">
        <f>IF(OR(948466.87002="",2811.0545="",5607.26833=""),"-",(2811.0545-5607.26833)/948466.87002*100)</f>
        <v>-0.29481407504945711</v>
      </c>
    </row>
    <row r="32" spans="1:9" s="9" customFormat="1" ht="25.5" x14ac:dyDescent="0.25">
      <c r="A32" s="47" t="s">
        <v>238</v>
      </c>
      <c r="B32" s="48">
        <f>IF(2139.77466="","-",2139.77466)</f>
        <v>2139.77466</v>
      </c>
      <c r="C32" s="48">
        <f>IF(OR(1811.81304="",2139.77466=""),"-",2139.77466/1811.81304*100)</f>
        <v>118.10129482233995</v>
      </c>
      <c r="D32" s="48">
        <f>IF(1811.81304="","-",1811.81304/948466.87002*100)</f>
        <v>0.19102544298271534</v>
      </c>
      <c r="E32" s="48">
        <f>IF(2139.77466="","-",2139.77466/824834.53122*100)</f>
        <v>0.25941865659226132</v>
      </c>
      <c r="F32" s="48">
        <f>IF(OR(877651.01761="",1761.79559="",1811.81304=""),"-",(1811.81304-1761.79559)/877651.01761*100)</f>
        <v>5.6990135026797418E-3</v>
      </c>
      <c r="G32" s="48">
        <f>IF(OR(948466.87002="",2139.77466="",1811.81304=""),"-",(2139.77466-1811.81304)/948466.87002*100)</f>
        <v>3.4578078619982203E-2</v>
      </c>
    </row>
    <row r="33" spans="1:7" s="9" customFormat="1" ht="25.5" x14ac:dyDescent="0.25">
      <c r="A33" s="55" t="s">
        <v>239</v>
      </c>
      <c r="B33" s="46">
        <f>IF(1897.15885="","-",1897.15885)</f>
        <v>1897.15885</v>
      </c>
      <c r="C33" s="46">
        <f>IF(4975.1318="","-",1897.15885/4975.1318*100)</f>
        <v>38.132835998435255</v>
      </c>
      <c r="D33" s="46">
        <f>IF(4975.1318="","-",4975.1318/948466.87002*100)</f>
        <v>0.52454460532660363</v>
      </c>
      <c r="E33" s="46">
        <f>IF(1897.15885="","-",1897.15885/824834.53122*100)</f>
        <v>0.23000478013377323</v>
      </c>
      <c r="F33" s="46">
        <f>IF(877651.01761="","-",(4975.1318-4327.1222)/877651.01761*100)</f>
        <v>7.3834540950530186E-2</v>
      </c>
      <c r="G33" s="46">
        <f>IF(948466.87002="","-",(1897.15885-4975.1318)/948466.87002*100)</f>
        <v>-0.32452087123877044</v>
      </c>
    </row>
    <row r="34" spans="1:7" s="9" customFormat="1" ht="25.5" x14ac:dyDescent="0.25">
      <c r="A34" s="47" t="s">
        <v>240</v>
      </c>
      <c r="B34" s="48">
        <f>IF(1865.41412="","-",1865.41412)</f>
        <v>1865.4141199999999</v>
      </c>
      <c r="C34" s="48">
        <f>IF(OR(4972.5985="",1865.41412=""),"-",1865.41412/4972.5985*100)</f>
        <v>37.513869659897132</v>
      </c>
      <c r="D34" s="48">
        <f>IF(4972.5985="","-",4972.5985/948466.87002*100)</f>
        <v>0.52427751112647136</v>
      </c>
      <c r="E34" s="48">
        <f>IF(1865.41412="","-",1865.41412/824834.53122*100)</f>
        <v>0.22615616216271819</v>
      </c>
      <c r="F34" s="48">
        <f>IF(OR(877651.01761="",4302.00415="",4972.5985=""),"-",(4972.5985-4302.00415)/877651.01761*100)</f>
        <v>7.640785876670525E-2</v>
      </c>
      <c r="G34" s="48">
        <f>IF(OR(948466.87002="",1865.41412="",4972.5985=""),"-",(1865.41412-4972.5985)/948466.87002*100)</f>
        <v>-0.32760072894633419</v>
      </c>
    </row>
    <row r="35" spans="1:7" s="9" customFormat="1" x14ac:dyDescent="0.25">
      <c r="A35" s="47" t="s">
        <v>241</v>
      </c>
      <c r="B35" s="48">
        <f>IF(2.4755="","-",2.4755)</f>
        <v>2.4754999999999998</v>
      </c>
      <c r="C35" s="48">
        <f>IF(OR(2.43599="",2.4755=""),"-",2.4755/2.43599*100)</f>
        <v>101.62192784042628</v>
      </c>
      <c r="D35" s="48">
        <f>IF(2.43599="","-",2.43599/948466.87002*100)</f>
        <v>2.5683448489335561E-4</v>
      </c>
      <c r="E35" s="48">
        <f>IF(2.4755="","-",2.4755/824834.53122*100)</f>
        <v>3.0012080075485275E-4</v>
      </c>
      <c r="F35" s="48">
        <f>IF(OR(877651.01761="",2.71872="",2.43599=""),"-",(2.43599-2.71872)/877651.01761*100)</f>
        <v>-3.221439892702729E-5</v>
      </c>
      <c r="G35" s="48">
        <f>IF(OR(948466.87002="",2.4755="",2.43599=""),"-",(2.4755-2.43599)/948466.87002*100)</f>
        <v>4.1656700143007412E-6</v>
      </c>
    </row>
    <row r="36" spans="1:7" s="9" customFormat="1" ht="25.5" x14ac:dyDescent="0.25">
      <c r="A36" s="55" t="s">
        <v>242</v>
      </c>
      <c r="B36" s="46">
        <f>IF(44650.93208="","-",44650.93208)</f>
        <v>44650.932079999999</v>
      </c>
      <c r="C36" s="46" t="s">
        <v>106</v>
      </c>
      <c r="D36" s="46">
        <f>IF(26386.83455="","-",26386.83455/948466.87002*100)</f>
        <v>2.7820512644203998</v>
      </c>
      <c r="E36" s="46">
        <f>IF(44650.93208="","-",44650.93208/824834.53122*100)</f>
        <v>5.4133199314482505</v>
      </c>
      <c r="F36" s="46">
        <f>IF(877651.01761="","-",(26386.83455-34492.19271)/877651.01761*100)</f>
        <v>-0.92352860047634155</v>
      </c>
      <c r="G36" s="46">
        <f>IF(948466.87002="","-",(44650.93208-26386.83455)/948466.87002*100)</f>
        <v>1.9256442272585514</v>
      </c>
    </row>
    <row r="37" spans="1:7" s="9" customFormat="1" ht="25.5" x14ac:dyDescent="0.25">
      <c r="A37" s="47" t="s">
        <v>243</v>
      </c>
      <c r="B37" s="48">
        <f>IF(44633.44758="","-",44633.44758)</f>
        <v>44633.44758</v>
      </c>
      <c r="C37" s="48" t="s">
        <v>106</v>
      </c>
      <c r="D37" s="48">
        <f>IF(26386.69879="","-",26386.69879/948466.87002*100)</f>
        <v>2.7820369507944531</v>
      </c>
      <c r="E37" s="48">
        <f>IF(44633.44758="","-",44633.44758/824834.53122*100)</f>
        <v>5.4112001729587336</v>
      </c>
      <c r="F37" s="48">
        <f>IF(OR(877651.01761="",34457.57109="",26386.69879=""),"-",(26386.69879-34457.57109)/877651.01761*100)</f>
        <v>-0.91959926417887849</v>
      </c>
      <c r="G37" s="48">
        <f>IF(OR(948466.87002="",44633.44758="",26386.69879=""),"-",(44633.44758-26386.69879)/948466.87002*100)</f>
        <v>1.9238150922040362</v>
      </c>
    </row>
    <row r="38" spans="1:7" s="9" customFormat="1" ht="25.5" x14ac:dyDescent="0.25">
      <c r="A38" s="55" t="s">
        <v>244</v>
      </c>
      <c r="B38" s="46">
        <f>IF(33129.77729="","-",33129.77729)</f>
        <v>33129.777289999998</v>
      </c>
      <c r="C38" s="46">
        <f>IF(38937.47417="","-",33129.77729/38937.47417*100)</f>
        <v>85.084556705851668</v>
      </c>
      <c r="D38" s="46">
        <f>IF(38937.47417="","-",38937.47417/948466.87002*100)</f>
        <v>4.1053067219078452</v>
      </c>
      <c r="E38" s="46">
        <f>IF(33129.77729="","-",33129.77729/824834.53122*100)</f>
        <v>4.0165361701089619</v>
      </c>
      <c r="F38" s="46">
        <f>IF(877651.01761="","-",(38937.47417-42130.93824)/877651.01761*100)</f>
        <v>-0.36386490825207191</v>
      </c>
      <c r="G38" s="46">
        <f>IF(948466.87002="","-",(33129.77729-38937.47417)/948466.87002*100)</f>
        <v>-0.61232469615702423</v>
      </c>
    </row>
    <row r="39" spans="1:7" s="9" customFormat="1" x14ac:dyDescent="0.25">
      <c r="A39" s="47" t="s">
        <v>26</v>
      </c>
      <c r="B39" s="48">
        <f>IF(13229.99367="","-",13229.99367)</f>
        <v>13229.99367</v>
      </c>
      <c r="C39" s="48" t="s">
        <v>157</v>
      </c>
      <c r="D39" s="48">
        <f>IF(5092.82445="","-",5092.82445/948466.87002*100)</f>
        <v>0.53695333078872953</v>
      </c>
      <c r="E39" s="48">
        <f>IF(13229.99367="","-",13229.99367/824834.53122*100)</f>
        <v>1.6039572992211808</v>
      </c>
      <c r="F39" s="48">
        <f>IF(OR(877651.01761="",8012.32038="",5092.82445=""),"-",(5092.82445-8012.32038)/877651.01761*100)</f>
        <v>-0.33264884007658391</v>
      </c>
      <c r="G39" s="48">
        <f>IF(OR(948466.87002="",13229.99367="",5092.82445=""),"-",(13229.99367-5092.82445)/948466.87002*100)</f>
        <v>0.85792867175512566</v>
      </c>
    </row>
    <row r="40" spans="1:7" s="9" customFormat="1" ht="14.25" customHeight="1" x14ac:dyDescent="0.25">
      <c r="A40" s="47" t="s">
        <v>27</v>
      </c>
      <c r="B40" s="48">
        <f>IF(412.57988="","-",412.57988)</f>
        <v>412.57988</v>
      </c>
      <c r="C40" s="48">
        <f>IF(OR(318.2691="",412.57988=""),"-",412.57988/318.2691*100)</f>
        <v>129.6324022658813</v>
      </c>
      <c r="D40" s="48">
        <f>IF(318.2691="","-",318.2691/948466.87002*100)</f>
        <v>3.3556164169792117E-2</v>
      </c>
      <c r="E40" s="48">
        <f>IF(412.57988="","-",412.57988/824834.53122*100)</f>
        <v>5.0019714789311678E-2</v>
      </c>
      <c r="F40" s="48">
        <f>IF(OR(877651.01761="",187.05736="",318.2691=""),"-",(318.2691-187.05736)/877651.01761*100)</f>
        <v>1.4950331893571199E-2</v>
      </c>
      <c r="G40" s="48">
        <f>IF(OR(948466.87002="",412.57988="",318.2691=""),"-",(412.57988-318.2691)/948466.87002*100)</f>
        <v>9.9434975517923279E-3</v>
      </c>
    </row>
    <row r="41" spans="1:7" s="9" customFormat="1" x14ac:dyDescent="0.25">
      <c r="A41" s="47" t="s">
        <v>245</v>
      </c>
      <c r="B41" s="48">
        <f>IF(258.9305="","-",258.9305)</f>
        <v>258.93049999999999</v>
      </c>
      <c r="C41" s="48">
        <f>IF(OR(305.77724="",258.9305=""),"-",258.9305/305.77724*100)</f>
        <v>84.679454886831991</v>
      </c>
      <c r="D41" s="48">
        <f>IF(305.77724="","-",305.77724/948466.87002*100)</f>
        <v>3.2239106042106898E-2</v>
      </c>
      <c r="E41" s="48">
        <f>IF(258.9305="","-",258.9305/824834.53122*100)</f>
        <v>3.1391811351183359E-2</v>
      </c>
      <c r="F41" s="48">
        <f>IF(OR(877651.01761="",702.90851="",305.77724=""),"-",(305.77724-702.90851)/877651.01761*100)</f>
        <v>-4.524933738258051E-2</v>
      </c>
      <c r="G41" s="48">
        <f>IF(OR(948466.87002="",258.9305="",305.77724=""),"-",(258.9305-305.77724)/948466.87002*100)</f>
        <v>-4.9392067852630601E-3</v>
      </c>
    </row>
    <row r="42" spans="1:7" s="9" customFormat="1" x14ac:dyDescent="0.25">
      <c r="A42" s="47" t="s">
        <v>246</v>
      </c>
      <c r="B42" s="48">
        <f>IF(12932.63223="","-",12932.63223)</f>
        <v>12932.632229999999</v>
      </c>
      <c r="C42" s="48">
        <f>IF(OR(26631.98533="",12932.63223=""),"-",12932.63223/26631.98533*100)</f>
        <v>48.560526260998806</v>
      </c>
      <c r="D42" s="48">
        <f>IF(26631.98533="","-",26631.98533/948466.87002*100)</f>
        <v>2.8078983222090215</v>
      </c>
      <c r="E42" s="48">
        <f>IF(12932.63223="","-",12932.63223/824834.53122*100)</f>
        <v>1.5679062576189122</v>
      </c>
      <c r="F42" s="48">
        <f>IF(OR(877651.01761="",22809.25999="",26631.98533=""),"-",(26631.98533-22809.25999)/877651.01761*100)</f>
        <v>0.43556325501791848</v>
      </c>
      <c r="G42" s="48">
        <f>IF(OR(948466.87002="",12932.63223="",26631.98533=""),"-",(12932.63223-26631.98533)/948466.87002*100)</f>
        <v>-1.4443681200705647</v>
      </c>
    </row>
    <row r="43" spans="1:7" s="9" customFormat="1" ht="38.25" x14ac:dyDescent="0.25">
      <c r="A43" s="47" t="s">
        <v>247</v>
      </c>
      <c r="B43" s="48">
        <f>IF(4083.3576="","-",4083.3576)</f>
        <v>4083.3575999999998</v>
      </c>
      <c r="C43" s="48">
        <f>IF(OR(4470.66966="",4083.3576=""),"-",4083.3576/4470.66966*100)</f>
        <v>91.336598553336188</v>
      </c>
      <c r="D43" s="48">
        <f>IF(4470.66966="","-",4470.66966/948466.87002*100)</f>
        <v>0.47135749295130652</v>
      </c>
      <c r="E43" s="48">
        <f>IF(4083.3576="","-",4083.3576/824834.53122*100)</f>
        <v>0.4950517280066305</v>
      </c>
      <c r="F43" s="48">
        <f>IF(OR(877651.01761="",7975.05301="",4470.66966=""),"-",(4470.66966-7975.05301)/877651.01761*100)</f>
        <v>-0.39929120797273837</v>
      </c>
      <c r="G43" s="48">
        <f>IF(OR(948466.87002="",4083.3576="",4470.66966=""),"-",(4083.3576-4470.66966)/948466.87002*100)</f>
        <v>-4.0835591863301733E-2</v>
      </c>
    </row>
    <row r="44" spans="1:7" s="9" customFormat="1" x14ac:dyDescent="0.25">
      <c r="A44" s="47" t="s">
        <v>248</v>
      </c>
      <c r="B44" s="48">
        <f>IF(0.12792="","-",0.12792)</f>
        <v>0.12792000000000001</v>
      </c>
      <c r="C44" s="48">
        <f>IF(OR(20.17404="",0.12792=""),"-",0.12792/20.17404*100)</f>
        <v>0.63408221655156827</v>
      </c>
      <c r="D44" s="48">
        <f>IF(20.17404="","-",20.17404/948466.87002*100)</f>
        <v>2.1270157806961244E-3</v>
      </c>
      <c r="E44" s="48">
        <f>IF(0.12792="","-",0.12792/824834.53122*100)</f>
        <v>1.5508565070717338E-5</v>
      </c>
      <c r="F44" s="48" t="str">
        <f>IF(OR(877651.01761="",""="",20.17404=""),"-",(20.17404-"")/877651.01761*100)</f>
        <v>-</v>
      </c>
      <c r="G44" s="48">
        <f>IF(OR(948466.87002="",0.12792="",20.17404=""),"-",(0.12792-20.17404)/948466.87002*100)</f>
        <v>-2.1135287518874854E-3</v>
      </c>
    </row>
    <row r="45" spans="1:7" s="9" customFormat="1" x14ac:dyDescent="0.25">
      <c r="A45" s="47" t="s">
        <v>28</v>
      </c>
      <c r="B45" s="48">
        <f>IF(703.12218="","-",703.12218)</f>
        <v>703.12217999999996</v>
      </c>
      <c r="C45" s="48">
        <f>IF(OR(585.00282="",703.12218=""),"-",703.12218/585.00282*100)</f>
        <v>120.19124625758212</v>
      </c>
      <c r="D45" s="48">
        <f>IF(585.00282="","-",585.00282/948466.87002*100)</f>
        <v>6.167878272729381E-2</v>
      </c>
      <c r="E45" s="48">
        <f>IF(703.12218="","-",703.12218/824834.53122*100)</f>
        <v>8.5244028151927984E-2</v>
      </c>
      <c r="F45" s="48">
        <f>IF(OR(877651.01761="",850.68586="",585.00282=""),"-",(585.00282-850.68586)/877651.01761*100)</f>
        <v>-3.0272059699025043E-2</v>
      </c>
      <c r="G45" s="48">
        <f>IF(OR(948466.87002="",703.12218="",585.00282=""),"-",(703.12218-585.00282)/948466.87002*100)</f>
        <v>1.2453714909146924E-2</v>
      </c>
    </row>
    <row r="46" spans="1:7" s="9" customFormat="1" x14ac:dyDescent="0.25">
      <c r="A46" s="47" t="s">
        <v>29</v>
      </c>
      <c r="B46" s="48">
        <f>IF(680.26862="","-",680.26862)</f>
        <v>680.26862000000006</v>
      </c>
      <c r="C46" s="48">
        <f>IF(OR(832.49881="",680.26862=""),"-",680.26862/832.49881*100)</f>
        <v>81.714065152837875</v>
      </c>
      <c r="D46" s="48">
        <f>IF(832.49881="","-",832.49881/948466.87002*100)</f>
        <v>8.7773103765073565E-2</v>
      </c>
      <c r="E46" s="48">
        <f>IF(680.26862="","-",680.26862/824834.53122*100)</f>
        <v>8.2473343955887166E-2</v>
      </c>
      <c r="F46" s="48">
        <f>IF(OR(877651.01761="",536.06057="",832.49881=""),"-",(832.49881-536.06057)/877651.01761*100)</f>
        <v>3.3776322712785571E-2</v>
      </c>
      <c r="G46" s="48">
        <f>IF(OR(948466.87002="",680.26862="",832.49881=""),"-",(680.26862-832.49881)/948466.87002*100)</f>
        <v>-1.6050132567813357E-2</v>
      </c>
    </row>
    <row r="47" spans="1:7" s="9" customFormat="1" ht="15.75" customHeight="1" x14ac:dyDescent="0.25">
      <c r="A47" s="47" t="s">
        <v>249</v>
      </c>
      <c r="B47" s="48">
        <f>IF(828.76469="","-",828.76469)</f>
        <v>828.76468999999997</v>
      </c>
      <c r="C47" s="48">
        <f>IF(OR(680.27272="",828.76469=""),"-",828.76469/680.27272*100)</f>
        <v>121.82829997945528</v>
      </c>
      <c r="D47" s="48">
        <f>IF(680.27272="","-",680.27272/948466.87002*100)</f>
        <v>7.1723403473824582E-2</v>
      </c>
      <c r="E47" s="48">
        <f>IF(828.76469="","-",828.76469/824834.53122*100)</f>
        <v>0.10047647844885772</v>
      </c>
      <c r="F47" s="48">
        <f>IF(OR(877651.01761="",1057.59256="",680.27272=""),"-",(680.27272-1057.59256)/877651.01761*100)</f>
        <v>-4.2992013047225663E-2</v>
      </c>
      <c r="G47" s="48">
        <f>IF(OR(948466.87002="",828.76469="",680.27272=""),"-",(828.76469-680.27272)/948466.87002*100)</f>
        <v>1.5655999665741483E-2</v>
      </c>
    </row>
    <row r="48" spans="1:7" s="9" customFormat="1" ht="25.5" x14ac:dyDescent="0.25">
      <c r="A48" s="55" t="s">
        <v>250</v>
      </c>
      <c r="B48" s="46">
        <f>IF(49961.85791="","-",49961.85791)</f>
        <v>49961.857909999999</v>
      </c>
      <c r="C48" s="46">
        <f>IF(55158.70462="","-",49961.85791/55158.70462*100)</f>
        <v>90.578374264221438</v>
      </c>
      <c r="D48" s="46">
        <f>IF(55158.70462="","-",55158.70462/948466.87002*100)</f>
        <v>5.815564714330705</v>
      </c>
      <c r="E48" s="46">
        <f>IF(49961.85791="","-",49961.85791/824834.53122*100)</f>
        <v>6.0571976583111997</v>
      </c>
      <c r="F48" s="46">
        <f>IF(877651.01761="","-",(55158.70462-58955.95031)/877651.01761*100)</f>
        <v>-0.43266009083434775</v>
      </c>
      <c r="G48" s="46">
        <f>IF(948466.87002="","-",(49961.85791-55158.70462)/948466.87002*100)</f>
        <v>-0.54792074180623862</v>
      </c>
    </row>
    <row r="49" spans="1:7" s="9" customFormat="1" x14ac:dyDescent="0.25">
      <c r="A49" s="47" t="s">
        <v>251</v>
      </c>
      <c r="B49" s="48">
        <f>IF(191.57852="","-",191.57852)</f>
        <v>191.57852</v>
      </c>
      <c r="C49" s="48" t="s">
        <v>20</v>
      </c>
      <c r="D49" s="48">
        <f>IF(94.70738="","-",94.70738/948466.87002*100)</f>
        <v>9.9853124018979104E-3</v>
      </c>
      <c r="E49" s="48">
        <f>IF(191.57852="","-",191.57852/824834.53122*100)</f>
        <v>2.3226297244932165E-2</v>
      </c>
      <c r="F49" s="48">
        <f>IF(OR(877651.01761="",555.03904="",94.70738=""),"-",(94.70738-555.03904)/877651.01761*100)</f>
        <v>-5.2450421723837917E-2</v>
      </c>
      <c r="G49" s="48">
        <f>IF(OR(948466.87002="",191.57852="",94.70738=""),"-",(191.57852-94.70738)/948466.87002*100)</f>
        <v>1.0213444777249552E-2</v>
      </c>
    </row>
    <row r="50" spans="1:7" s="9" customFormat="1" x14ac:dyDescent="0.25">
      <c r="A50" s="47" t="s">
        <v>30</v>
      </c>
      <c r="B50" s="48">
        <f>IF(437.2302="","-",437.2302)</f>
        <v>437.23020000000002</v>
      </c>
      <c r="C50" s="48">
        <f>IF(OR(578.36114="",437.2302=""),"-",437.2302/578.36114*100)</f>
        <v>75.59812887843745</v>
      </c>
      <c r="D50" s="48">
        <f>IF(578.36114="","-",578.36114/948466.87002*100)</f>
        <v>6.0978528431657741E-2</v>
      </c>
      <c r="E50" s="48">
        <f>IF(437.2302="","-",437.2302/824834.53122*100)</f>
        <v>5.3008231766594395E-2</v>
      </c>
      <c r="F50" s="48">
        <f>IF(OR(877651.01761="",446.64622="",578.36114=""),"-",(578.36114-446.64622)/877651.01761*100)</f>
        <v>1.5007664476785219E-2</v>
      </c>
      <c r="G50" s="48">
        <f>IF(OR(948466.87002="",437.2302="",578.36114=""),"-",(437.2302-578.36114)/948466.87002*100)</f>
        <v>-1.4879901919718498E-2</v>
      </c>
    </row>
    <row r="51" spans="1:7" s="9" customFormat="1" x14ac:dyDescent="0.25">
      <c r="A51" s="47" t="s">
        <v>252</v>
      </c>
      <c r="B51" s="48">
        <f>IF(5472.11614="","-",5472.11614)</f>
        <v>5472.1161400000001</v>
      </c>
      <c r="C51" s="48">
        <f>IF(OR(6760.84781="",5472.11614=""),"-",5472.11614/6760.84781*100)</f>
        <v>80.938312675906843</v>
      </c>
      <c r="D51" s="48">
        <f>IF(6760.84781="","-",6760.84781/948466.87002*100)</f>
        <v>0.7128185520973902</v>
      </c>
      <c r="E51" s="48">
        <f>IF(5472.11614="","-",5472.11614/824834.53122*100)</f>
        <v>0.66341986578887258</v>
      </c>
      <c r="F51" s="48">
        <f>IF(OR(877651.01761="",5152.55445="",6760.84781=""),"-",(6760.84781-5152.55445)/877651.01761*100)</f>
        <v>0.18324975733289409</v>
      </c>
      <c r="G51" s="48">
        <f>IF(OR(948466.87002="",5472.11614="",6760.84781=""),"-",(5472.11614-6760.84781)/948466.87002*100)</f>
        <v>-0.13587524358893263</v>
      </c>
    </row>
    <row r="52" spans="1:7" s="9" customFormat="1" ht="25.5" x14ac:dyDescent="0.25">
      <c r="A52" s="47" t="s">
        <v>253</v>
      </c>
      <c r="B52" s="48">
        <f>IF(2792.93644="","-",2792.93644)</f>
        <v>2792.9364399999999</v>
      </c>
      <c r="C52" s="48">
        <f>IF(OR(3224.05242="",2792.93644=""),"-",2792.93644/3224.05242*100)</f>
        <v>86.628133670357627</v>
      </c>
      <c r="D52" s="48">
        <f>IF(3224.05242="","-",3224.05242/948466.87002*100)</f>
        <v>0.3399225130480325</v>
      </c>
      <c r="E52" s="48">
        <f>IF(2792.93644="","-",2792.93644/824834.53122*100)</f>
        <v>0.33860566383769247</v>
      </c>
      <c r="F52" s="48">
        <f>IF(OR(877651.01761="",3696.55894="",3224.05242=""),"-",(3224.05242-3696.55894)/877651.01761*100)</f>
        <v>-5.3837631418319237E-2</v>
      </c>
      <c r="G52" s="48">
        <f>IF(OR(948466.87002="",2792.93644="",3224.05242=""),"-",(2792.93644-3224.05242)/948466.87002*100)</f>
        <v>-4.5453984069144054E-2</v>
      </c>
    </row>
    <row r="53" spans="1:7" s="9" customFormat="1" ht="25.5" x14ac:dyDescent="0.25">
      <c r="A53" s="47" t="s">
        <v>254</v>
      </c>
      <c r="B53" s="48">
        <f>IF(18015.50036="","-",18015.50036)</f>
        <v>18015.500359999998</v>
      </c>
      <c r="C53" s="48">
        <f>IF(OR(21095.69452="",18015.50036=""),"-",18015.50036/21095.69452*100)</f>
        <v>85.398944049555752</v>
      </c>
      <c r="D53" s="48">
        <f>IF(21095.69452="","-",21095.69452/948466.87002*100)</f>
        <v>2.2241888659279332</v>
      </c>
      <c r="E53" s="48">
        <f>IF(18015.50036="","-",18015.50036/824834.53122*100)</f>
        <v>2.184135081414881</v>
      </c>
      <c r="F53" s="48">
        <f>IF(OR(877651.01761="",26146.27363="",21095.69452=""),"-",(21095.69452-26146.27363)/877651.01761*100)</f>
        <v>-0.57546553341368245</v>
      </c>
      <c r="G53" s="48">
        <f>IF(OR(948466.87002="",18015.50036="",21095.69452=""),"-",(18015.50036-21095.69452)/948466.87002*100)</f>
        <v>-0.32475506075768906</v>
      </c>
    </row>
    <row r="54" spans="1:7" s="9" customFormat="1" x14ac:dyDescent="0.25">
      <c r="A54" s="47" t="s">
        <v>31</v>
      </c>
      <c r="B54" s="48">
        <f>IF(14357.96698="","-",14357.96698)</f>
        <v>14357.966979999999</v>
      </c>
      <c r="C54" s="48">
        <f>IF(OR(15123.01461="",14357.96698=""),"-",14357.96698/15123.01461*100)</f>
        <v>94.941169801594199</v>
      </c>
      <c r="D54" s="48">
        <f>IF(15123.01461="","-",15123.01461/948466.87002*100)</f>
        <v>1.5944694630905882</v>
      </c>
      <c r="E54" s="48">
        <f>IF(14357.96698="","-",14357.96698/824834.53122*100)</f>
        <v>1.7407087647947221</v>
      </c>
      <c r="F54" s="48">
        <f>IF(OR(877651.01761="",13777.11616="",15123.01461=""),"-",(15123.01461-13777.11616)/877651.01761*100)</f>
        <v>0.15335234882597434</v>
      </c>
      <c r="G54" s="48">
        <f>IF(OR(948466.87002="",14357.96698="",15123.01461=""),"-",(14357.96698-15123.01461)/948466.87002*100)</f>
        <v>-8.0661502703185478E-2</v>
      </c>
    </row>
    <row r="55" spans="1:7" s="9" customFormat="1" x14ac:dyDescent="0.25">
      <c r="A55" s="47" t="s">
        <v>255</v>
      </c>
      <c r="B55" s="48">
        <f>IF(490.86105="","-",490.86105)</f>
        <v>490.86104999999998</v>
      </c>
      <c r="C55" s="48">
        <f>IF(OR(514.78455="",490.86105=""),"-",490.86105/514.78455*100)</f>
        <v>95.352716005171487</v>
      </c>
      <c r="D55" s="48">
        <f>IF(514.78455="","-",514.78455/948466.87002*100)</f>
        <v>5.4275438212105911E-2</v>
      </c>
      <c r="E55" s="48">
        <f>IF(490.86105="","-",490.86105/824834.53122*100)</f>
        <v>5.9510244954703209E-2</v>
      </c>
      <c r="F55" s="48">
        <f>IF(OR(877651.01761="",383.03019="",514.78455=""),"-",(514.78455-383.03019)/877651.01761*100)</f>
        <v>1.501215829029522E-2</v>
      </c>
      <c r="G55" s="48">
        <f>IF(OR(948466.87002="",490.86105="",514.78455=""),"-",(490.86105-514.78455)/948466.87002*100)</f>
        <v>-2.5223337531542376E-3</v>
      </c>
    </row>
    <row r="56" spans="1:7" x14ac:dyDescent="0.25">
      <c r="A56" s="47" t="s">
        <v>32</v>
      </c>
      <c r="B56" s="48">
        <f>IF(648.1373="","-",648.1373)</f>
        <v>648.13729999999998</v>
      </c>
      <c r="C56" s="48" t="s">
        <v>216</v>
      </c>
      <c r="D56" s="48">
        <f>IF(207.39729="","-",207.39729/948466.87002*100)</f>
        <v>2.1866582434832613E-2</v>
      </c>
      <c r="E56" s="48">
        <f>IF(648.1373="","-",648.1373/824834.53122*100)</f>
        <v>7.8577857190502212E-2</v>
      </c>
      <c r="F56" s="48">
        <f>IF(OR(877651.01761="",762.90023="",207.39729=""),"-",(207.39729-762.90023)/877651.01761*100)</f>
        <v>-6.3294285411157322E-2</v>
      </c>
      <c r="G56" s="48">
        <f>IF(OR(948466.87002="",648.1373="",207.39729=""),"-",(648.1373-207.39729)/948466.87002*100)</f>
        <v>4.6468677392042822E-2</v>
      </c>
    </row>
    <row r="57" spans="1:7" x14ac:dyDescent="0.25">
      <c r="A57" s="47" t="s">
        <v>33</v>
      </c>
      <c r="B57" s="48">
        <f>IF(7555.53092="","-",7555.53092)</f>
        <v>7555.5309200000002</v>
      </c>
      <c r="C57" s="48">
        <f>IF(OR(7559.8449="",7555.53092=""),"-",7555.53092/7559.8449*100)</f>
        <v>99.942935601760823</v>
      </c>
      <c r="D57" s="48">
        <f>IF(7559.8449="","-",7559.8449/948466.87002*100)</f>
        <v>0.79705945868626793</v>
      </c>
      <c r="E57" s="48">
        <f>IF(7555.53092="","-",7555.53092/824834.53122*100)</f>
        <v>0.91600565131829903</v>
      </c>
      <c r="F57" s="48">
        <f>IF(OR(877651.01761="",8035.83145="",7559.8449=""),"-",(7559.8449-8035.83145)/877651.01761*100)</f>
        <v>-5.4234147793298951E-2</v>
      </c>
      <c r="G57" s="48">
        <f>IF(OR(948466.87002="",7555.53092="",7559.8449=""),"-",(7555.53092-7559.8449)/948466.87002*100)</f>
        <v>-4.5483718370773813E-4</v>
      </c>
    </row>
    <row r="58" spans="1:7" ht="14.25" customHeight="1" x14ac:dyDescent="0.25">
      <c r="A58" s="55" t="s">
        <v>256</v>
      </c>
      <c r="B58" s="46">
        <f>IF(157858.0967="","-",157858.0967)</f>
        <v>157858.09669999999</v>
      </c>
      <c r="C58" s="46">
        <f>IF(236362.79941="","-",157858.0967/236362.79941*100)</f>
        <v>66.786354322270455</v>
      </c>
      <c r="D58" s="46">
        <f>IF(236362.79941="","-",236362.79941/948466.87002*100)</f>
        <v>24.920511920992656</v>
      </c>
      <c r="E58" s="46">
        <f>IF(157858.0967="","-",157858.0967/824834.53122*100)</f>
        <v>19.138153256813158</v>
      </c>
      <c r="F58" s="46">
        <f>IF(877651.01761="","-",(236362.79941-165694.75582)/877651.01761*100)</f>
        <v>8.0519525611035778</v>
      </c>
      <c r="G58" s="46">
        <f>IF(948466.87002="","-",(157858.0967-236362.79941)/948466.87002*100)</f>
        <v>-8.2770105305148522</v>
      </c>
    </row>
    <row r="59" spans="1:7" ht="25.5" x14ac:dyDescent="0.25">
      <c r="A59" s="47" t="s">
        <v>257</v>
      </c>
      <c r="B59" s="48">
        <f>IF(668.96195="","-",668.96195)</f>
        <v>668.96195</v>
      </c>
      <c r="C59" s="48">
        <f>IF(OR(1334.72173="",668.96195=""),"-",668.96195/1334.72173*100)</f>
        <v>50.119956464633262</v>
      </c>
      <c r="D59" s="48">
        <f>IF(1334.72173="","-",1334.72173/948466.87002*100)</f>
        <v>0.14072412776756821</v>
      </c>
      <c r="E59" s="48">
        <f>IF(668.96195="","-",668.96195/824834.53122*100)</f>
        <v>8.110256356636146E-2</v>
      </c>
      <c r="F59" s="48">
        <f>IF(OR(877651.01761="",974.98582="",1334.72173=""),"-",(1334.72173-974.98582)/877651.01761*100)</f>
        <v>4.0988491186351603E-2</v>
      </c>
      <c r="G59" s="48">
        <f>IF(OR(948466.87002="",668.96195="",1334.72173=""),"-",(668.96195-1334.72173)/948466.87002*100)</f>
        <v>-7.0193256195228135E-2</v>
      </c>
    </row>
    <row r="60" spans="1:7" ht="25.5" x14ac:dyDescent="0.25">
      <c r="A60" s="47" t="s">
        <v>258</v>
      </c>
      <c r="B60" s="48">
        <f>IF(2290.40597="","-",2290.40597)</f>
        <v>2290.4059699999998</v>
      </c>
      <c r="C60" s="48">
        <f>IF(OR(4405.74518="",2290.40597=""),"-",2290.40597/4405.74518*100)</f>
        <v>51.986800789055167</v>
      </c>
      <c r="D60" s="48">
        <f>IF(4405.74518="","-",4405.74518/948466.87002*100)</f>
        <v>0.46451229022971535</v>
      </c>
      <c r="E60" s="48">
        <f>IF(2290.40597="","-",2290.40597/824834.53122*100)</f>
        <v>0.27768065997580094</v>
      </c>
      <c r="F60" s="48">
        <f>IF(OR(877651.01761="",4037.94916="",4405.74518=""),"-",(4405.74518-4037.94916)/877651.01761*100)</f>
        <v>4.1906864188635456E-2</v>
      </c>
      <c r="G60" s="48">
        <f>IF(OR(948466.87002="",2290.40597="",4405.74518=""),"-",(2290.40597-4405.74518)/948466.87002*100)</f>
        <v>-0.22302721126731548</v>
      </c>
    </row>
    <row r="61" spans="1:7" ht="25.5" x14ac:dyDescent="0.25">
      <c r="A61" s="47" t="s">
        <v>259</v>
      </c>
      <c r="B61" s="48">
        <f>IF(952.0164="","-",952.0164)</f>
        <v>952.01639999999998</v>
      </c>
      <c r="C61" s="48">
        <f>IF(OR(748.7929="",952.0164=""),"-",952.0164/748.7929*100)</f>
        <v>127.14014782992733</v>
      </c>
      <c r="D61" s="48">
        <f>IF(748.7929="","-",748.7929/948466.87002*100)</f>
        <v>7.8947712742376594E-2</v>
      </c>
      <c r="E61" s="48">
        <f>IF(952.0164="","-",952.0164/824834.53122*100)</f>
        <v>0.11541907667127942</v>
      </c>
      <c r="F61" s="48">
        <f>IF(OR(877651.01761="",499.66126="",748.7929=""),"-",(748.7929-499.66126)/877651.01761*100)</f>
        <v>2.8386184827590106E-2</v>
      </c>
      <c r="G61" s="48">
        <f>IF(OR(948466.87002="",952.0164="",748.7929=""),"-",(952.0164-748.7929)/948466.87002*100)</f>
        <v>2.1426525946627386E-2</v>
      </c>
    </row>
    <row r="62" spans="1:7" ht="38.25" x14ac:dyDescent="0.25">
      <c r="A62" s="47" t="s">
        <v>260</v>
      </c>
      <c r="B62" s="48">
        <f>IF(7079.81852="","-",7079.81852)</f>
        <v>7079.8185199999998</v>
      </c>
      <c r="C62" s="48">
        <f>IF(OR(6653.43845="",7079.81852=""),"-",7079.81852/6653.43845*100)</f>
        <v>106.40841683896542</v>
      </c>
      <c r="D62" s="48">
        <f>IF(6653.43845="","-",6653.43845/948466.87002*100)</f>
        <v>0.70149402792104909</v>
      </c>
      <c r="E62" s="48">
        <f>IF(7079.81852="","-",7079.81852/824834.53122*100)</f>
        <v>0.85833197472083878</v>
      </c>
      <c r="F62" s="48">
        <f>IF(OR(877651.01761="",6820.77513="",6653.43845=""),"-",(6653.43845-6820.77513)/877651.01761*100)</f>
        <v>-1.9066425793670006E-2</v>
      </c>
      <c r="G62" s="48">
        <f>IF(OR(948466.87002="",7079.81852="",6653.43845=""),"-",(7079.81852-6653.43845)/948466.87002*100)</f>
        <v>4.4954661409629337E-2</v>
      </c>
    </row>
    <row r="63" spans="1:7" ht="25.5" x14ac:dyDescent="0.25">
      <c r="A63" s="47" t="s">
        <v>261</v>
      </c>
      <c r="B63" s="48">
        <f>IF(424.13602="","-",424.13602)</f>
        <v>424.13601999999997</v>
      </c>
      <c r="C63" s="48">
        <f>IF(OR(327.15663="",424.13602=""),"-",424.13602/327.15663*100)</f>
        <v>129.64310703408333</v>
      </c>
      <c r="D63" s="48">
        <f>IF(327.15663="","-",327.15663/948466.87002*100)</f>
        <v>3.449320586106517E-2</v>
      </c>
      <c r="E63" s="48">
        <f>IF(424.13602="","-",424.13602/824834.53122*100)</f>
        <v>5.1420740032872649E-2</v>
      </c>
      <c r="F63" s="48">
        <f>IF(OR(877651.01761="",436.46264="",327.15663=""),"-",(327.15663-436.46264)/877651.01761*100)</f>
        <v>-1.2454381958977242E-2</v>
      </c>
      <c r="G63" s="48">
        <f>IF(OR(948466.87002="",424.13602="",327.15663=""),"-",(424.13602-327.15663)/948466.87002*100)</f>
        <v>1.0224857932882251E-2</v>
      </c>
    </row>
    <row r="64" spans="1:7" ht="38.25" x14ac:dyDescent="0.25">
      <c r="A64" s="47" t="s">
        <v>262</v>
      </c>
      <c r="B64" s="48">
        <f>IF(600.27312="","-",600.27312)</f>
        <v>600.27311999999995</v>
      </c>
      <c r="C64" s="48">
        <f>IF(OR(1279.12627="",600.27312=""),"-",600.27312/1279.12627*100)</f>
        <v>46.928370879287776</v>
      </c>
      <c r="D64" s="48">
        <f>IF(1279.12627="","-",1279.12627/948466.87002*100)</f>
        <v>0.13486251448856904</v>
      </c>
      <c r="E64" s="48">
        <f>IF(600.27312="","-",600.27312/824834.53122*100)</f>
        <v>7.2774974528787645E-2</v>
      </c>
      <c r="F64" s="48">
        <f>IF(OR(877651.01761="",1019.16235="",1279.12627=""),"-",(1279.12627-1019.16235)/877651.01761*100)</f>
        <v>2.9620420279113682E-2</v>
      </c>
      <c r="G64" s="48">
        <f>IF(OR(948466.87002="",600.27312="",1279.12627=""),"-",(600.27312-1279.12627)/948466.87002*100)</f>
        <v>-7.1573733512240154E-2</v>
      </c>
    </row>
    <row r="65" spans="1:7" ht="51" x14ac:dyDescent="0.25">
      <c r="A65" s="47" t="s">
        <v>263</v>
      </c>
      <c r="B65" s="48">
        <f>IF(138085.39617="","-",138085.39617)</f>
        <v>138085.39616999999</v>
      </c>
      <c r="C65" s="48">
        <f>IF(OR(209999.86945="",138085.39617=""),"-",138085.39617/209999.86945*100)</f>
        <v>65.754991434829194</v>
      </c>
      <c r="D65" s="48">
        <f>IF(209999.86945="","-",209999.86945/948466.87002*100)</f>
        <v>22.140980996581547</v>
      </c>
      <c r="E65" s="48">
        <f>IF(138085.39617="","-",138085.39617/824834.53122*100)</f>
        <v>16.740981487009282</v>
      </c>
      <c r="F65" s="48">
        <f>IF(OR(877651.01761="",145302.10263="",209999.86945=""),"-",(209999.86945-145302.10263)/877651.01761*100)</f>
        <v>7.3716962120300984</v>
      </c>
      <c r="G65" s="48">
        <f>IF(OR(948466.87002="",138085.39617="",209999.86945=""),"-",(138085.39617-209999.86945)/948466.87002*100)</f>
        <v>-7.5821808386921905</v>
      </c>
    </row>
    <row r="66" spans="1:7" ht="25.5" x14ac:dyDescent="0.25">
      <c r="A66" s="47" t="s">
        <v>264</v>
      </c>
      <c r="B66" s="48">
        <f>IF(7646.51602="","-",7646.51602)</f>
        <v>7646.51602</v>
      </c>
      <c r="C66" s="48">
        <f>IF(OR(8882.09431="",7646.51602=""),"-",7646.51602/8882.09431*100)</f>
        <v>86.089110891235293</v>
      </c>
      <c r="D66" s="48">
        <f>IF(8882.09431="","-",8882.09431/948466.87002*100)</f>
        <v>0.93646858849299675</v>
      </c>
      <c r="E66" s="48">
        <f>IF(7646.51602="","-",7646.51602/824834.53122*100)</f>
        <v>0.92703636069772155</v>
      </c>
      <c r="F66" s="48">
        <f>IF(OR(877651.01761="",6524.06521="",8882.09431=""),"-",(8882.09431-6524.06521)/877651.01761*100)</f>
        <v>0.26867502602815113</v>
      </c>
      <c r="G66" s="48">
        <f>IF(OR(948466.87002="",7646.51602="",8882.09431=""),"-",(7646.51602-8882.09431)/948466.87002*100)</f>
        <v>-0.13027110688367494</v>
      </c>
    </row>
    <row r="67" spans="1:7" x14ac:dyDescent="0.25">
      <c r="A67" s="47" t="s">
        <v>34</v>
      </c>
      <c r="B67" s="48">
        <f>IF(110.57253="","-",110.57253)</f>
        <v>110.57253</v>
      </c>
      <c r="C67" s="48">
        <f>IF(OR(2731.85449="",110.57253=""),"-",110.57253/2731.85449*100)</f>
        <v>4.0475263380517745</v>
      </c>
      <c r="D67" s="48">
        <f>IF(2731.85449="","-",2731.85449/948466.87002*100)</f>
        <v>0.28802845690776679</v>
      </c>
      <c r="E67" s="48">
        <f>IF(110.57253="","-",110.57253/824834.53122*100)</f>
        <v>1.340541961021611E-2</v>
      </c>
      <c r="F67" s="48">
        <f>IF(OR(877651.01761="",79.59162="",2731.85449=""),"-",(2731.85449-79.59162)/877651.01761*100)</f>
        <v>0.30220017031628177</v>
      </c>
      <c r="G67" s="48">
        <f>IF(OR(948466.87002="",110.57253="",2731.85449=""),"-",(110.57253-2731.85449)/948466.87002*100)</f>
        <v>-0.27637042925334082</v>
      </c>
    </row>
    <row r="68" spans="1:7" x14ac:dyDescent="0.25">
      <c r="A68" s="55" t="s">
        <v>35</v>
      </c>
      <c r="B68" s="46">
        <f>IF(148111.93115="","-",148111.93115)</f>
        <v>148111.93114999999</v>
      </c>
      <c r="C68" s="46">
        <f>IF(185395.47311="","-",148111.93115/185395.47311*100)</f>
        <v>79.889723662303936</v>
      </c>
      <c r="D68" s="46">
        <f>IF(185395.47311="","-",185395.47311/948466.87002*100)</f>
        <v>19.546858089633705</v>
      </c>
      <c r="E68" s="46">
        <f>IF(148111.93115="","-",148111.93115/824834.53122*100)</f>
        <v>17.956562867334121</v>
      </c>
      <c r="F68" s="46">
        <f>IF(877651.01761="","-",(185395.47311-201107.74358)/877651.01761*100)</f>
        <v>-1.7902640291795398</v>
      </c>
      <c r="G68" s="46">
        <f>IF(948466.87002="","-",(148111.93115-185395.47311)/948466.87002*100)</f>
        <v>-3.9309271771626366</v>
      </c>
    </row>
    <row r="69" spans="1:7" ht="38.25" x14ac:dyDescent="0.25">
      <c r="A69" s="47" t="s">
        <v>265</v>
      </c>
      <c r="B69" s="48">
        <f>IF(3127.55794="","-",3127.55794)</f>
        <v>3127.5579400000001</v>
      </c>
      <c r="C69" s="48">
        <f>IF(OR(2842.21556="",3127.55794=""),"-",3127.55794/2842.21556*100)</f>
        <v>110.03943486960574</v>
      </c>
      <c r="D69" s="48">
        <f>IF(2842.21556="","-",2842.21556/948466.87002*100)</f>
        <v>0.29966418963480163</v>
      </c>
      <c r="E69" s="48">
        <f>IF(3127.55794="","-",3127.55794/824834.53122*100)</f>
        <v>0.37917398237123723</v>
      </c>
      <c r="F69" s="48">
        <f>IF(OR(877651.01761="",2439.8214="",2842.21556=""),"-",(2842.21556-2439.8214)/877651.01761*100)</f>
        <v>4.5848993725979066E-2</v>
      </c>
      <c r="G69" s="48">
        <f>IF(OR(948466.87002="",3127.55794="",2842.21556=""),"-",(3127.55794-2842.21556)/948466.87002*100)</f>
        <v>3.0084591145917741E-2</v>
      </c>
    </row>
    <row r="70" spans="1:7" x14ac:dyDescent="0.25">
      <c r="A70" s="47" t="s">
        <v>266</v>
      </c>
      <c r="B70" s="48">
        <f>IF(36397.24206="","-",36397.24206)</f>
        <v>36397.242059999997</v>
      </c>
      <c r="C70" s="48">
        <f>IF(OR(47971.47279="",36397.24206=""),"-",36397.24206/47971.47279*100)</f>
        <v>75.872680039098711</v>
      </c>
      <c r="D70" s="48">
        <f>IF(47971.47279="","-",47971.47279/948466.87002*100)</f>
        <v>5.0577910843621172</v>
      </c>
      <c r="E70" s="48">
        <f>IF(36397.24206="","-",36397.24206/824834.53122*100)</f>
        <v>4.4126719581156957</v>
      </c>
      <c r="F70" s="48">
        <f>IF(OR(877651.01761="",52841.61857="",47971.47279=""),"-",(47971.47279-52841.61857)/877651.01761*100)</f>
        <v>-0.55490686870759554</v>
      </c>
      <c r="G70" s="48">
        <f>IF(OR(948466.87002="",36397.24206="",47971.47279=""),"-",(36397.24206-47971.47279)/948466.87002*100)</f>
        <v>-1.2203094378779873</v>
      </c>
    </row>
    <row r="71" spans="1:7" x14ac:dyDescent="0.25">
      <c r="A71" s="47" t="s">
        <v>267</v>
      </c>
      <c r="B71" s="48">
        <f>IF(3843.70768="","-",3843.70768)</f>
        <v>3843.70768</v>
      </c>
      <c r="C71" s="48">
        <f>IF(OR(4426.65994="",3843.70768=""),"-",3843.70768/4426.65994*100)</f>
        <v>86.830877729451259</v>
      </c>
      <c r="D71" s="48">
        <f>IF(4426.65994="","-",4426.65994/948466.87002*100)</f>
        <v>0.46671740257059857</v>
      </c>
      <c r="E71" s="48">
        <f>IF(3843.70768="","-",3843.70768/824834.53122*100)</f>
        <v>0.46599742548542816</v>
      </c>
      <c r="F71" s="48">
        <f>IF(OR(877651.01761="",5840.25869="",4426.65994=""),"-",(4426.65994-5840.25869)/877651.01761*100)</f>
        <v>-0.16106615518426462</v>
      </c>
      <c r="G71" s="48">
        <f>IF(OR(948466.87002="",3843.70768="",4426.65994=""),"-",(3843.70768-4426.65994)/948466.87002*100)</f>
        <v>-6.1462585402451329E-2</v>
      </c>
    </row>
    <row r="72" spans="1:7" x14ac:dyDescent="0.25">
      <c r="A72" s="47" t="s">
        <v>268</v>
      </c>
      <c r="B72" s="48">
        <f>IF(68057.3085="","-",68057.3085)</f>
        <v>68057.308499999999</v>
      </c>
      <c r="C72" s="48">
        <f>IF(OR(91157.95121="",68057.3085=""),"-",68057.3085/91157.95121*100)</f>
        <v>74.658663996535864</v>
      </c>
      <c r="D72" s="48">
        <f>IF(91157.95121="","-",91157.95121/948466.87002*100)</f>
        <v>9.6110843816903984</v>
      </c>
      <c r="E72" s="48">
        <f>IF(68057.3085="","-",68057.3085/824834.53122*100)</f>
        <v>8.2510256207796591</v>
      </c>
      <c r="F72" s="48">
        <f>IF(OR(877651.01761="",101817.37001="",91157.95121=""),"-",(91157.95121-101817.37001)/877651.01761*100)</f>
        <v>-1.2145395591322272</v>
      </c>
      <c r="G72" s="48">
        <f>IF(OR(948466.87002="",68057.3085="",91157.95121=""),"-",(68057.3085-91157.95121)/948466.87002*100)</f>
        <v>-2.4355771867406273</v>
      </c>
    </row>
    <row r="73" spans="1:7" x14ac:dyDescent="0.25">
      <c r="A73" s="47" t="s">
        <v>269</v>
      </c>
      <c r="B73" s="48">
        <f>IF(10692.0089="","-",10692.0089)</f>
        <v>10692.008900000001</v>
      </c>
      <c r="C73" s="48">
        <f>IF(OR(11081.32077="",10692.0089=""),"-",10692.0089/11081.32077*100)</f>
        <v>96.486773751248435</v>
      </c>
      <c r="D73" s="48">
        <f>IF(11081.32077="","-",11081.32077/948466.87002*100)</f>
        <v>1.1683403100591518</v>
      </c>
      <c r="E73" s="48">
        <f>IF(10692.0089="","-",10692.0089/824834.53122*100)</f>
        <v>1.296261067560498</v>
      </c>
      <c r="F73" s="48">
        <f>IF(OR(877651.01761="",12633.11772="",11081.32077=""),"-",(11081.32077-12633.11772)/877651.01761*100)</f>
        <v>-0.17681252785712245</v>
      </c>
      <c r="G73" s="48">
        <f>IF(OR(948466.87002="",10692.0089="",11081.32077=""),"-",(10692.0089-11081.32077)/948466.87002*100)</f>
        <v>-4.104643844774359E-2</v>
      </c>
    </row>
    <row r="74" spans="1:7" ht="25.5" x14ac:dyDescent="0.25">
      <c r="A74" s="47" t="s">
        <v>270</v>
      </c>
      <c r="B74" s="48">
        <f>IF(5772.50797="","-",5772.50797)</f>
        <v>5772.5079699999997</v>
      </c>
      <c r="C74" s="48">
        <f>IF(OR(6139.49822="",5772.50797=""),"-",5772.50797/6139.49822*100)</f>
        <v>94.022471595406685</v>
      </c>
      <c r="D74" s="48">
        <f>IF(6139.49822="","-",6139.49822/948466.87002*100)</f>
        <v>0.64730760915987917</v>
      </c>
      <c r="E74" s="48">
        <f>IF(5772.50797="","-",5772.50797/824834.53122*100)</f>
        <v>0.69983830107863843</v>
      </c>
      <c r="F74" s="48">
        <f>IF(OR(877651.01761="",7970.36746="",6139.49822=""),"-",(6139.49822-7970.36746)/877651.01761*100)</f>
        <v>-0.20861016546027406</v>
      </c>
      <c r="G74" s="48">
        <f>IF(OR(948466.87002="",5772.50797="",6139.49822=""),"-",(5772.50797-6139.49822)/948466.87002*100)</f>
        <v>-3.8692996202625625E-2</v>
      </c>
    </row>
    <row r="75" spans="1:7" ht="25.5" x14ac:dyDescent="0.25">
      <c r="A75" s="47" t="s">
        <v>271</v>
      </c>
      <c r="B75" s="48">
        <f>IF(1045.16714="","-",1045.16714)</f>
        <v>1045.16714</v>
      </c>
      <c r="C75" s="48">
        <f>IF(OR(1248.86361="",1045.16714=""),"-",1045.16714/1248.86361*100)</f>
        <v>83.689454287165916</v>
      </c>
      <c r="D75" s="48">
        <f>IF(1248.86361="","-",1248.86361/948466.87002*100)</f>
        <v>0.13167182212423148</v>
      </c>
      <c r="E75" s="48">
        <f>IF(1045.16714="","-",1045.16714/824834.53122*100)</f>
        <v>0.1267123405289676</v>
      </c>
      <c r="F75" s="48">
        <f>IF(OR(877651.01761="",1068.90579="",1248.86361=""),"-",(1248.86361-1068.90579)/877651.01761*100)</f>
        <v>2.0504484856641227E-2</v>
      </c>
      <c r="G75" s="48">
        <f>IF(OR(948466.87002="",1045.16714="",1248.86361=""),"-",(1045.16714-1248.86361)/948466.87002*100)</f>
        <v>-2.1476392738494367E-2</v>
      </c>
    </row>
    <row r="76" spans="1:7" x14ac:dyDescent="0.25">
      <c r="A76" s="53" t="s">
        <v>36</v>
      </c>
      <c r="B76" s="48">
        <f>IF(19176.43096="","-",19176.43096)</f>
        <v>19176.430960000002</v>
      </c>
      <c r="C76" s="48">
        <f>IF(OR(20527.49101="",19176.43096=""),"-",19176.43096/20527.49101*100)</f>
        <v>93.418289408375202</v>
      </c>
      <c r="D76" s="48">
        <f>IF(20527.49101="","-",20527.49101/948466.87002*100)</f>
        <v>2.1642812900325286</v>
      </c>
      <c r="E76" s="48">
        <f>IF(19176.43096="","-",19176.43096/824834.53122*100)</f>
        <v>2.3248821714139973</v>
      </c>
      <c r="F76" s="48">
        <f>IF(OR(877651.01761="",16496.28394="",20527.49101=""),"-",(20527.49101-16496.28394)/877651.01761*100)</f>
        <v>0.4593177685793261</v>
      </c>
      <c r="G76" s="48">
        <f>IF(OR(948466.87002="",19176.43096="",20527.49101=""),"-",(19176.43096-20527.49101)/948466.87002*100)</f>
        <v>-0.14244673089862492</v>
      </c>
    </row>
    <row r="77" spans="1:7" ht="25.5" x14ac:dyDescent="0.25">
      <c r="A77" s="34" t="s">
        <v>272</v>
      </c>
      <c r="B77" s="35">
        <f>IF(187.21487="","-",187.21487)</f>
        <v>187.21486999999999</v>
      </c>
      <c r="C77" s="35">
        <f>IF(398.42143="","-",187.21487/398.42143*100)</f>
        <v>46.989156682661374</v>
      </c>
      <c r="D77" s="35">
        <f>IF(398.42143="","-",398.42143/948466.87002*100)</f>
        <v>4.2006889496477469E-2</v>
      </c>
      <c r="E77" s="35">
        <f>IF(187.21487="","-",187.21487/824834.53122*100)</f>
        <v>2.2697263864922504E-2</v>
      </c>
      <c r="F77" s="35">
        <f>IF(877651.01761="","-",(398.42143-325.80342)/877651.01761*100)</f>
        <v>8.2741327182359742E-3</v>
      </c>
      <c r="G77" s="35">
        <f>IF(948466.87002="","-",(187.21487-398.42143)/948466.87002*100)</f>
        <v>-2.2268206373465251E-2</v>
      </c>
    </row>
    <row r="78" spans="1:7" x14ac:dyDescent="0.25">
      <c r="A78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1"/>
  <sheetViews>
    <sheetView zoomScaleNormal="100" workbookViewId="0">
      <selection activeCell="C13" sqref="C13"/>
    </sheetView>
  </sheetViews>
  <sheetFormatPr defaultRowHeight="15.75" x14ac:dyDescent="0.25"/>
  <cols>
    <col min="1" max="1" width="27.625" customWidth="1"/>
    <col min="2" max="2" width="12.375" customWidth="1"/>
    <col min="3" max="3" width="10.875" customWidth="1"/>
    <col min="4" max="4" width="8" customWidth="1"/>
    <col min="5" max="5" width="8.125" customWidth="1"/>
    <col min="6" max="6" width="9.5" customWidth="1"/>
    <col min="7" max="7" width="9.75" customWidth="1"/>
  </cols>
  <sheetData>
    <row r="1" spans="1:7" x14ac:dyDescent="0.25">
      <c r="A1" s="89" t="s">
        <v>173</v>
      </c>
      <c r="B1" s="89"/>
      <c r="C1" s="89"/>
      <c r="D1" s="89"/>
      <c r="E1" s="89"/>
      <c r="F1" s="89"/>
      <c r="G1" s="89"/>
    </row>
    <row r="2" spans="1:7" x14ac:dyDescent="0.25">
      <c r="A2" s="89" t="s">
        <v>23</v>
      </c>
      <c r="B2" s="89"/>
      <c r="C2" s="89"/>
      <c r="D2" s="89"/>
      <c r="E2" s="89"/>
      <c r="F2" s="89"/>
      <c r="G2" s="89"/>
    </row>
    <row r="3" spans="1:7" x14ac:dyDescent="0.25">
      <c r="A3" s="5"/>
    </row>
    <row r="4" spans="1:7" ht="57" customHeight="1" x14ac:dyDescent="0.25">
      <c r="A4" s="97"/>
      <c r="B4" s="100" t="s">
        <v>191</v>
      </c>
      <c r="C4" s="95"/>
      <c r="D4" s="100" t="s">
        <v>0</v>
      </c>
      <c r="E4" s="95"/>
      <c r="F4" s="92" t="s">
        <v>124</v>
      </c>
      <c r="G4" s="101"/>
    </row>
    <row r="5" spans="1:7" ht="26.25" customHeight="1" x14ac:dyDescent="0.25">
      <c r="A5" s="98"/>
      <c r="B5" s="102" t="s">
        <v>114</v>
      </c>
      <c r="C5" s="90" t="s">
        <v>192</v>
      </c>
      <c r="D5" s="104" t="s">
        <v>193</v>
      </c>
      <c r="E5" s="104"/>
      <c r="F5" s="104" t="s">
        <v>193</v>
      </c>
      <c r="G5" s="100"/>
    </row>
    <row r="6" spans="1:7" ht="26.25" customHeight="1" x14ac:dyDescent="0.25">
      <c r="A6" s="99"/>
      <c r="B6" s="103"/>
      <c r="C6" s="91"/>
      <c r="D6" s="24">
        <v>2019</v>
      </c>
      <c r="E6" s="24">
        <v>2020</v>
      </c>
      <c r="F6" s="24" t="s">
        <v>126</v>
      </c>
      <c r="G6" s="20" t="s">
        <v>146</v>
      </c>
    </row>
    <row r="7" spans="1:7" x14ac:dyDescent="0.25">
      <c r="A7" s="43" t="s">
        <v>137</v>
      </c>
      <c r="B7" s="44">
        <f>IF(1650750.85967="","-",1650750.85967)</f>
        <v>1650750.8596699999</v>
      </c>
      <c r="C7" s="44">
        <f>IF(1881236.72041="","-",1650750.85967/1881236.72041*100)</f>
        <v>87.748173409576665</v>
      </c>
      <c r="D7" s="44">
        <v>100</v>
      </c>
      <c r="E7" s="44">
        <v>100</v>
      </c>
      <c r="F7" s="44">
        <f>IF(1770611.63183="","-",(1881236.72041-1770611.63183)/1770611.63183*100)</f>
        <v>6.247846031919738</v>
      </c>
      <c r="G7" s="44">
        <f>IF(1881236.72041="","-",(1650750.85967-1881236.72041)/1881236.72041*100)</f>
        <v>-12.251826590423329</v>
      </c>
    </row>
    <row r="8" spans="1:7" ht="12" customHeight="1" x14ac:dyDescent="0.25">
      <c r="A8" s="52" t="s">
        <v>143</v>
      </c>
      <c r="B8" s="51"/>
      <c r="C8" s="51"/>
      <c r="D8" s="51"/>
      <c r="E8" s="51"/>
      <c r="F8" s="51"/>
      <c r="G8" s="51"/>
    </row>
    <row r="9" spans="1:7" x14ac:dyDescent="0.25">
      <c r="A9" s="55" t="s">
        <v>273</v>
      </c>
      <c r="B9" s="46">
        <f>IF(227058.23928="","-",227058.23928)</f>
        <v>227058.23928000001</v>
      </c>
      <c r="C9" s="46">
        <f>IF(212677.3906="","-",227058.23928/212677.3906*100)</f>
        <v>106.76181358038535</v>
      </c>
      <c r="D9" s="46">
        <f>IF(212677.3906="","-",212677.3906/1881236.72041*100)</f>
        <v>11.305190266201519</v>
      </c>
      <c r="E9" s="46">
        <f>IF(227058.23928="","-",227058.23928/1650750.85967*100)</f>
        <v>13.754846041721342</v>
      </c>
      <c r="F9" s="46">
        <f>IF(1770611.63183="","-",(212677.3906-197298.56291)/1770611.63183*100)</f>
        <v>0.86856018640888255</v>
      </c>
      <c r="G9" s="46">
        <f>IF(1881236.72041="","-",(227058.23928-212677.3906)/1881236.72041*100)</f>
        <v>0.764435890708417</v>
      </c>
    </row>
    <row r="10" spans="1:7" ht="14.25" customHeight="1" x14ac:dyDescent="0.25">
      <c r="A10" s="47" t="s">
        <v>24</v>
      </c>
      <c r="B10" s="48">
        <f>IF(2618.52551="","-",2618.52551)</f>
        <v>2618.5255099999999</v>
      </c>
      <c r="C10" s="48">
        <f>IF(OR(1797.96247="",2618.52551=""),"-",2618.52551/1797.96247*100)</f>
        <v>145.63849655882973</v>
      </c>
      <c r="D10" s="48">
        <f>IF(1797.96247="","-",1797.96247/1881236.72041*100)</f>
        <v>9.5573430525433767E-2</v>
      </c>
      <c r="E10" s="48">
        <f>IF(2618.52551="","-",2618.52551/1650750.85967*100)</f>
        <v>0.15862633023395589</v>
      </c>
      <c r="F10" s="48">
        <f>IF(OR(1770611.63183="",1648.5126="",1797.96247=""),"-",(1797.96247-1648.5126)/1770611.63183*100)</f>
        <v>8.4405787984989863E-3</v>
      </c>
      <c r="G10" s="48">
        <f>IF(OR(1881236.72041="",2618.52551="",1797.96247=""),"-",(2618.52551-1797.96247)/1881236.72041*100)</f>
        <v>4.3618276801505609E-2</v>
      </c>
    </row>
    <row r="11" spans="1:7" s="9" customFormat="1" x14ac:dyDescent="0.25">
      <c r="A11" s="47" t="s">
        <v>274</v>
      </c>
      <c r="B11" s="48">
        <f>IF(11981.8427="","-",11981.8427)</f>
        <v>11981.842699999999</v>
      </c>
      <c r="C11" s="48">
        <f>IF(OR(14024.35058="",11981.8427=""),"-",11981.8427/14024.35058*100)</f>
        <v>85.435989578634732</v>
      </c>
      <c r="D11" s="48">
        <f>IF(14024.35058="","-",14024.35058/1881236.72041*100)</f>
        <v>0.74548569182423297</v>
      </c>
      <c r="E11" s="48">
        <f>IF(11981.8427="","-",11981.8427/1650750.85967*100)</f>
        <v>0.7258419785039687</v>
      </c>
      <c r="F11" s="48">
        <f>IF(OR(1770611.63183="",11151.60799="",14024.35058=""),"-",(14024.35058-11151.60799)/1770611.63183*100)</f>
        <v>0.16224577645132163</v>
      </c>
      <c r="G11" s="48">
        <f>IF(OR(1881236.72041="",11981.8427="",14024.35058=""),"-",(11981.8427-14024.35058)/1881236.72041*100)</f>
        <v>-0.10857261384706828</v>
      </c>
    </row>
    <row r="12" spans="1:7" s="9" customFormat="1" x14ac:dyDescent="0.25">
      <c r="A12" s="47" t="s">
        <v>275</v>
      </c>
      <c r="B12" s="48">
        <f>IF(27291.01089="","-",27291.01089)</f>
        <v>27291.010890000001</v>
      </c>
      <c r="C12" s="48">
        <f>IF(OR(21118.09169="",27291.01089=""),"-",27291.01089/21118.09169*100)</f>
        <v>129.23047825823696</v>
      </c>
      <c r="D12" s="48">
        <f>IF(21118.09169="","-",21118.09169/1881236.72041*100)</f>
        <v>1.1225642929932544</v>
      </c>
      <c r="E12" s="48">
        <f>IF(27291.01089="","-",27291.01089/1650750.85967*100)</f>
        <v>1.6532483221275269</v>
      </c>
      <c r="F12" s="48">
        <f>IF(OR(1770611.63183="",18731.11234="",21118.09169=""),"-",(21118.09169-18731.11234)/1770611.63183*100)</f>
        <v>0.13481100581797037</v>
      </c>
      <c r="G12" s="48">
        <f>IF(OR(1881236.72041="",27291.01089="",21118.09169=""),"-",(27291.01089-21118.09169)/1881236.72041*100)</f>
        <v>0.32813091159812485</v>
      </c>
    </row>
    <row r="13" spans="1:7" s="9" customFormat="1" x14ac:dyDescent="0.25">
      <c r="A13" s="47" t="s">
        <v>276</v>
      </c>
      <c r="B13" s="48">
        <f>IF(19320.70127="","-",19320.70127)</f>
        <v>19320.701270000001</v>
      </c>
      <c r="C13" s="48">
        <f>IF(OR(17815.94397="",19320.70127=""),"-",19320.70127/17815.94397*100)</f>
        <v>108.44612725844804</v>
      </c>
      <c r="D13" s="48">
        <f>IF(17815.94397="","-",17815.94397/1881236.72041*100)</f>
        <v>0.94703360702618877</v>
      </c>
      <c r="E13" s="48">
        <f>IF(19320.70127="","-",19320.70127/1650750.85967*100)</f>
        <v>1.1704189736943336</v>
      </c>
      <c r="F13" s="48">
        <f>IF(OR(1770611.63183="",15929.59481="",17815.94397=""),"-",(17815.94397-15929.59481)/1770611.63183*100)</f>
        <v>0.10653658465184598</v>
      </c>
      <c r="G13" s="48">
        <f>IF(OR(1881236.72041="",19320.70127="",17815.94397=""),"-",(19320.70127-17815.94397)/1881236.72041*100)</f>
        <v>7.9987663629702679E-2</v>
      </c>
    </row>
    <row r="14" spans="1:7" s="9" customFormat="1" x14ac:dyDescent="0.25">
      <c r="A14" s="47" t="s">
        <v>277</v>
      </c>
      <c r="B14" s="48">
        <f>IF(40001.71903="","-",40001.71903)</f>
        <v>40001.71903</v>
      </c>
      <c r="C14" s="48">
        <f>IF(OR(34546.7063="",40001.71903=""),"-",40001.71903/34546.7063*100)</f>
        <v>115.7902541638246</v>
      </c>
      <c r="D14" s="48">
        <f>IF(34546.7063="","-",34546.7063/1881236.72041*100)</f>
        <v>1.8363827329752966</v>
      </c>
      <c r="E14" s="48">
        <f>IF(40001.71903="","-",40001.71903/1650750.85967*100)</f>
        <v>2.4232438708526072</v>
      </c>
      <c r="F14" s="48">
        <f>IF(OR(1770611.63183="",31849.44934="",34546.7063=""),"-",(34546.7063-31849.44934)/1770611.63183*100)</f>
        <v>0.15233475887720632</v>
      </c>
      <c r="G14" s="48">
        <f>IF(OR(1881236.72041="",40001.71903="",34546.7063=""),"-",(40001.71903-34546.7063)/1881236.72041*100)</f>
        <v>0.2899695009573876</v>
      </c>
    </row>
    <row r="15" spans="1:7" s="9" customFormat="1" x14ac:dyDescent="0.25">
      <c r="A15" s="47" t="s">
        <v>278</v>
      </c>
      <c r="B15" s="48">
        <f>IF(65320.78676="","-",65320.78676)</f>
        <v>65320.786760000003</v>
      </c>
      <c r="C15" s="48">
        <f>IF(OR(67126.93325="",65320.78676=""),"-",65320.78676/67126.93325*100)</f>
        <v>97.309356464605074</v>
      </c>
      <c r="D15" s="48">
        <f>IF(67126.93325="","-",67126.93325/1881236.72041*100)</f>
        <v>3.5682342642860085</v>
      </c>
      <c r="E15" s="48">
        <f>IF(65320.78676="","-",65320.78676/1650750.85967*100)</f>
        <v>3.9570348473456631</v>
      </c>
      <c r="F15" s="48">
        <f>IF(OR(1770611.63183="",61429.82191="",67126.93325=""),"-",(67126.93325-61429.82191)/1770611.63183*100)</f>
        <v>0.32175951166161737</v>
      </c>
      <c r="G15" s="48">
        <f>IF(OR(1881236.72041="",65320.78676="",67126.93325=""),"-",(65320.78676-67126.93325)/1881236.72041*100)</f>
        <v>-9.6008464559758561E-2</v>
      </c>
    </row>
    <row r="16" spans="1:7" s="9" customFormat="1" ht="14.25" customHeight="1" x14ac:dyDescent="0.25">
      <c r="A16" s="47" t="s">
        <v>223</v>
      </c>
      <c r="B16" s="48">
        <f>IF(6662.13522="","-",6662.13522)</f>
        <v>6662.1352200000001</v>
      </c>
      <c r="C16" s="48">
        <f>IF(OR(5970.92322="",6662.13522=""),"-",6662.13522/5970.92322*100)</f>
        <v>111.57630025595941</v>
      </c>
      <c r="D16" s="48">
        <f>IF(5970.92322="","-",5970.92322/1881236.72041*100)</f>
        <v>0.31739350796313853</v>
      </c>
      <c r="E16" s="48">
        <f>IF(6662.13522="","-",6662.13522/1650750.85967*100)</f>
        <v>0.40358211422236195</v>
      </c>
      <c r="F16" s="48">
        <f>IF(OR(1770611.63183="",6238.28559="",5970.92322=""),"-",(5970.92322-6238.28559)/1770611.63183*100)</f>
        <v>-1.51000007677387E-2</v>
      </c>
      <c r="G16" s="48">
        <f>IF(OR(1881236.72041="",6662.13522="",5970.92322=""),"-",(6662.13522-5970.92322)/1881236.72041*100)</f>
        <v>3.6742425474735392E-2</v>
      </c>
    </row>
    <row r="17" spans="1:7" s="9" customFormat="1" ht="25.5" x14ac:dyDescent="0.25">
      <c r="A17" s="47" t="s">
        <v>279</v>
      </c>
      <c r="B17" s="48">
        <f>IF(15947.75033="","-",15947.75033)</f>
        <v>15947.750330000001</v>
      </c>
      <c r="C17" s="48">
        <f>IF(OR(16604.12323="",15947.75033=""),"-",15947.75033/16604.12323*100)</f>
        <v>96.046928278549032</v>
      </c>
      <c r="D17" s="48">
        <f>IF(16604.12323="","-",16604.12323/1881236.72041*100)</f>
        <v>0.8826174319190021</v>
      </c>
      <c r="E17" s="48">
        <f>IF(15947.75033="","-",15947.75033/1650750.85967*100)</f>
        <v>0.96609068755463801</v>
      </c>
      <c r="F17" s="48">
        <f>IF(OR(1770611.63183="",16070.55182="",16604.12323=""),"-",(16604.12323-16070.55182)/1770611.63183*100)</f>
        <v>3.0134864156999376E-2</v>
      </c>
      <c r="G17" s="48">
        <f>IF(OR(1881236.72041="",15947.75033="",16604.12323=""),"-",(15947.75033-16604.12323)/1881236.72041*100)</f>
        <v>-3.4890500109786782E-2</v>
      </c>
    </row>
    <row r="18" spans="1:7" s="9" customFormat="1" ht="25.5" x14ac:dyDescent="0.25">
      <c r="A18" s="47" t="s">
        <v>225</v>
      </c>
      <c r="B18" s="48">
        <f>IF(11916.37495="","-",11916.37495)</f>
        <v>11916.374949999999</v>
      </c>
      <c r="C18" s="48">
        <f>IF(OR(10528.27477="",11916.37495=""),"-",11916.37495/10528.27477*100)</f>
        <v>113.18449803338481</v>
      </c>
      <c r="D18" s="48">
        <f>IF(10528.27477="","-",10528.27477/1881236.72041*100)</f>
        <v>0.55964646318967504</v>
      </c>
      <c r="E18" s="48">
        <f>IF(11916.37495="","-",11916.37495/1650750.85967*100)</f>
        <v>0.72187604084496382</v>
      </c>
      <c r="F18" s="48">
        <f>IF(OR(1770611.63183="",12312.14803="",10528.27477=""),"-",(10528.27477-12312.14803)/1770611.63183*100)</f>
        <v>-0.10074898571384025</v>
      </c>
      <c r="G18" s="48">
        <f>IF(OR(1881236.72041="",11916.37495="",10528.27477=""),"-",(11916.37495-10528.27477)/1881236.72041*100)</f>
        <v>7.3786576933150369E-2</v>
      </c>
    </row>
    <row r="19" spans="1:7" s="9" customFormat="1" x14ac:dyDescent="0.25">
      <c r="A19" s="47" t="s">
        <v>280</v>
      </c>
      <c r="B19" s="48">
        <f>IF(25997.39262="","-",25997.39262)</f>
        <v>25997.392619999999</v>
      </c>
      <c r="C19" s="48">
        <f>IF(OR(23144.08112="",25997.39262=""),"-",25997.39262/23144.08112*100)</f>
        <v>112.32847173843643</v>
      </c>
      <c r="D19" s="48">
        <f>IF(23144.08112="","-",23144.08112/1881236.72041*100)</f>
        <v>1.2302588434992878</v>
      </c>
      <c r="E19" s="48">
        <f>IF(25997.39262="","-",25997.39262/1650750.85967*100)</f>
        <v>1.5748828763413221</v>
      </c>
      <c r="F19" s="48">
        <f>IF(OR(1770611.63183="",21937.47848="",23144.08112=""),"-",(23144.08112-21937.47848)/1770611.63183*100)</f>
        <v>6.8146092475001072E-2</v>
      </c>
      <c r="G19" s="48">
        <f>IF(OR(1881236.72041="",25997.39262="",23144.08112=""),"-",(25997.39262-23144.08112)/1881236.72041*100)</f>
        <v>0.1516721138304245</v>
      </c>
    </row>
    <row r="20" spans="1:7" s="9" customFormat="1" x14ac:dyDescent="0.25">
      <c r="A20" s="55" t="s">
        <v>281</v>
      </c>
      <c r="B20" s="46">
        <f>IF(32110.10602="","-",32110.10602)</f>
        <v>32110.106019999999</v>
      </c>
      <c r="C20" s="46">
        <f>IF(32100.82516="","-",32110.10602/32100.82516*100)</f>
        <v>100.02891159324952</v>
      </c>
      <c r="D20" s="46">
        <f>IF(32100.82516="","-",32100.82516/1881236.72041*100)</f>
        <v>1.7063681997980504</v>
      </c>
      <c r="E20" s="46">
        <f>IF(32110.10602="","-",32110.10602/1650750.85967*100)</f>
        <v>1.9451818444861571</v>
      </c>
      <c r="F20" s="46">
        <f>IF(1770611.63183="","-",(32100.82516-25685.30992)/1770611.63183*100)</f>
        <v>0.36233328216472305</v>
      </c>
      <c r="G20" s="46">
        <f>IF(1881236.72041="","-",(32110.10602-32100.82516)/1881236.72041*100)</f>
        <v>4.9333823326477757E-4</v>
      </c>
    </row>
    <row r="21" spans="1:7" s="9" customFormat="1" x14ac:dyDescent="0.25">
      <c r="A21" s="47" t="s">
        <v>282</v>
      </c>
      <c r="B21" s="48">
        <f>IF(15756.27496="","-",15756.27496)</f>
        <v>15756.274960000001</v>
      </c>
      <c r="C21" s="48">
        <f>IF(OR(16924.7584="",15756.27496=""),"-",15756.27496/16924.7584*100)</f>
        <v>93.096011107609087</v>
      </c>
      <c r="D21" s="48">
        <f>IF(16924.7584="","-",16924.7584/1881236.72041*100)</f>
        <v>0.89966128219692554</v>
      </c>
      <c r="E21" s="48">
        <f>IF(15756.27496="","-",15756.27496/1650750.85967*100)</f>
        <v>0.95449139812350747</v>
      </c>
      <c r="F21" s="48">
        <f>IF(OR(1770611.63183="",16066.55852="",16924.7584=""),"-",(16924.7584-16066.55852)/1770611.63183*100)</f>
        <v>4.846912019396446E-2</v>
      </c>
      <c r="G21" s="48">
        <f>IF(OR(1881236.72041="",15756.27496="",16924.7584=""),"-",(15756.27496-16924.7584)/1881236.72041*100)</f>
        <v>-6.211251499201742E-2</v>
      </c>
    </row>
    <row r="22" spans="1:7" s="9" customFormat="1" x14ac:dyDescent="0.25">
      <c r="A22" s="47" t="s">
        <v>283</v>
      </c>
      <c r="B22" s="48">
        <f>IF(16353.83106="","-",16353.83106)</f>
        <v>16353.83106</v>
      </c>
      <c r="C22" s="48">
        <f>IF(OR(15176.06676="",16353.83106=""),"-",16353.83106/15176.06676*100)</f>
        <v>107.76066894423704</v>
      </c>
      <c r="D22" s="48">
        <f>IF(15176.06676="","-",15176.06676/1881236.72041*100)</f>
        <v>0.80670691760112467</v>
      </c>
      <c r="E22" s="48">
        <f>IF(16353.83106="","-",16353.83106/1650750.85967*100)</f>
        <v>0.9906904463626498</v>
      </c>
      <c r="F22" s="48">
        <f>IF(OR(1770611.63183="",9618.7514="",15176.06676=""),"-",(15176.06676-9618.7514)/1770611.63183*100)</f>
        <v>0.31386416197075845</v>
      </c>
      <c r="G22" s="48">
        <f>IF(OR(1881236.72041="",16353.83106="",15176.06676=""),"-",(16353.83106-15176.06676)/1881236.72041*100)</f>
        <v>6.2605853225282393E-2</v>
      </c>
    </row>
    <row r="23" spans="1:7" s="9" customFormat="1" ht="25.5" x14ac:dyDescent="0.25">
      <c r="A23" s="55" t="s">
        <v>25</v>
      </c>
      <c r="B23" s="46">
        <f>IF(59265.7261="","-",59265.7261)</f>
        <v>59265.7261</v>
      </c>
      <c r="C23" s="46">
        <f>IF(60166.07378="","-",59265.7261/60166.07378*100)</f>
        <v>98.50356251715516</v>
      </c>
      <c r="D23" s="46">
        <f>IF(60166.07378="","-",60166.07378/1881236.72041*100)</f>
        <v>3.1982191888582365</v>
      </c>
      <c r="E23" s="46">
        <f>IF(59265.7261="","-",59265.7261/1650750.85967*100)</f>
        <v>3.5902283953283995</v>
      </c>
      <c r="F23" s="46">
        <f>IF(1770611.63183="","-",(60166.07378-59499.15266)/1770611.63183*100)</f>
        <v>3.7666143608844849E-2</v>
      </c>
      <c r="G23" s="46">
        <f>IF(1881236.72041="","-",(59265.7261-60166.07378)/1881236.72041*100)</f>
        <v>-4.7859350725610733E-2</v>
      </c>
    </row>
    <row r="24" spans="1:7" s="9" customFormat="1" x14ac:dyDescent="0.25">
      <c r="A24" s="47" t="s">
        <v>284</v>
      </c>
      <c r="B24" s="48">
        <f>IF(26161.84986="","-",26161.84986)</f>
        <v>26161.849859999998</v>
      </c>
      <c r="C24" s="48">
        <f>IF(OR(22583.27664="",26161.84986=""),"-",26161.84986/22583.27664*100)</f>
        <v>115.84612045916114</v>
      </c>
      <c r="D24" s="48">
        <f>IF(22583.27664="","-",22583.27664/1881236.72041*100)</f>
        <v>1.2004484281530587</v>
      </c>
      <c r="E24" s="48">
        <f>IF(26161.84986="","-",26161.84986/1650750.85967*100)</f>
        <v>1.5848454481635097</v>
      </c>
      <c r="F24" s="48">
        <f>IF(OR(1770611.63183="",26953.95148="",22583.27664=""),"-",(22583.27664-26953.95148)/1770611.63183*100)</f>
        <v>-0.24684548330244091</v>
      </c>
      <c r="G24" s="48">
        <f>IF(OR(1881236.72041="",26161.84986="",22583.27664=""),"-",(26161.84986-22583.27664)/1881236.72041*100)</f>
        <v>0.19022450397524018</v>
      </c>
    </row>
    <row r="25" spans="1:7" s="9" customFormat="1" ht="25.5" x14ac:dyDescent="0.25">
      <c r="A25" s="47" t="s">
        <v>285</v>
      </c>
      <c r="B25" s="48">
        <f>IF(382.18437="","-",382.18437)</f>
        <v>382.18437</v>
      </c>
      <c r="C25" s="48">
        <f>IF(OR(418.16655="",382.18437=""),"-",382.18437/418.16655*100)</f>
        <v>91.395251485323257</v>
      </c>
      <c r="D25" s="48">
        <f>IF(418.16655="","-",418.16655/1881236.72041*100)</f>
        <v>2.2228279166742186E-2</v>
      </c>
      <c r="E25" s="48">
        <f>IF(382.18437="","-",382.18437/1650750.85967*100)</f>
        <v>2.3152153322300986E-2</v>
      </c>
      <c r="F25" s="48">
        <f>IF(OR(1770611.63183="",242.85012="",418.16655=""),"-",(418.16655-242.85012)/1770611.63183*100)</f>
        <v>9.901461554208995E-3</v>
      </c>
      <c r="G25" s="48">
        <f>IF(OR(1881236.72041="",382.18437="",418.16655=""),"-",(382.18437-418.16655)/1881236.72041*100)</f>
        <v>-1.9126875214384475E-3</v>
      </c>
    </row>
    <row r="26" spans="1:7" s="9" customFormat="1" x14ac:dyDescent="0.25">
      <c r="A26" s="47" t="s">
        <v>286</v>
      </c>
      <c r="B26" s="48">
        <f>IF(8838.87886="","-",8838.87886)</f>
        <v>8838.8788600000007</v>
      </c>
      <c r="C26" s="48">
        <f>IF(OR(10479.62515="",8838.87886=""),"-",8838.87886/10479.62515*100)</f>
        <v>84.343463945368327</v>
      </c>
      <c r="D26" s="48">
        <f>IF(10479.62515="","-",10479.62515/1881236.72041*100)</f>
        <v>0.55706041862270539</v>
      </c>
      <c r="E26" s="48">
        <f>IF(8838.87886="","-",8838.87886/1650750.85967*100)</f>
        <v>0.53544596437568859</v>
      </c>
      <c r="F26" s="48">
        <f>IF(OR(1770611.63183="",7934.6313="",10479.62515=""),"-",(10479.62515-7934.6313)/1770611.63183*100)</f>
        <v>0.14373529486924494</v>
      </c>
      <c r="G26" s="48">
        <f>IF(OR(1881236.72041="",8838.87886="",10479.62515=""),"-",(8838.87886-10479.62515)/1881236.72041*100)</f>
        <v>-8.7216365287746039E-2</v>
      </c>
    </row>
    <row r="27" spans="1:7" s="9" customFormat="1" x14ac:dyDescent="0.25">
      <c r="A27" s="47" t="s">
        <v>234</v>
      </c>
      <c r="B27" s="48">
        <f>IF(112.06291="","-",112.06291)</f>
        <v>112.06291</v>
      </c>
      <c r="C27" s="48">
        <f>IF(OR(135.79225="",112.06291=""),"-",112.06291/135.79225*100)</f>
        <v>82.525261935051532</v>
      </c>
      <c r="D27" s="48">
        <f>IF(135.79225="","-",135.79225/1881236.72041*100)</f>
        <v>7.2182436440218541E-3</v>
      </c>
      <c r="E27" s="48">
        <f>IF(112.06291="","-",112.06291/1650750.85967*100)</f>
        <v>6.7886022499120428E-3</v>
      </c>
      <c r="F27" s="48">
        <f>IF(OR(1770611.63183="",152.40985="",135.79225=""),"-",(135.79225-152.40985)/1770611.63183*100)</f>
        <v>-9.38523146536942E-4</v>
      </c>
      <c r="G27" s="48">
        <f>IF(OR(1881236.72041="",112.06291="",135.79225=""),"-",(112.06291-135.79225)/1881236.72041*100)</f>
        <v>-1.2613691696826107E-3</v>
      </c>
    </row>
    <row r="28" spans="1:7" s="9" customFormat="1" ht="38.25" x14ac:dyDescent="0.25">
      <c r="A28" s="47" t="s">
        <v>235</v>
      </c>
      <c r="B28" s="48">
        <f>IF(2162.32788="","-",2162.32788)</f>
        <v>2162.3278799999998</v>
      </c>
      <c r="C28" s="48">
        <f>IF(OR(2575.57036="",2162.32788=""),"-",2162.32788/2575.57036*100)</f>
        <v>83.955302234492237</v>
      </c>
      <c r="D28" s="48">
        <f>IF(2575.57036="","-",2575.57036/1881236.72041*100)</f>
        <v>0.13690836097642595</v>
      </c>
      <c r="E28" s="48">
        <f>IF(2162.32788="","-",2162.32788/1650750.85967*100)</f>
        <v>0.13099056513181334</v>
      </c>
      <c r="F28" s="48">
        <f>IF(OR(1770611.63183="",2968.48748="",2575.57036=""),"-",(2575.57036-2968.48748)/1770611.63183*100)</f>
        <v>-2.2191039126626746E-2</v>
      </c>
      <c r="G28" s="48">
        <f>IF(OR(1881236.72041="",2162.32788="",2575.57036=""),"-",(2162.32788-2575.57036)/1881236.72041*100)</f>
        <v>-2.1966532734377923E-2</v>
      </c>
    </row>
    <row r="29" spans="1:7" s="9" customFormat="1" ht="38.25" x14ac:dyDescent="0.25">
      <c r="A29" s="47" t="s">
        <v>236</v>
      </c>
      <c r="B29" s="48">
        <f>IF(4360.77384="","-",4360.77384)</f>
        <v>4360.7738399999998</v>
      </c>
      <c r="C29" s="48">
        <f>IF(OR(8446.19555="",4360.77384=""),"-",4360.77384/8446.19555*100)</f>
        <v>51.630036436937566</v>
      </c>
      <c r="D29" s="48">
        <f>IF(8446.19555="","-",8446.19555/1881236.72041*100)</f>
        <v>0.44897037456079542</v>
      </c>
      <c r="E29" s="48">
        <f>IF(4360.77384="","-",4360.77384/1650750.85967*100)</f>
        <v>0.26416910913326785</v>
      </c>
      <c r="F29" s="48">
        <f>IF(OR(1770611.63183="",3654.24814="",8446.19555=""),"-",(8446.19555-3654.24814)/1770611.63183*100)</f>
        <v>0.27063797186553695</v>
      </c>
      <c r="G29" s="48">
        <f>IF(OR(1881236.72041="",4360.77384="",8446.19555=""),"-",(4360.77384-8446.19555)/1881236.72041*100)</f>
        <v>-0.21716680658400164</v>
      </c>
    </row>
    <row r="30" spans="1:7" s="9" customFormat="1" ht="14.25" customHeight="1" x14ac:dyDescent="0.25">
      <c r="A30" s="47" t="s">
        <v>237</v>
      </c>
      <c r="B30" s="48">
        <f>IF(525.5233="","-",525.5233)</f>
        <v>525.52329999999995</v>
      </c>
      <c r="C30" s="48">
        <f>IF(OR(439.49207="",525.5233=""),"-",525.5233/439.49207*100)</f>
        <v>119.57514955844366</v>
      </c>
      <c r="D30" s="48">
        <f>IF(439.49207="","-",439.49207/1881236.72041*100)</f>
        <v>2.3361869627136361E-2</v>
      </c>
      <c r="E30" s="48">
        <f>IF(525.5233="","-",525.5233/1650750.85967*100)</f>
        <v>3.1835409742270671E-2</v>
      </c>
      <c r="F30" s="48">
        <f>IF(OR(1770611.63183="",326.73031="",439.49207=""),"-",(439.49207-326.73031)/1770611.63183*100)</f>
        <v>6.3685202318170759E-3</v>
      </c>
      <c r="G30" s="48">
        <f>IF(OR(1881236.72041="",525.5233="",439.49207=""),"-",(525.5233-439.49207)/1881236.72041*100)</f>
        <v>4.5731209191605688E-3</v>
      </c>
    </row>
    <row r="31" spans="1:7" s="9" customFormat="1" ht="25.5" x14ac:dyDescent="0.25">
      <c r="A31" s="47" t="s">
        <v>238</v>
      </c>
      <c r="B31" s="48">
        <f>IF(16722.12508="","-",16722.12508)</f>
        <v>16722.125080000002</v>
      </c>
      <c r="C31" s="48">
        <f>IF(OR(15087.95521="",16722.12508=""),"-",16722.12508/15087.95521*100)</f>
        <v>110.83095652959591</v>
      </c>
      <c r="D31" s="48">
        <f>IF(15087.95521="","-",15087.95521/1881236.72041*100)</f>
        <v>0.80202321410735089</v>
      </c>
      <c r="E31" s="48">
        <f>IF(16722.12508="","-",16722.12508/1650750.85967*100)</f>
        <v>1.0130011432096364</v>
      </c>
      <c r="F31" s="48">
        <f>IF(OR(1770611.63183="",17226.271="",15087.95521=""),"-",(15087.95521-17226.271)/1770611.63183*100)</f>
        <v>-0.12076707006549837</v>
      </c>
      <c r="G31" s="48">
        <f>IF(OR(1881236.72041="",16722.12508="",15087.95521=""),"-",(16722.12508-15087.95521)/1881236.72041*100)</f>
        <v>8.6866785677235117E-2</v>
      </c>
    </row>
    <row r="32" spans="1:7" s="9" customFormat="1" ht="25.5" x14ac:dyDescent="0.25">
      <c r="A32" s="55" t="s">
        <v>239</v>
      </c>
      <c r="B32" s="46">
        <f>IF(234875.95341="","-",234875.95341)</f>
        <v>234875.95340999999</v>
      </c>
      <c r="C32" s="46">
        <f>IF(328299.58075="","-",234875.95341/328299.58075*100)</f>
        <v>71.543177994143676</v>
      </c>
      <c r="D32" s="46">
        <f>IF(328299.58075="","-",328299.58075/1881236.72041*100)</f>
        <v>17.451263692027542</v>
      </c>
      <c r="E32" s="46">
        <f>IF(234875.95341="","-",234875.95341/1650750.85967*100)</f>
        <v>14.228431385276021</v>
      </c>
      <c r="F32" s="46">
        <f>IF(1770611.63183="","-",(328299.58075-286502.64583)/1770611.63183*100)</f>
        <v>2.3605930385084601</v>
      </c>
      <c r="G32" s="46">
        <f>IF(1881236.72041="","-",(234875.95341-328299.58075)/1881236.72041*100)</f>
        <v>-4.9660750466129073</v>
      </c>
    </row>
    <row r="33" spans="1:7" s="9" customFormat="1" x14ac:dyDescent="0.25">
      <c r="A33" s="47" t="s">
        <v>287</v>
      </c>
      <c r="B33" s="48">
        <f>IF(3293.92796="","-",3293.92796)</f>
        <v>3293.92796</v>
      </c>
      <c r="C33" s="48">
        <f>IF(OR(5847.12324="",3293.92796=""),"-",3293.92796/5847.12324*100)</f>
        <v>56.334163396220802</v>
      </c>
      <c r="D33" s="48">
        <f>IF(5847.12324="","-",5847.12324/1881236.72041*100)</f>
        <v>0.31081273167608953</v>
      </c>
      <c r="E33" s="48">
        <f>IF(3293.92796="","-",3293.92796/1650750.85967*100)</f>
        <v>0.19954119307007273</v>
      </c>
      <c r="F33" s="48">
        <f>IF(OR(1770611.63183="",2538.938="",5847.12324=""),"-",(5847.12324-2538.938)/1770611.63183*100)</f>
        <v>0.186838557960949</v>
      </c>
      <c r="G33" s="48">
        <f>IF(OR(1881236.72041="",3293.92796="",5847.12324=""),"-",(3293.92796-5847.12324)/1881236.72041*100)</f>
        <v>-0.1357189795574239</v>
      </c>
    </row>
    <row r="34" spans="1:7" s="9" customFormat="1" ht="25.5" x14ac:dyDescent="0.25">
      <c r="A34" s="47" t="s">
        <v>240</v>
      </c>
      <c r="B34" s="48">
        <f>IF(126559.22177="","-",126559.22177)</f>
        <v>126559.22177</v>
      </c>
      <c r="C34" s="48">
        <f>IF(OR(167814.99887="",126559.22177=""),"-",126559.22177/167814.99887*100)</f>
        <v>75.415917898995843</v>
      </c>
      <c r="D34" s="48">
        <f>IF(167814.99887="","-",167814.99887/1881236.72041*100)</f>
        <v>8.9204615798391451</v>
      </c>
      <c r="E34" s="48">
        <f>IF(126559.22177="","-",126559.22177/1650750.85967*100)</f>
        <v>7.6667669762898276</v>
      </c>
      <c r="F34" s="48">
        <f>IF(OR(1770611.63183="",153380.88102="",167814.99887=""),"-",(167814.99887-153380.88102)/1770611.63183*100)</f>
        <v>0.81520518619217219</v>
      </c>
      <c r="G34" s="48">
        <f>IF(OR(1881236.72041="",126559.22177="",167814.99887=""),"-",(126559.22177-167814.99887)/1881236.72041*100)</f>
        <v>-2.1930135985761883</v>
      </c>
    </row>
    <row r="35" spans="1:7" s="9" customFormat="1" ht="25.5" x14ac:dyDescent="0.25">
      <c r="A35" s="47" t="s">
        <v>288</v>
      </c>
      <c r="B35" s="48">
        <f>IF(96912.87449="","-",96912.87449)</f>
        <v>96912.874490000002</v>
      </c>
      <c r="C35" s="48">
        <f>IF(OR(138534.54476="",96912.87449=""),"-",96912.87449/138534.54476*100)</f>
        <v>69.955746169949023</v>
      </c>
      <c r="D35" s="48">
        <f>IF(138534.54476="","-",138534.54476/1881236.72041*100)</f>
        <v>7.3640144941359384</v>
      </c>
      <c r="E35" s="48">
        <f>IF(96912.87449="","-",96912.87449/1650750.85967*100)</f>
        <v>5.8708359242880395</v>
      </c>
      <c r="F35" s="48">
        <f>IF(OR(1770611.63183="",117761.80741="",138534.54476=""),"-",(138534.54476-117761.80741)/1770611.63183*100)</f>
        <v>1.1731955769730551</v>
      </c>
      <c r="G35" s="48">
        <f>IF(OR(1881236.72041="",96912.87449="",138534.54476=""),"-",(96912.87449-138534.54476)/1881236.72041*100)</f>
        <v>-2.2124632066999461</v>
      </c>
    </row>
    <row r="36" spans="1:7" s="9" customFormat="1" x14ac:dyDescent="0.25">
      <c r="A36" s="47" t="s">
        <v>241</v>
      </c>
      <c r="B36" s="48">
        <f>IF(8109.92919="","-",8109.92919)</f>
        <v>8109.9291899999998</v>
      </c>
      <c r="C36" s="48">
        <f>IF(OR(16102.91388="",8109.92919=""),"-",8109.92919/16102.91388*100)</f>
        <v>50.363115957992065</v>
      </c>
      <c r="D36" s="48">
        <f>IF(16102.91388="","-",16102.91388/1881236.72041*100)</f>
        <v>0.85597488637636743</v>
      </c>
      <c r="E36" s="48">
        <f>IF(8109.92919="","-",8109.92919/1650750.85967*100)</f>
        <v>0.4912872916280806</v>
      </c>
      <c r="F36" s="48">
        <f>IF(OR(1770611.63183="",12821.0194="",16102.91388=""),"-",(16102.91388-12821.0194)/1770611.63183*100)</f>
        <v>0.18535371738228262</v>
      </c>
      <c r="G36" s="48">
        <f>IF(OR(1881236.72041="",8109.92919="",16102.91388=""),"-",(8109.92919-16102.91388)/1881236.72041*100)</f>
        <v>-0.42487926177934671</v>
      </c>
    </row>
    <row r="37" spans="1:7" s="9" customFormat="1" ht="25.5" x14ac:dyDescent="0.25">
      <c r="A37" s="55" t="s">
        <v>242</v>
      </c>
      <c r="B37" s="46">
        <f>IF(3265.15489="","-",3265.15489)</f>
        <v>3265.1548899999998</v>
      </c>
      <c r="C37" s="46">
        <f>IF(3661.7338="","-",3265.15489/3661.7338*100)</f>
        <v>89.169641168344896</v>
      </c>
      <c r="D37" s="46">
        <f>IF(3661.7338="","-",3661.7338/1881236.72041*100)</f>
        <v>0.194645031126224</v>
      </c>
      <c r="E37" s="46">
        <f>IF(3265.15489="","-",3265.15489/1650750.85967*100)</f>
        <v>0.19779816383998333</v>
      </c>
      <c r="F37" s="46">
        <f>IF(1770611.63183="","-",(3661.7338-3574.5427)/1770611.63183*100)</f>
        <v>4.9243492154111973E-3</v>
      </c>
      <c r="G37" s="46">
        <f>IF(1881236.72041="","-",(3265.15489-3661.7338)/1881236.72041*100)</f>
        <v>-2.1080755318956833E-2</v>
      </c>
    </row>
    <row r="38" spans="1:7" s="9" customFormat="1" x14ac:dyDescent="0.25">
      <c r="A38" s="47" t="s">
        <v>290</v>
      </c>
      <c r="B38" s="48">
        <f>IF(487.48237="","-",487.48237)</f>
        <v>487.48237</v>
      </c>
      <c r="C38" s="48">
        <f>IF(OR(435.6481="",487.48237=""),"-",487.48237/435.6481*100)</f>
        <v>111.89819719172425</v>
      </c>
      <c r="D38" s="48">
        <f>IF(435.6481="","-",435.6481/1881236.72041*100)</f>
        <v>2.3157537553543717E-2</v>
      </c>
      <c r="E38" s="48">
        <f>IF(487.48237="","-",487.48237/1650750.85967*100)</f>
        <v>2.9530947516662333E-2</v>
      </c>
      <c r="F38" s="48">
        <f>IF(OR(1770611.63183="",450.54516="",435.6481=""),"-",(435.6481-450.54516)/1770611.63183*100)</f>
        <v>-8.4135107508603033E-4</v>
      </c>
      <c r="G38" s="48">
        <f>IF(OR(1881236.72041="",487.48237="",435.6481=""),"-",(487.48237-435.6481)/1881236.72041*100)</f>
        <v>2.7553294828682245E-3</v>
      </c>
    </row>
    <row r="39" spans="1:7" s="9" customFormat="1" ht="25.5" x14ac:dyDescent="0.25">
      <c r="A39" s="47" t="s">
        <v>243</v>
      </c>
      <c r="B39" s="48">
        <f>IF(2125.87749="","-",2125.87749)</f>
        <v>2125.8774899999999</v>
      </c>
      <c r="C39" s="48">
        <f>IF(OR(2249.52903="",2125.87749=""),"-",2125.87749/2249.52903*100)</f>
        <v>94.503225415143888</v>
      </c>
      <c r="D39" s="48">
        <f>IF(2249.52903="","-",2249.52903/1881236.72041*100)</f>
        <v>0.11957713803873303</v>
      </c>
      <c r="E39" s="48">
        <f>IF(2125.87749="","-",2125.87749/1650750.85967*100)</f>
        <v>0.12878245542304198</v>
      </c>
      <c r="F39" s="48">
        <f>IF(OR(1770611.63183="",2254.37661="",2249.52903=""),"-",(2249.52903-2254.37661)/1770611.63183*100)</f>
        <v>-2.7377997031395753E-4</v>
      </c>
      <c r="G39" s="48">
        <f>IF(OR(1881236.72041="",2125.87749="",2249.52903=""),"-",(2125.87749-2249.52903)/1881236.72041*100)</f>
        <v>-6.5728857330113917E-3</v>
      </c>
    </row>
    <row r="40" spans="1:7" s="9" customFormat="1" ht="63.75" x14ac:dyDescent="0.25">
      <c r="A40" s="47" t="s">
        <v>289</v>
      </c>
      <c r="B40" s="48">
        <f>IF(651.79503="","-",651.79503)</f>
        <v>651.79503</v>
      </c>
      <c r="C40" s="48">
        <f>IF(OR(976.55667="",651.79503=""),"-",651.79503/976.55667*100)</f>
        <v>66.744209529591345</v>
      </c>
      <c r="D40" s="48">
        <f>IF(976.55667="","-",976.55667/1881236.72041*100)</f>
        <v>5.1910355533947239E-2</v>
      </c>
      <c r="E40" s="48">
        <f>IF(651.79503="","-",651.79503/1650750.85967*100)</f>
        <v>3.9484760900279026E-2</v>
      </c>
      <c r="F40" s="48">
        <f>IF(OR(1770611.63183="",869.62093="",976.55667=""),"-",(976.55667-869.62093)/1770611.63183*100)</f>
        <v>6.0394802608112041E-3</v>
      </c>
      <c r="G40" s="48">
        <f>IF(OR(1881236.72041="",651.79503="",976.55667=""),"-",(651.79503-976.55667)/1881236.72041*100)</f>
        <v>-1.7263199068813673E-2</v>
      </c>
    </row>
    <row r="41" spans="1:7" s="9" customFormat="1" ht="25.5" x14ac:dyDescent="0.25">
      <c r="A41" s="55" t="s">
        <v>244</v>
      </c>
      <c r="B41" s="46">
        <f>IF(293173.22718="","-",293173.22718)</f>
        <v>293173.22717999999</v>
      </c>
      <c r="C41" s="46">
        <f>IF(294106.22754="","-",293173.22718/294106.22754*100)</f>
        <v>99.682767560617833</v>
      </c>
      <c r="D41" s="46">
        <f>IF(294106.22754="","-",294106.22754/1881236.72041*100)</f>
        <v>15.633663980145037</v>
      </c>
      <c r="E41" s="46">
        <f>IF(293173.22718="","-",293173.22718/1650750.85967*100)</f>
        <v>17.759992397557074</v>
      </c>
      <c r="F41" s="46">
        <f>IF(1770611.63183="","-",(294106.22754-281586.27307)/1770611.63183*100)</f>
        <v>0.70709771950724787</v>
      </c>
      <c r="G41" s="46">
        <f>IF(1881236.72041="","-",(293173.22718-294106.22754)/1881236.72041*100)</f>
        <v>-4.9595053609025115E-2</v>
      </c>
    </row>
    <row r="42" spans="1:7" s="9" customFormat="1" x14ac:dyDescent="0.25">
      <c r="A42" s="47" t="s">
        <v>26</v>
      </c>
      <c r="B42" s="48">
        <f>IF(4061.4061="","-",4061.4061)</f>
        <v>4061.4061000000002</v>
      </c>
      <c r="C42" s="48">
        <f>IF(OR(6982.94521="",4061.4061=""),"-",4061.4061/6982.94521*100)</f>
        <v>58.161792450896229</v>
      </c>
      <c r="D42" s="48">
        <f>IF(6982.94521="","-",6982.94521/1881236.72041*100)</f>
        <v>0.37118907653886984</v>
      </c>
      <c r="E42" s="48">
        <f>IF(4061.4061="","-",4061.4061/1650750.85967*100)</f>
        <v>0.24603386248194425</v>
      </c>
      <c r="F42" s="48">
        <f>IF(OR(1770611.63183="",6617.58902="",6982.94521=""),"-",(6982.94521-6617.58902)/1770611.63183*100)</f>
        <v>2.0634462319802385E-2</v>
      </c>
      <c r="G42" s="48">
        <f>IF(OR(1881236.72041="",4061.4061="",6982.94521=""),"-",(4061.4061-6982.94521)/1881236.72041*100)</f>
        <v>-0.15529885624193399</v>
      </c>
    </row>
    <row r="43" spans="1:7" s="9" customFormat="1" x14ac:dyDescent="0.25">
      <c r="A43" s="47" t="s">
        <v>27</v>
      </c>
      <c r="B43" s="48">
        <f>IF(5417.96018="","-",5417.96018)</f>
        <v>5417.96018</v>
      </c>
      <c r="C43" s="48">
        <f>IF(OR(4992.88417="",5417.96018=""),"-",5417.96018/4992.88417*100)</f>
        <v>108.51363651802882</v>
      </c>
      <c r="D43" s="48">
        <f>IF(4992.88417="","-",4992.88417/1881236.72041*100)</f>
        <v>0.2654043542649881</v>
      </c>
      <c r="E43" s="48">
        <f>IF(5417.96018="","-",5417.96018/1650750.85967*100)</f>
        <v>0.32821186481666287</v>
      </c>
      <c r="F43" s="48">
        <f>IF(OR(1770611.63183="",4048.72305="",4992.88417=""),"-",(4992.88417-4048.72305)/1770611.63183*100)</f>
        <v>5.3324009795652973E-2</v>
      </c>
      <c r="G43" s="48">
        <f>IF(OR(1881236.72041="",5417.96018="",4992.88417=""),"-",(5417.96018-4992.88417)/1881236.72041*100)</f>
        <v>2.2595562025142586E-2</v>
      </c>
    </row>
    <row r="44" spans="1:7" s="9" customFormat="1" x14ac:dyDescent="0.25">
      <c r="A44" s="47" t="s">
        <v>245</v>
      </c>
      <c r="B44" s="48">
        <f>IF(9339.98066="","-",9339.98066)</f>
        <v>9339.9806599999993</v>
      </c>
      <c r="C44" s="48">
        <f>IF(OR(10414.06096="",9339.98066=""),"-",9339.98066/10414.06096*100)</f>
        <v>89.686249157504434</v>
      </c>
      <c r="D44" s="48">
        <f>IF(10414.06096="","-",10414.06096/1881236.72041*100)</f>
        <v>0.55357525435344157</v>
      </c>
      <c r="E44" s="48">
        <f>IF(9339.98066="","-",9339.98066/1650750.85967*100)</f>
        <v>0.56580195644224263</v>
      </c>
      <c r="F44" s="48">
        <f>IF(OR(1770611.63183="",8687.98026="",10414.06096=""),"-",(10414.06096-8687.98026)/1770611.63183*100)</f>
        <v>9.7484997216245831E-2</v>
      </c>
      <c r="G44" s="48">
        <f>IF(OR(1881236.72041="",9339.98066="",10414.06096=""),"-",(9339.98066-10414.06096)/1881236.72041*100)</f>
        <v>-5.7094372459725033E-2</v>
      </c>
    </row>
    <row r="45" spans="1:7" s="9" customFormat="1" x14ac:dyDescent="0.25">
      <c r="A45" s="47" t="s">
        <v>246</v>
      </c>
      <c r="B45" s="48">
        <f>IF(80438.48736="","-",80438.48736)</f>
        <v>80438.487359999999</v>
      </c>
      <c r="C45" s="48">
        <f>IF(OR(83930.61731="",80438.48736=""),"-",80438.48736/83930.61731*100)</f>
        <v>95.839265738864128</v>
      </c>
      <c r="D45" s="48">
        <f>IF(83930.61731="","-",83930.61731/1881236.72041*100)</f>
        <v>4.4614596557368928</v>
      </c>
      <c r="E45" s="48">
        <f>IF(80438.48736="","-",80438.48736/1650750.85967*100)</f>
        <v>4.8728423728387691</v>
      </c>
      <c r="F45" s="48">
        <f>IF(OR(1770611.63183="",73125.57099="",83930.61731=""),"-",(83930.61731-73125.57099)/1770611.63183*100)</f>
        <v>0.61024372176029062</v>
      </c>
      <c r="G45" s="48">
        <f>IF(OR(1881236.72041="",80438.48736="",83930.61731=""),"-",(80438.48736-83930.61731)/1881236.72041*100)</f>
        <v>-0.18562948044299929</v>
      </c>
    </row>
    <row r="46" spans="1:7" s="9" customFormat="1" ht="38.25" x14ac:dyDescent="0.25">
      <c r="A46" s="47" t="s">
        <v>247</v>
      </c>
      <c r="B46" s="48">
        <f>IF(34937.88883="","-",34937.88883)</f>
        <v>34937.888830000004</v>
      </c>
      <c r="C46" s="48">
        <f>IF(OR(35245.50829="",34937.88883=""),"-",34937.88883/35245.50829*100)</f>
        <v>99.127209466043439</v>
      </c>
      <c r="D46" s="48">
        <f>IF(35245.50829="","-",35245.50829/1881236.72041*100)</f>
        <v>1.8735286159159452</v>
      </c>
      <c r="E46" s="48">
        <f>IF(34937.88883="","-",34937.88883/1650750.85967*100)</f>
        <v>2.1164846666797681</v>
      </c>
      <c r="F46" s="48">
        <f>IF(OR(1770611.63183="",36169.07308="",35245.50829=""),"-",(35245.50829-36169.07308)/1770611.63183*100)</f>
        <v>-5.2160777292842124E-2</v>
      </c>
      <c r="G46" s="48">
        <f>IF(OR(1881236.72041="",34937.88883="",35245.50829=""),"-",(34937.88883-35245.50829)/1881236.72041*100)</f>
        <v>-1.635198041068172E-2</v>
      </c>
    </row>
    <row r="47" spans="1:7" s="9" customFormat="1" x14ac:dyDescent="0.25">
      <c r="A47" s="47" t="s">
        <v>248</v>
      </c>
      <c r="B47" s="48">
        <f>IF(42561.22838="","-",42561.22838)</f>
        <v>42561.22838</v>
      </c>
      <c r="C47" s="48">
        <f>IF(OR(38518.62835="",42561.22838=""),"-",42561.22838/38518.62835*100)</f>
        <v>110.49518169044563</v>
      </c>
      <c r="D47" s="48">
        <f>IF(38518.62835="","-",38518.62835/1881236.72041*100)</f>
        <v>2.0475162924528276</v>
      </c>
      <c r="E47" s="48">
        <f>IF(42561.22838="","-",42561.22838/1650750.85967*100)</f>
        <v>2.5782950910295681</v>
      </c>
      <c r="F47" s="48">
        <f>IF(OR(1770611.63183="",36082.55136="",38518.62835=""),"-",(38518.62835-36082.55136)/1770611.63183*100)</f>
        <v>0.13758392558859536</v>
      </c>
      <c r="G47" s="48">
        <f>IF(OR(1881236.72041="",42561.22838="",38518.62835=""),"-",(42561.22838-38518.62835)/1881236.72041*100)</f>
        <v>0.21489055503440047</v>
      </c>
    </row>
    <row r="48" spans="1:7" s="9" customFormat="1" x14ac:dyDescent="0.25">
      <c r="A48" s="47" t="s">
        <v>28</v>
      </c>
      <c r="B48" s="48">
        <f>IF(14799.34235="","-",14799.34235)</f>
        <v>14799.342350000001</v>
      </c>
      <c r="C48" s="48">
        <f>IF(OR(15723.10023="",14799.34235=""),"-",14799.34235/15723.10023*100)</f>
        <v>94.124836282367198</v>
      </c>
      <c r="D48" s="48">
        <f>IF(15723.10023="","-",15723.10023/1881236.72041*100)</f>
        <v>0.83578531395949363</v>
      </c>
      <c r="E48" s="48">
        <f>IF(14799.34235="","-",14799.34235/1650750.85967*100)</f>
        <v>0.896521862357747</v>
      </c>
      <c r="F48" s="48">
        <f>IF(OR(1770611.63183="",15933.30253="",15723.10023=""),"-",(15723.10023-15933.30253)/1770611.63183*100)</f>
        <v>-1.1871733824698085E-2</v>
      </c>
      <c r="G48" s="48">
        <f>IF(OR(1881236.72041="",14799.34235="",15723.10023=""),"-",(14799.34235-15723.10023)/1881236.72041*100)</f>
        <v>-4.9103755523051545E-2</v>
      </c>
    </row>
    <row r="49" spans="1:7" s="9" customFormat="1" x14ac:dyDescent="0.25">
      <c r="A49" s="47" t="s">
        <v>29</v>
      </c>
      <c r="B49" s="48">
        <f>IF(30823.20254="","-",30823.20254)</f>
        <v>30823.202539999998</v>
      </c>
      <c r="C49" s="48">
        <f>IF(OR(33670.90154="",30823.20254=""),"-",30823.20254/33670.90154*100)</f>
        <v>91.542551966964652</v>
      </c>
      <c r="D49" s="48">
        <f>IF(33670.90154="","-",33670.90154/1881236.72041*100)</f>
        <v>1.7898279985020547</v>
      </c>
      <c r="E49" s="48">
        <f>IF(30823.20254="","-",30823.20254/1650750.85967*100)</f>
        <v>1.8672231705614157</v>
      </c>
      <c r="F49" s="48">
        <f>IF(OR(1770611.63183="",29919.33508="",33670.90154=""),"-",(33670.90154-29919.33508)/1770611.63183*100)</f>
        <v>0.21187969132014567</v>
      </c>
      <c r="G49" s="48">
        <f>IF(OR(1881236.72041="",30823.20254="",33670.90154=""),"-",(30823.20254-33670.90154)/1881236.72041*100)</f>
        <v>-0.15137377285402806</v>
      </c>
    </row>
    <row r="50" spans="1:7" s="9" customFormat="1" x14ac:dyDescent="0.25">
      <c r="A50" s="47" t="s">
        <v>249</v>
      </c>
      <c r="B50" s="48">
        <f>IF(70793.73078="","-",70793.73078)</f>
        <v>70793.730779999998</v>
      </c>
      <c r="C50" s="48">
        <f>IF(OR(64627.58148="",70793.73078=""),"-",70793.73078/64627.58148*100)</f>
        <v>109.54104912916817</v>
      </c>
      <c r="D50" s="48">
        <f>IF(64627.58148="","-",64627.58148/1881236.72041*100)</f>
        <v>3.4353774184205244</v>
      </c>
      <c r="E50" s="48">
        <f>IF(70793.73078="","-",70793.73078/1650750.85967*100)</f>
        <v>4.2885775503489549</v>
      </c>
      <c r="F50" s="48">
        <f>IF(OR(1770611.63183="",71002.1477="",64627.58148=""),"-",(64627.58148-71002.1477)/1770611.63183*100)</f>
        <v>-0.36002057737594456</v>
      </c>
      <c r="G50" s="48">
        <f>IF(OR(1881236.72041="",70793.73078="",64627.58148=""),"-",(70793.73078-64627.58148)/1881236.72041*100)</f>
        <v>0.32777104726385181</v>
      </c>
    </row>
    <row r="51" spans="1:7" s="9" customFormat="1" ht="25.5" x14ac:dyDescent="0.25">
      <c r="A51" s="55" t="s">
        <v>250</v>
      </c>
      <c r="B51" s="46">
        <f>IF(289689.74813="","-",289689.74813)</f>
        <v>289689.74813000002</v>
      </c>
      <c r="C51" s="46">
        <f>IF(330149.09572="","-",289689.74813/330149.09572*100)</f>
        <v>87.745128454232201</v>
      </c>
      <c r="D51" s="46">
        <f>IF(330149.09572="","-",330149.09572/1881236.72041*100)</f>
        <v>17.549577474122806</v>
      </c>
      <c r="E51" s="46">
        <f>IF(289689.74813="","-",289689.74813/1650750.85967*100)</f>
        <v>17.548968485039083</v>
      </c>
      <c r="F51" s="46">
        <f>IF(1770611.63183="","-",(330149.09572-338472.42569)/1770611.63183*100)</f>
        <v>-0.47008219195970807</v>
      </c>
      <c r="G51" s="46">
        <f>IF(1881236.72041="","-",(289689.74813-330149.09572)/1881236.72041*100)</f>
        <v>-2.1506781762787504</v>
      </c>
    </row>
    <row r="52" spans="1:7" s="9" customFormat="1" x14ac:dyDescent="0.25">
      <c r="A52" s="47" t="s">
        <v>251</v>
      </c>
      <c r="B52" s="48">
        <f>IF(13641.24317="","-",13641.24317)</f>
        <v>13641.24317</v>
      </c>
      <c r="C52" s="48">
        <f>IF(OR(16402.60636="",13641.24317=""),"-",13641.24317/16402.60636*100)</f>
        <v>83.165095050174685</v>
      </c>
      <c r="D52" s="48">
        <f>IF(16402.60636="","-",16402.60636/1881236.72041*100)</f>
        <v>0.87190549610498724</v>
      </c>
      <c r="E52" s="48">
        <f>IF(13641.24317="","-",13641.24317/1650750.85967*100)</f>
        <v>0.82636595886595565</v>
      </c>
      <c r="F52" s="48">
        <f>IF(OR(1770611.63183="",20447.00542="",16402.60636=""),"-",(16402.60636-20447.00542)/1770611.63183*100)</f>
        <v>-0.22841819105299488</v>
      </c>
      <c r="G52" s="48">
        <f>IF(OR(1881236.72041="",13641.24317="",16402.60636=""),"-",(13641.24317-16402.60636)/1881236.72041*100)</f>
        <v>-0.14678446152157745</v>
      </c>
    </row>
    <row r="53" spans="1:7" s="9" customFormat="1" x14ac:dyDescent="0.25">
      <c r="A53" s="47" t="s">
        <v>30</v>
      </c>
      <c r="B53" s="48">
        <f>IF(17816.86024="","-",17816.86024)</f>
        <v>17816.860240000002</v>
      </c>
      <c r="C53" s="48">
        <f>IF(OR(19857.43197="",17816.86024=""),"-",17816.86024/19857.43197*100)</f>
        <v>89.723889105686823</v>
      </c>
      <c r="D53" s="48">
        <f>IF(19857.43197="","-",19857.43197/1881236.72041*100)</f>
        <v>1.0555520076002045</v>
      </c>
      <c r="E53" s="48">
        <f>IF(17816.86024="","-",17816.86024/1650750.85967*100)</f>
        <v>1.0793185498362698</v>
      </c>
      <c r="F53" s="48">
        <f>IF(OR(1770611.63183="",20397.11644="",19857.43197=""),"-",(19857.43197-20397.11644)/1770611.63183*100)</f>
        <v>-3.0480115475250438E-2</v>
      </c>
      <c r="G53" s="48">
        <f>IF(OR(1881236.72041="",17816.86024="",19857.43197=""),"-",(17816.86024-19857.43197)/1881236.72041*100)</f>
        <v>-0.10846969484814616</v>
      </c>
    </row>
    <row r="54" spans="1:7" s="9" customFormat="1" x14ac:dyDescent="0.25">
      <c r="A54" s="47" t="s">
        <v>252</v>
      </c>
      <c r="B54" s="48">
        <f>IF(19693.50513="","-",19693.50513)</f>
        <v>19693.505130000001</v>
      </c>
      <c r="C54" s="48">
        <f>IF(OR(24151.36886="",19693.50513=""),"-",19693.50513/24151.36886*100)</f>
        <v>81.541983165255687</v>
      </c>
      <c r="D54" s="48">
        <f>IF(24151.36886="","-",24151.36886/1881236.72041*100)</f>
        <v>1.2838027558135483</v>
      </c>
      <c r="E54" s="48">
        <f>IF(19693.50513="","-",19693.50513/1650750.85967*100)</f>
        <v>1.193002869853838</v>
      </c>
      <c r="F54" s="48">
        <f>IF(OR(1770611.63183="",21693.42525="",24151.36886=""),"-",(24151.36886-21693.42525)/1770611.63183*100)</f>
        <v>0.13881890109688325</v>
      </c>
      <c r="G54" s="48">
        <f>IF(OR(1881236.72041="",19693.50513="",24151.36886=""),"-",(19693.50513-24151.36886)/1881236.72041*100)</f>
        <v>-0.2369645287929763</v>
      </c>
    </row>
    <row r="55" spans="1:7" s="9" customFormat="1" ht="25.5" x14ac:dyDescent="0.25">
      <c r="A55" s="47" t="s">
        <v>253</v>
      </c>
      <c r="B55" s="48">
        <f>IF(29488.15942="","-",29488.15942)</f>
        <v>29488.15942</v>
      </c>
      <c r="C55" s="48">
        <f>IF(OR(34181.59182="",29488.15942=""),"-",29488.15942/34181.59182*100)</f>
        <v>86.269122793591407</v>
      </c>
      <c r="D55" s="48">
        <f>IF(34181.59182="","-",34181.59182/1881236.72041*100)</f>
        <v>1.8169745173031924</v>
      </c>
      <c r="E55" s="48">
        <f>IF(29488.15942="","-",29488.15942/1650750.85967*100)</f>
        <v>1.7863482697743345</v>
      </c>
      <c r="F55" s="48">
        <f>IF(OR(1770611.63183="",31453.71113="",34181.59182=""),"-",(34181.59182-31453.71113)/1770611.63183*100)</f>
        <v>0.15406431545807844</v>
      </c>
      <c r="G55" s="48">
        <f>IF(OR(1881236.72041="",29488.15942="",34181.59182=""),"-",(29488.15942-34181.59182)/1881236.72041*100)</f>
        <v>-0.24948653984263641</v>
      </c>
    </row>
    <row r="56" spans="1:7" s="9" customFormat="1" ht="25.5" x14ac:dyDescent="0.25">
      <c r="A56" s="47" t="s">
        <v>254</v>
      </c>
      <c r="B56" s="48">
        <f>IF(76180.55974="","-",76180.55974)</f>
        <v>76180.559739999997</v>
      </c>
      <c r="C56" s="48">
        <f>IF(OR(88203.43669="",76180.55974=""),"-",76180.55974/88203.43669*100)</f>
        <v>86.369151360557936</v>
      </c>
      <c r="D56" s="48">
        <f>IF(88203.43669="","-",88203.43669/1881236.72041*100)</f>
        <v>4.6885878705778605</v>
      </c>
      <c r="E56" s="48">
        <f>IF(76180.55974="","-",76180.55974/1650750.85967*100)</f>
        <v>4.6149035327613994</v>
      </c>
      <c r="F56" s="48">
        <f>IF(OR(1770611.63183="",99804.06595="",88203.43669=""),"-",(88203.43669-99804.06595)/1770611.63183*100)</f>
        <v>-0.65517638376803577</v>
      </c>
      <c r="G56" s="48">
        <f>IF(OR(1881236.72041="",76180.55974="",88203.43669=""),"-",(76180.55974-88203.43669)/1881236.72041*100)</f>
        <v>-0.63909431596570776</v>
      </c>
    </row>
    <row r="57" spans="1:7" s="9" customFormat="1" x14ac:dyDescent="0.25">
      <c r="A57" s="47" t="s">
        <v>31</v>
      </c>
      <c r="B57" s="48">
        <f>IF(34864.70756="","-",34864.70756)</f>
        <v>34864.707560000003</v>
      </c>
      <c r="C57" s="48">
        <f>IF(OR(36457.05686="",34864.70756=""),"-",34864.70756/36457.05686*100)</f>
        <v>95.632260425972319</v>
      </c>
      <c r="D57" s="48">
        <f>IF(36457.05686="","-",36457.05686/1881236.72041*100)</f>
        <v>1.9379303234127006</v>
      </c>
      <c r="E57" s="48">
        <f>IF(34864.70756="","-",34864.70756/1650750.85967*100)</f>
        <v>2.1120514556006214</v>
      </c>
      <c r="F57" s="48">
        <f>IF(OR(1770611.63183="",31635.99607="",36457.05686=""),"-",(36457.05686-31635.99607)/1770611.63183*100)</f>
        <v>0.27228222741410724</v>
      </c>
      <c r="G57" s="48">
        <f>IF(OR(1881236.72041="",34864.70756="",36457.05686=""),"-",(34864.70756-36457.05686)/1881236.72041*100)</f>
        <v>-8.464374965277921E-2</v>
      </c>
    </row>
    <row r="58" spans="1:7" s="9" customFormat="1" x14ac:dyDescent="0.25">
      <c r="A58" s="47" t="s">
        <v>255</v>
      </c>
      <c r="B58" s="48">
        <f>IF(36738.10945="","-",36738.10945)</f>
        <v>36738.109450000004</v>
      </c>
      <c r="C58" s="48">
        <f>IF(OR(35454.11497="",36738.10945=""),"-",36738.10945/35454.11497*100)</f>
        <v>103.62156686490826</v>
      </c>
      <c r="D58" s="48">
        <f>IF(35454.11497="","-",35454.11497/1881236.72041*100)</f>
        <v>1.8846174213669968</v>
      </c>
      <c r="E58" s="48">
        <f>IF(36738.10945="","-",36738.10945/1650750.85967*100)</f>
        <v>2.2255393195642061</v>
      </c>
      <c r="F58" s="48">
        <f>IF(OR(1770611.63183="",34506.9216="",35454.11497=""),"-",(35454.11497-34506.9216)/1770611.63183*100)</f>
        <v>5.3495264177217533E-2</v>
      </c>
      <c r="G58" s="48">
        <f>IF(OR(1881236.72041="",36738.10945="",35454.11497=""),"-",(36738.10945-35454.11497)/1881236.72041*100)</f>
        <v>6.8252680062515753E-2</v>
      </c>
    </row>
    <row r="59" spans="1:7" s="9" customFormat="1" x14ac:dyDescent="0.25">
      <c r="A59" s="47" t="s">
        <v>32</v>
      </c>
      <c r="B59" s="48">
        <f>IF(20372.34711="","-",20372.34711)</f>
        <v>20372.347109999999</v>
      </c>
      <c r="C59" s="48">
        <f>IF(OR(29989.44004="",20372.34711=""),"-",20372.34711/29989.44004*100)</f>
        <v>67.931735580348629</v>
      </c>
      <c r="D59" s="48">
        <f>IF(29989.44004="","-",29989.44004/1881236.72041*100)</f>
        <v>1.594134311468471</v>
      </c>
      <c r="E59" s="48">
        <f>IF(20372.34711="","-",20372.34711/1650750.85967*100)</f>
        <v>1.2341260942352388</v>
      </c>
      <c r="F59" s="48">
        <f>IF(OR(1770611.63183="",33290.17708="",29989.44004=""),"-",(29989.44004-33290.17708)/1770611.63183*100)</f>
        <v>-0.18641790106103348</v>
      </c>
      <c r="G59" s="48">
        <f>IF(OR(1881236.72041="",20372.34711="",29989.44004=""),"-",(20372.34711-29989.44004)/1881236.72041*100)</f>
        <v>-0.51121120620609806</v>
      </c>
    </row>
    <row r="60" spans="1:7" s="9" customFormat="1" ht="16.5" customHeight="1" x14ac:dyDescent="0.25">
      <c r="A60" s="47" t="s">
        <v>33</v>
      </c>
      <c r="B60" s="48">
        <f>IF(40894.25631="","-",40894.25631)</f>
        <v>40894.256309999997</v>
      </c>
      <c r="C60" s="48">
        <f>IF(OR(45452.04815="",40894.25631=""),"-",40894.25631/45452.04815*100)</f>
        <v>89.972307023528472</v>
      </c>
      <c r="D60" s="48">
        <f>IF(45452.04815="","-",45452.04815/1881236.72041*100)</f>
        <v>2.416072770474845</v>
      </c>
      <c r="E60" s="48">
        <f>IF(40894.25631="","-",40894.25631/1650750.85967*100)</f>
        <v>2.4773124345472177</v>
      </c>
      <c r="F60" s="48">
        <f>IF(OR(1770611.63183="",45244.00675="",45452.04815=""),"-",(45452.04815-45244.00675)/1770611.63183*100)</f>
        <v>1.1749691251321021E-2</v>
      </c>
      <c r="G60" s="48">
        <f>IF(OR(1881236.72041="",40894.25631="",45452.04815=""),"-",(40894.25631-45452.04815)/1881236.72041*100)</f>
        <v>-0.24227635951134699</v>
      </c>
    </row>
    <row r="61" spans="1:7" s="9" customFormat="1" ht="16.5" customHeight="1" x14ac:dyDescent="0.25">
      <c r="A61" s="55" t="s">
        <v>256</v>
      </c>
      <c r="B61" s="46">
        <f>IF(354057.85448="","-",354057.85448)</f>
        <v>354057.85447999998</v>
      </c>
      <c r="C61" s="46">
        <f>IF(430462.43261="","-",354057.85448/430462.43261*100)</f>
        <v>82.25058162062129</v>
      </c>
      <c r="D61" s="46">
        <f>IF(430462.43261="","-",430462.43261/1881236.72041*100)</f>
        <v>22.881885513917901</v>
      </c>
      <c r="E61" s="46">
        <f>IF(354057.85448="","-",354057.85448/1650750.85967*100)</f>
        <v>21.448291388488467</v>
      </c>
      <c r="F61" s="46">
        <f>IF(1770611.63183="","-",(430462.43261-404371.36885)/1770611.63183*100)</f>
        <v>1.4735622025160762</v>
      </c>
      <c r="G61" s="46">
        <f>IF(1881236.72041="","-",(354057.85448-430462.43261)/1881236.72041*100)</f>
        <v>-4.0614015929557388</v>
      </c>
    </row>
    <row r="62" spans="1:7" s="9" customFormat="1" ht="25.5" x14ac:dyDescent="0.25">
      <c r="A62" s="47" t="s">
        <v>257</v>
      </c>
      <c r="B62" s="48">
        <f>IF(5215.56273="","-",5215.56273)</f>
        <v>5215.5627299999996</v>
      </c>
      <c r="C62" s="48">
        <f>IF(OR(4785.42277="",5215.56273=""),"-",5215.56273/4785.42277*100)</f>
        <v>108.98854669009734</v>
      </c>
      <c r="D62" s="48">
        <f>IF(4785.42277="","-",4785.42277/1881236.72041*100)</f>
        <v>0.25437642791477388</v>
      </c>
      <c r="E62" s="48">
        <f>IF(5215.56273="","-",5215.56273/1650750.85967*100)</f>
        <v>0.31595093223471882</v>
      </c>
      <c r="F62" s="48">
        <f>IF(OR(1770611.63183="",5970.85188="",4785.42277=""),"-",(4785.42277-5970.85188)/1770611.63183*100)</f>
        <v>-6.6950261067403594E-2</v>
      </c>
      <c r="G62" s="48">
        <f>IF(OR(1881236.72041="",5215.56273="",4785.42277=""),"-",(5215.56273-4785.42277)/1881236.72041*100)</f>
        <v>2.2864743991721257E-2</v>
      </c>
    </row>
    <row r="63" spans="1:7" s="9" customFormat="1" ht="25.5" x14ac:dyDescent="0.25">
      <c r="A63" s="47" t="s">
        <v>258</v>
      </c>
      <c r="B63" s="48">
        <f>IF(51270.14762="","-",51270.14762)</f>
        <v>51270.147620000003</v>
      </c>
      <c r="C63" s="48">
        <f>IF(OR(65409.36388="",51270.14762=""),"-",51270.14762/65409.36388*100)</f>
        <v>78.383498292477213</v>
      </c>
      <c r="D63" s="48">
        <f>IF(65409.36388="","-",65409.36388/1881236.72041*100)</f>
        <v>3.476934251301695</v>
      </c>
      <c r="E63" s="48">
        <f>IF(51270.14762="","-",51270.14762/1650750.85967*100)</f>
        <v>3.1058682974273522</v>
      </c>
      <c r="F63" s="48">
        <f>IF(OR(1770611.63183="",63334.27522="",65409.36388=""),"-",(65409.36388-63334.27522)/1770611.63183*100)</f>
        <v>0.11719614977652125</v>
      </c>
      <c r="G63" s="48">
        <f>IF(OR(1881236.72041="",51270.14762="",65409.36388=""),"-",(51270.14762-65409.36388)/1881236.72041*100)</f>
        <v>-0.7515915518020756</v>
      </c>
    </row>
    <row r="64" spans="1:7" s="9" customFormat="1" ht="25.5" x14ac:dyDescent="0.25">
      <c r="A64" s="47" t="s">
        <v>259</v>
      </c>
      <c r="B64" s="48">
        <f>IF(4084.57146="","-",4084.57146)</f>
        <v>4084.5714600000001</v>
      </c>
      <c r="C64" s="48">
        <f>IF(OR(2897.1989="",4084.57146=""),"-",4084.57146/2897.1989*100)</f>
        <v>140.98346716892652</v>
      </c>
      <c r="D64" s="48">
        <f>IF(2897.1989="","-",2897.1989/1881236.72041*100)</f>
        <v>0.15400501534801955</v>
      </c>
      <c r="E64" s="48">
        <f>IF(4084.57146="","-",4084.57146/1650750.85967*100)</f>
        <v>0.24743718508900506</v>
      </c>
      <c r="F64" s="48">
        <f>IF(OR(1770611.63183="",3220.81183="",2897.1989=""),"-",(2897.1989-3220.81183)/1770611.63183*100)</f>
        <v>-1.8276900715123674E-2</v>
      </c>
      <c r="G64" s="48">
        <f>IF(OR(1881236.72041="",4084.57146="",2897.1989=""),"-",(4084.57146-2897.1989)/1881236.72041*100)</f>
        <v>6.3116594903655843E-2</v>
      </c>
    </row>
    <row r="65" spans="1:7" s="9" customFormat="1" ht="38.25" x14ac:dyDescent="0.25">
      <c r="A65" s="47" t="s">
        <v>260</v>
      </c>
      <c r="B65" s="48">
        <f>IF(54981.8608="","-",54981.8608)</f>
        <v>54981.860800000002</v>
      </c>
      <c r="C65" s="48">
        <f>IF(OR(57597.63109="",54981.8608=""),"-",54981.8608/57597.63109*100)</f>
        <v>95.458545359421649</v>
      </c>
      <c r="D65" s="48">
        <f>IF(57597.63109="","-",57597.63109/1881236.72041*100)</f>
        <v>3.0616897100247478</v>
      </c>
      <c r="E65" s="48">
        <f>IF(54981.8608="","-",54981.8608/1650750.85967*100)</f>
        <v>3.3307182896752434</v>
      </c>
      <c r="F65" s="48">
        <f>IF(OR(1770611.63183="",48093.91509="",57597.63109=""),"-",(57597.63109-48093.91509)/1770611.63183*100)</f>
        <v>0.53674763167445805</v>
      </c>
      <c r="G65" s="48">
        <f>IF(OR(1881236.72041="",54981.8608="",57597.63109=""),"-",(54981.8608-57597.63109)/1881236.72041*100)</f>
        <v>-0.13904524941602855</v>
      </c>
    </row>
    <row r="66" spans="1:7" s="9" customFormat="1" ht="25.5" x14ac:dyDescent="0.25">
      <c r="A66" s="47" t="s">
        <v>261</v>
      </c>
      <c r="B66" s="48">
        <f>IF(12632.98899="","-",12632.98899)</f>
        <v>12632.98899</v>
      </c>
      <c r="C66" s="48">
        <f>IF(OR(15095.28069="",12632.98899=""),"-",12632.98899/15095.28069*100)</f>
        <v>83.688334449910784</v>
      </c>
      <c r="D66" s="48">
        <f>IF(15095.28069="","-",15095.28069/1881236.72041*100)</f>
        <v>0.80241261114178697</v>
      </c>
      <c r="E66" s="48">
        <f>IF(12632.98899="","-",12632.98899/1650750.85967*100)</f>
        <v>0.76528743971246205</v>
      </c>
      <c r="F66" s="48">
        <f>IF(OR(1770611.63183="",19108.27212="",15095.28069=""),"-",(15095.28069-19108.27212)/1770611.63183*100)</f>
        <v>-0.22664436163521698</v>
      </c>
      <c r="G66" s="48">
        <f>IF(OR(1881236.72041="",12632.98899="",15095.28069=""),"-",(12632.98899-15095.28069)/1881236.72041*100)</f>
        <v>-0.13088686146118622</v>
      </c>
    </row>
    <row r="67" spans="1:7" s="9" customFormat="1" ht="39.75" customHeight="1" x14ac:dyDescent="0.25">
      <c r="A67" s="47" t="s">
        <v>262</v>
      </c>
      <c r="B67" s="48">
        <f>IF(40173.45811="","-",40173.45811)</f>
        <v>40173.45811</v>
      </c>
      <c r="C67" s="48">
        <f>IF(OR(44306.5749="",40173.45811=""),"-",40173.45811/44306.5749*100)</f>
        <v>90.671549765856525</v>
      </c>
      <c r="D67" s="48">
        <f>IF(44306.5749="","-",44306.5749/1881236.72041*100)</f>
        <v>2.3551833971401401</v>
      </c>
      <c r="E67" s="48">
        <f>IF(40173.45811="","-",40173.45811/1650750.85967*100)</f>
        <v>2.4336475655709209</v>
      </c>
      <c r="F67" s="48">
        <f>IF(OR(1770611.63183="",41890.21316="",44306.5749=""),"-",(44306.5749-41890.21316)/1770611.63183*100)</f>
        <v>0.13647045442159389</v>
      </c>
      <c r="G67" s="48">
        <f>IF(OR(1881236.72041="",40173.45811="",44306.5749=""),"-",(40173.45811-44306.5749)/1881236.72041*100)</f>
        <v>-0.21970211112502747</v>
      </c>
    </row>
    <row r="68" spans="1:7" s="9" customFormat="1" ht="51" x14ac:dyDescent="0.25">
      <c r="A68" s="47" t="s">
        <v>263</v>
      </c>
      <c r="B68" s="48">
        <f>IF(106220.24413="","-",106220.24413)</f>
        <v>106220.24413000001</v>
      </c>
      <c r="C68" s="48">
        <f>IF(OR(131315.58141="",106220.24413=""),"-",106220.24413/131315.58141*100)</f>
        <v>80.889292031806875</v>
      </c>
      <c r="D68" s="48">
        <f>IF(131315.58141="","-",131315.58141/1881236.72041*100)</f>
        <v>6.9802795142857335</v>
      </c>
      <c r="E68" s="48">
        <f>IF(106220.24413="","-",106220.24413/1650750.85967*100)</f>
        <v>6.4346623542715822</v>
      </c>
      <c r="F68" s="48">
        <f>IF(OR(1770611.63183="",128994.18412="",131315.58141=""),"-",(131315.58141-128994.18412)/1770611.63183*100)</f>
        <v>0.13110708459543713</v>
      </c>
      <c r="G68" s="48">
        <f>IF(OR(1881236.72041="",106220.24413="",131315.58141=""),"-",(106220.24413-131315.58141)/1881236.72041*100)</f>
        <v>-1.3339808333387562</v>
      </c>
    </row>
    <row r="69" spans="1:7" s="9" customFormat="1" ht="25.5" x14ac:dyDescent="0.25">
      <c r="A69" s="47" t="s">
        <v>264</v>
      </c>
      <c r="B69" s="48">
        <f>IF(76059.36986="","-",76059.36986)</f>
        <v>76059.369860000006</v>
      </c>
      <c r="C69" s="48">
        <f>IF(OR(106987.39551="",76059.36986=""),"-",76059.36986/106987.39551*100)</f>
        <v>71.091897786118935</v>
      </c>
      <c r="D69" s="48">
        <f>IF(106987.39551="","-",106987.39551/1881236.72041*100)</f>
        <v>5.6870777797003118</v>
      </c>
      <c r="E69" s="48">
        <f>IF(76059.36986="","-",76059.36986/1650750.85967*100)</f>
        <v>4.6075620324198994</v>
      </c>
      <c r="F69" s="48">
        <f>IF(OR(1770611.63183="",93294.87131="",106987.39551=""),"-",(106987.39551-93294.87131)/1770611.63183*100)</f>
        <v>0.7733217128957981</v>
      </c>
      <c r="G69" s="48">
        <f>IF(OR(1881236.72041="",76059.36986="",106987.39551=""),"-",(76059.36986-106987.39551)/1881236.72041*100)</f>
        <v>-1.6440262575386837</v>
      </c>
    </row>
    <row r="70" spans="1:7" s="9" customFormat="1" x14ac:dyDescent="0.25">
      <c r="A70" s="47" t="s">
        <v>34</v>
      </c>
      <c r="B70" s="48">
        <f>IF(3419.65078="","-",3419.65078)</f>
        <v>3419.6507799999999</v>
      </c>
      <c r="C70" s="48" t="s">
        <v>106</v>
      </c>
      <c r="D70" s="48">
        <f>IF(2067.98346="","-",2067.98346/1881236.72041*100)</f>
        <v>0.10992680706069251</v>
      </c>
      <c r="E70" s="48">
        <f>IF(3419.65078="","-",3419.65078/1650750.85967*100)</f>
        <v>0.20715729208728803</v>
      </c>
      <c r="F70" s="48">
        <f>IF(OR(1770611.63183="",463.97412="",2067.98346=""),"-",(2067.98346-463.97412)/1770611.63183*100)</f>
        <v>9.0590692570012663E-2</v>
      </c>
      <c r="G70" s="48">
        <f>IF(OR(1881236.72041="",3419.65078="",2067.98346=""),"-",(3419.65078-2067.98346)/1881236.72041*100)</f>
        <v>7.1849932830644267E-2</v>
      </c>
    </row>
    <row r="71" spans="1:7" s="9" customFormat="1" x14ac:dyDescent="0.25">
      <c r="A71" s="55" t="s">
        <v>35</v>
      </c>
      <c r="B71" s="46">
        <f>IF(157128.46477="","-",157128.46477)</f>
        <v>157128.46476999999</v>
      </c>
      <c r="C71" s="46">
        <f>IF(189483.78371="","-",157128.46477/189483.78371*100)</f>
        <v>82.924491844896352</v>
      </c>
      <c r="D71" s="46">
        <f>IF(189483.78371="","-",189483.78371/1881236.72041*100)</f>
        <v>10.07229880504903</v>
      </c>
      <c r="E71" s="46">
        <f>IF(157128.46477="","-",157128.46477/1650750.85967*100)</f>
        <v>9.5186056605423417</v>
      </c>
      <c r="F71" s="46">
        <f>IF(1770611.63183="","-",(189483.78371-173376.22186)/1770611.63183*100)</f>
        <v>0.90971738581385964</v>
      </c>
      <c r="G71" s="46">
        <f>IF(1881236.72041="","-",(157128.46477-189483.78371)/1881236.72041*100)</f>
        <v>-1.7198962038625538</v>
      </c>
    </row>
    <row r="72" spans="1:7" s="9" customFormat="1" ht="38.25" x14ac:dyDescent="0.25">
      <c r="A72" s="47" t="s">
        <v>265</v>
      </c>
      <c r="B72" s="48">
        <f>IF(10771.20396="","-",10771.20396)</f>
        <v>10771.203960000001</v>
      </c>
      <c r="C72" s="48">
        <f>IF(OR(11797.63982="",10771.20396=""),"-",10771.20396/11797.63982*100)</f>
        <v>91.299650814394838</v>
      </c>
      <c r="D72" s="48">
        <f>IF(11797.63982="","-",11797.63982/1881236.72041*100)</f>
        <v>0.62712149364322434</v>
      </c>
      <c r="E72" s="48">
        <f>IF(10771.20396="","-",10771.20396/1650750.85967*100)</f>
        <v>0.65250330762531072</v>
      </c>
      <c r="F72" s="48">
        <f>IF(OR(1770611.63183="",10760.40859="",11797.63982=""),"-",(11797.63982-10760.40859)/1770611.63183*100)</f>
        <v>5.858039173322159E-2</v>
      </c>
      <c r="G72" s="48">
        <f>IF(OR(1881236.72041="",10771.20396="",11797.63982=""),"-",(10771.20396-11797.63982)/1881236.72041*100)</f>
        <v>-5.4561759764943152E-2</v>
      </c>
    </row>
    <row r="73" spans="1:7" s="9" customFormat="1" x14ac:dyDescent="0.25">
      <c r="A73" s="47" t="s">
        <v>266</v>
      </c>
      <c r="B73" s="48">
        <f>IF(13594.70251="","-",13594.70251)</f>
        <v>13594.702509999999</v>
      </c>
      <c r="C73" s="48">
        <f>IF(OR(15872.87412="",13594.70251=""),"-",13594.70251/15872.87412*100)</f>
        <v>85.647390681883621</v>
      </c>
      <c r="D73" s="48">
        <f>IF(15872.87412="","-",15872.87412/1881236.72041*100)</f>
        <v>0.84374677294947964</v>
      </c>
      <c r="E73" s="48">
        <f>IF(13594.70251="","-",13594.70251/1650750.85967*100)</f>
        <v>0.82354659580293688</v>
      </c>
      <c r="F73" s="48">
        <f>IF(OR(1770611.63183="",16177.8831="",15872.87412=""),"-",(15872.87412-16177.8831)/1770611.63183*100)</f>
        <v>-1.7226193170591531E-2</v>
      </c>
      <c r="G73" s="48">
        <f>IF(OR(1881236.72041="",13594.70251="",15872.87412=""),"-",(13594.70251-15872.87412)/1881236.72041*100)</f>
        <v>-0.12109967795565316</v>
      </c>
    </row>
    <row r="74" spans="1:7" s="9" customFormat="1" x14ac:dyDescent="0.25">
      <c r="A74" s="47" t="s">
        <v>267</v>
      </c>
      <c r="B74" s="48">
        <f>IF(2644.96026="","-",2644.96026)</f>
        <v>2644.9602599999998</v>
      </c>
      <c r="C74" s="48">
        <f>IF(OR(2995.70337="",2644.96026=""),"-",2644.96026/2995.70337*100)</f>
        <v>88.291794390844501</v>
      </c>
      <c r="D74" s="48">
        <f>IF(2995.70337="","-",2995.70337/1881236.72041*100)</f>
        <v>0.15924117031625407</v>
      </c>
      <c r="E74" s="48">
        <f>IF(2644.96026="","-",2644.96026/1650750.85967*100)</f>
        <v>0.16022770756143973</v>
      </c>
      <c r="F74" s="48">
        <f>IF(OR(1770611.63183="",2531.44149="",2995.70337=""),"-",(2995.70337-2531.44149)/1770611.63183*100)</f>
        <v>2.6220424154797074E-2</v>
      </c>
      <c r="G74" s="48">
        <f>IF(OR(1881236.72041="",2644.96026="",2995.70337=""),"-",(2644.96026-2995.70337)/1881236.72041*100)</f>
        <v>-1.8644283635052519E-2</v>
      </c>
    </row>
    <row r="75" spans="1:7" s="9" customFormat="1" x14ac:dyDescent="0.25">
      <c r="A75" s="47" t="s">
        <v>268</v>
      </c>
      <c r="B75" s="48">
        <f>IF(34776.24282="","-",34776.24282)</f>
        <v>34776.242819999999</v>
      </c>
      <c r="C75" s="48">
        <f>IF(OR(43352.70582="",34776.24282=""),"-",34776.24282/43352.70582*100)</f>
        <v>80.217006441052632</v>
      </c>
      <c r="D75" s="48">
        <f>IF(43352.70582="","-",43352.70582/1881236.72041*100)</f>
        <v>2.3044790349696997</v>
      </c>
      <c r="E75" s="48">
        <f>IF(34776.24282="","-",34776.24282/1650750.85967*100)</f>
        <v>2.1066923949354832</v>
      </c>
      <c r="F75" s="48">
        <f>IF(OR(1770611.63183="",44845.3386="",43352.70582=""),"-",(43352.70582-44845.3386)/1770611.63183*100)</f>
        <v>-8.4300405191470612E-2</v>
      </c>
      <c r="G75" s="48">
        <f>IF(OR(1881236.72041="",34776.24282="",43352.70582=""),"-",(34776.24282-43352.70582)/1881236.72041*100)</f>
        <v>-0.45589493905534834</v>
      </c>
    </row>
    <row r="76" spans="1:7" x14ac:dyDescent="0.25">
      <c r="A76" s="47" t="s">
        <v>269</v>
      </c>
      <c r="B76" s="48">
        <f>IF(12758.08816="","-",12758.08816)</f>
        <v>12758.088159999999</v>
      </c>
      <c r="C76" s="48">
        <f>IF(OR(17614.79882="",12758.08816=""),"-",12758.08816/17614.79882*100)</f>
        <v>72.428236566144321</v>
      </c>
      <c r="D76" s="48">
        <f>IF(17614.79882="","-",17614.79882/1881236.72041*100)</f>
        <v>0.93634143055431107</v>
      </c>
      <c r="E76" s="48">
        <f>IF(12758.08816="","-",12758.08816/1650750.85967*100)</f>
        <v>0.77286575895229015</v>
      </c>
      <c r="F76" s="48">
        <f>IF(OR(1770611.63183="",14921.67224="",17614.79882=""),"-",(17614.79882-14921.67224)/1770611.63183*100)</f>
        <v>0.15210148468394183</v>
      </c>
      <c r="G76" s="48">
        <f>IF(OR(1881236.72041="",12758.08816="",17614.79882=""),"-",(12758.08816-17614.79882)/1881236.72041*100)</f>
        <v>-0.25816584416561467</v>
      </c>
    </row>
    <row r="77" spans="1:7" ht="25.5" x14ac:dyDescent="0.25">
      <c r="A77" s="47" t="s">
        <v>270</v>
      </c>
      <c r="B77" s="48">
        <f>IF(16971.02472="","-",16971.02472)</f>
        <v>16971.024720000001</v>
      </c>
      <c r="C77" s="48">
        <f>IF(OR(18727.5938="",16971.02472=""),"-",16971.02472/18727.5938*100)</f>
        <v>90.620423003835143</v>
      </c>
      <c r="D77" s="48">
        <f>IF(18727.5938="","-",18727.5938/1881236.72041*100)</f>
        <v>0.9954937407302189</v>
      </c>
      <c r="E77" s="48">
        <f>IF(16971.02472="","-",16971.02472/1650750.85967*100)</f>
        <v>1.0280791083999594</v>
      </c>
      <c r="F77" s="48">
        <f>IF(OR(1770611.63183="",17370.90398="",18727.5938=""),"-",(18727.5938-17370.90398)/1770611.63183*100)</f>
        <v>7.6622665050370464E-2</v>
      </c>
      <c r="G77" s="48">
        <f>IF(OR(1881236.72041="",16971.02472="",18727.5938=""),"-",(16971.02472-18727.5938)/1881236.72041*100)</f>
        <v>-9.3373101903792721E-2</v>
      </c>
    </row>
    <row r="78" spans="1:7" ht="25.5" x14ac:dyDescent="0.25">
      <c r="A78" s="47" t="s">
        <v>271</v>
      </c>
      <c r="B78" s="48">
        <f>IF(3665.34024="","-",3665.34024)</f>
        <v>3665.34024</v>
      </c>
      <c r="C78" s="48">
        <f>IF(OR(3868.53376="",3665.34024=""),"-",3665.34024/3868.53376*100)</f>
        <v>94.747531426480307</v>
      </c>
      <c r="D78" s="48">
        <f>IF(3868.53376="","-",3868.53376/1881236.72041*100)</f>
        <v>0.20563779762691878</v>
      </c>
      <c r="E78" s="48">
        <f>IF(3665.34024="","-",3665.34024/1650750.85967*100)</f>
        <v>0.22204078940978017</v>
      </c>
      <c r="F78" s="48">
        <f>IF(OR(1770611.63183="",3988.27072="",3868.53376=""),"-",(3868.53376-3988.27072)/1770611.63183*100)</f>
        <v>-6.7624631990159858E-3</v>
      </c>
      <c r="G78" s="48">
        <f>IF(OR(1881236.72041="",3665.34024="",3868.53376=""),"-",(3665.34024-3868.53376)/1881236.72041*100)</f>
        <v>-1.0801060695631939E-2</v>
      </c>
    </row>
    <row r="79" spans="1:7" x14ac:dyDescent="0.25">
      <c r="A79" s="53" t="s">
        <v>36</v>
      </c>
      <c r="B79" s="54">
        <f>IF(61946.9021="","-",61946.9021)</f>
        <v>61946.902099999999</v>
      </c>
      <c r="C79" s="54">
        <f>IF(OR(75253.9342="",61946.9021=""),"-",61946.9021/75253.9342*100)</f>
        <v>82.317160901336621</v>
      </c>
      <c r="D79" s="54">
        <f>IF(75253.9342="","-",75253.9342/1881236.72041*100)</f>
        <v>4.0002373642589237</v>
      </c>
      <c r="E79" s="54">
        <f>IF(61946.9021="","-",61946.9021/1650750.85967*100)</f>
        <v>3.7526499978551424</v>
      </c>
      <c r="F79" s="54">
        <f>IF(OR(1770611.63183="",62780.30314="",75253.9342=""),"-",(75253.9342-62780.30314)/1770611.63183*100)</f>
        <v>0.70448148175260705</v>
      </c>
      <c r="G79" s="54">
        <f>IF(OR(1881236.72041="",61946.9021="",75253.9342=""),"-",(61946.9021-75253.9342)/1881236.72041*100)</f>
        <v>-0.70735553668651785</v>
      </c>
    </row>
    <row r="80" spans="1:7" ht="25.5" x14ac:dyDescent="0.25">
      <c r="A80" s="34" t="s">
        <v>272</v>
      </c>
      <c r="B80" s="35">
        <f>IF(126.38541="","-",126.38541)</f>
        <v>126.38540999999999</v>
      </c>
      <c r="C80" s="35">
        <f>IF(129.57674="","-",126.38541/129.57674*100)</f>
        <v>97.53711198475898</v>
      </c>
      <c r="D80" s="35">
        <f>IF(129.57674="","-",129.57674/1881236.72041*100)</f>
        <v>6.8878487536517896E-3</v>
      </c>
      <c r="E80" s="35">
        <f>IF(126.38541="","-",126.38541/1650750.85967*100)</f>
        <v>7.656237721134101E-3</v>
      </c>
      <c r="F80" s="35">
        <f>IF(1770611.63183="","-",(129.57674-245.12834)/1770611.63183*100)</f>
        <v>-6.5260838640584708E-3</v>
      </c>
      <c r="G80" s="35">
        <f>IF(1881236.72041="","-",(126.38541-129.57674)/1881236.72041*100)</f>
        <v>-1.696400014616174E-4</v>
      </c>
    </row>
    <row r="81" spans="1:1" x14ac:dyDescent="0.25">
      <c r="A81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1"/>
  <sheetViews>
    <sheetView zoomScale="99" zoomScaleNormal="99" workbookViewId="0">
      <selection activeCell="G9" sqref="G9"/>
    </sheetView>
  </sheetViews>
  <sheetFormatPr defaultRowHeight="15.75" x14ac:dyDescent="0.25"/>
  <cols>
    <col min="1" max="1" width="42.125" customWidth="1"/>
    <col min="2" max="2" width="13.125" customWidth="1"/>
    <col min="3" max="3" width="13.25" customWidth="1"/>
    <col min="4" max="4" width="17.625" customWidth="1"/>
    <col min="6" max="6" width="12.125" bestFit="1" customWidth="1"/>
  </cols>
  <sheetData>
    <row r="1" spans="1:6" x14ac:dyDescent="0.25">
      <c r="A1" s="89" t="s">
        <v>174</v>
      </c>
      <c r="B1" s="89"/>
      <c r="C1" s="89"/>
      <c r="D1" s="89"/>
    </row>
    <row r="2" spans="1:6" x14ac:dyDescent="0.25">
      <c r="A2" s="89" t="s">
        <v>23</v>
      </c>
      <c r="B2" s="89"/>
      <c r="C2" s="89"/>
      <c r="D2" s="89"/>
    </row>
    <row r="3" spans="1:6" x14ac:dyDescent="0.25">
      <c r="A3" s="5"/>
    </row>
    <row r="4" spans="1:6" ht="25.5" customHeight="1" x14ac:dyDescent="0.25">
      <c r="A4" s="90"/>
      <c r="B4" s="94" t="s">
        <v>194</v>
      </c>
      <c r="C4" s="95"/>
      <c r="D4" s="92" t="s">
        <v>197</v>
      </c>
      <c r="E4" s="1"/>
    </row>
    <row r="5" spans="1:6" ht="27" customHeight="1" x14ac:dyDescent="0.25">
      <c r="A5" s="91"/>
      <c r="B5" s="21">
        <v>2019</v>
      </c>
      <c r="C5" s="20">
        <v>2020</v>
      </c>
      <c r="D5" s="93"/>
      <c r="E5" s="1"/>
    </row>
    <row r="6" spans="1:6" ht="14.25" customHeight="1" x14ac:dyDescent="0.25">
      <c r="A6" s="56" t="s">
        <v>145</v>
      </c>
      <c r="B6" s="44">
        <f>IF(-932769.85039="","-",-932769.85039)</f>
        <v>-932769.85039000004</v>
      </c>
      <c r="C6" s="44">
        <f>IF(-825916.32845="","-",-825916.32845)</f>
        <v>-825916.32845000003</v>
      </c>
      <c r="D6" s="58">
        <f>IF(-932769.85039="","-",-825916.32845/-932769.85039*100)</f>
        <v>88.544492310153089</v>
      </c>
      <c r="F6" s="18"/>
    </row>
    <row r="7" spans="1:6" x14ac:dyDescent="0.25">
      <c r="A7" s="57" t="s">
        <v>143</v>
      </c>
      <c r="B7" s="27"/>
      <c r="C7" s="27"/>
      <c r="D7" s="28"/>
    </row>
    <row r="8" spans="1:6" x14ac:dyDescent="0.25">
      <c r="A8" s="55" t="s">
        <v>273</v>
      </c>
      <c r="B8" s="46">
        <f>IF(3881.72705="","-",3881.72705)</f>
        <v>3881.72705</v>
      </c>
      <c r="C8" s="46">
        <f>IF(22323.95699="","-",22323.95699)</f>
        <v>22323.956989999999</v>
      </c>
      <c r="D8" s="59" t="s">
        <v>295</v>
      </c>
    </row>
    <row r="9" spans="1:6" x14ac:dyDescent="0.25">
      <c r="A9" s="47" t="s">
        <v>24</v>
      </c>
      <c r="B9" s="48">
        <f>IF(OR(-114.72212="",-114.72212=0),"-",-114.72212)</f>
        <v>-114.72212</v>
      </c>
      <c r="C9" s="48">
        <f>IF(OR(2712.27337="",2712.27337=0),"-",2712.27337)</f>
        <v>2712.2733699999999</v>
      </c>
      <c r="D9" s="60" t="s">
        <v>22</v>
      </c>
    </row>
    <row r="10" spans="1:6" x14ac:dyDescent="0.25">
      <c r="A10" s="47" t="s">
        <v>274</v>
      </c>
      <c r="B10" s="48">
        <f>IF(OR(-12082.77852="",-12082.77852=0),"-",-12082.77852)</f>
        <v>-12082.77852</v>
      </c>
      <c r="C10" s="48">
        <f>IF(OR(-11075.32697="",-11075.32697=0),"-",-11075.32697)</f>
        <v>-11075.32697</v>
      </c>
      <c r="D10" s="60">
        <f>IF(OR(-12082.77852="",-11075.32697="",-12082.77852=0,-11075.32697=0),"-",-11075.32697/-12082.77852*100)</f>
        <v>91.662087090875517</v>
      </c>
    </row>
    <row r="11" spans="1:6" x14ac:dyDescent="0.25">
      <c r="A11" s="47" t="s">
        <v>275</v>
      </c>
      <c r="B11" s="48">
        <f>IF(OR(-16096.13211="",-16096.13211=0),"-",-16096.13211)</f>
        <v>-16096.13211</v>
      </c>
      <c r="C11" s="48">
        <f>IF(OR(-24511.5455599999="",-24511.5455599999=0),"-",-24511.5455599999)</f>
        <v>-24511.5455599999</v>
      </c>
      <c r="D11" s="60" t="s">
        <v>132</v>
      </c>
    </row>
    <row r="12" spans="1:6" x14ac:dyDescent="0.25">
      <c r="A12" s="47" t="s">
        <v>276</v>
      </c>
      <c r="B12" s="48">
        <f>IF(OR(-17803.25286="",-17803.25286=0),"-",-17803.25286)</f>
        <v>-17803.252860000001</v>
      </c>
      <c r="C12" s="48">
        <f>IF(OR(-19317.74768="",-19317.74768=0),"-",-19317.74768)</f>
        <v>-19317.74768</v>
      </c>
      <c r="D12" s="60">
        <f>IF(OR(-17803.25286="",-19317.74768="",-17803.25286=0,-19317.74768=0),"-",-19317.74768/-17803.25286*100)</f>
        <v>108.50684328257078</v>
      </c>
    </row>
    <row r="13" spans="1:6" x14ac:dyDescent="0.25">
      <c r="A13" s="47" t="s">
        <v>277</v>
      </c>
      <c r="B13" s="48">
        <f>IF(OR(53280.04915="",53280.04915=0),"-",53280.04915)</f>
        <v>53280.049149999999</v>
      </c>
      <c r="C13" s="48">
        <f>IF(OR(54006.11391="",54006.11391=0),"-",54006.11391)</f>
        <v>54006.11391</v>
      </c>
      <c r="D13" s="60">
        <f>IF(OR(53280.04915="",54006.11391="",53280.04915=0,54006.11391=0),"-",54006.11391/53280.04915*100)</f>
        <v>101.36273290205853</v>
      </c>
    </row>
    <row r="14" spans="1:6" x14ac:dyDescent="0.25">
      <c r="A14" s="47" t="s">
        <v>278</v>
      </c>
      <c r="B14" s="48">
        <f>IF(OR(34732.55136="",34732.55136=0),"-",34732.55136)</f>
        <v>34732.551359999998</v>
      </c>
      <c r="C14" s="48">
        <f>IF(OR(57123.72612="",57123.72612=0),"-",57123.72612)</f>
        <v>57123.726119999999</v>
      </c>
      <c r="D14" s="60" t="s">
        <v>107</v>
      </c>
    </row>
    <row r="15" spans="1:6" x14ac:dyDescent="0.25">
      <c r="A15" s="47" t="s">
        <v>223</v>
      </c>
      <c r="B15" s="48">
        <f>IF(OR(-2004.02725="",-2004.02725=0),"-",-2004.02725)</f>
        <v>-2004.0272500000001</v>
      </c>
      <c r="C15" s="48">
        <f>IF(OR(1515.40105="",1515.40105=0),"-",1515.40105)</f>
        <v>1515.4010499999999</v>
      </c>
      <c r="D15" s="60" t="s">
        <v>22</v>
      </c>
    </row>
    <row r="16" spans="1:6" x14ac:dyDescent="0.25">
      <c r="A16" s="47" t="s">
        <v>279</v>
      </c>
      <c r="B16" s="48">
        <f>IF(OR(-13218.06908="",-13218.06908=0),"-",-13218.06908)</f>
        <v>-13218.069079999999</v>
      </c>
      <c r="C16" s="48">
        <f>IF(OR(-12769.75369="",-12769.75369=0),"-",-12769.75369)</f>
        <v>-12769.75369</v>
      </c>
      <c r="D16" s="60">
        <f>IF(OR(-13218.06908="",-12769.75369="",-13218.06908=0,-12769.75369=0),"-",-12769.75369/-13218.06908*100)</f>
        <v>96.608314063978256</v>
      </c>
    </row>
    <row r="17" spans="1:4" x14ac:dyDescent="0.25">
      <c r="A17" s="47" t="s">
        <v>225</v>
      </c>
      <c r="B17" s="48">
        <f>IF(OR(-616.79843="",-616.79843=0),"-",-616.79843)</f>
        <v>-616.79843000000005</v>
      </c>
      <c r="C17" s="48">
        <f>IF(OR(-386.25746="",-386.25746=0),"-",-386.25746)</f>
        <v>-386.25745999999998</v>
      </c>
      <c r="D17" s="60">
        <f>IF(OR(-616.79843="",-386.25746="",-616.79843=0,-386.25746=0),"-",-386.25746/-616.79843*100)</f>
        <v>62.622964199179286</v>
      </c>
    </row>
    <row r="18" spans="1:4" x14ac:dyDescent="0.25">
      <c r="A18" s="47" t="s">
        <v>280</v>
      </c>
      <c r="B18" s="48">
        <f>IF(OR(-22195.09309="",-22195.09309=0),"-",-22195.09309)</f>
        <v>-22195.093089999998</v>
      </c>
      <c r="C18" s="48">
        <f>IF(OR(-24972.9261="",-24972.9261=0),"-",-24972.9261)</f>
        <v>-24972.926100000001</v>
      </c>
      <c r="D18" s="60">
        <f>IF(OR(-22195.09309="",-24972.9261="",-22195.09309=0,-24972.9261=0),"-",-24972.9261/-22195.09309*100)</f>
        <v>112.51552763818573</v>
      </c>
    </row>
    <row r="19" spans="1:4" x14ac:dyDescent="0.25">
      <c r="A19" s="55" t="s">
        <v>281</v>
      </c>
      <c r="B19" s="46">
        <f>IF(34321.25772="","-",34321.25772)</f>
        <v>34321.257720000001</v>
      </c>
      <c r="C19" s="46">
        <f>IF(27190.04454="","-",27190.04454)</f>
        <v>27190.044539999999</v>
      </c>
      <c r="D19" s="59">
        <f>IF(34321.25772="","-",27190.04454/34321.25772*100)</f>
        <v>79.222168260330278</v>
      </c>
    </row>
    <row r="20" spans="1:4" x14ac:dyDescent="0.25">
      <c r="A20" s="47" t="s">
        <v>282</v>
      </c>
      <c r="B20" s="48">
        <f>IF(OR(41419.16615="",41419.16615=0),"-",41419.16615)</f>
        <v>41419.166149999997</v>
      </c>
      <c r="C20" s="48">
        <f>IF(OR(38976.23659="",38976.23659=0),"-",38976.23659)</f>
        <v>38976.23659</v>
      </c>
      <c r="D20" s="60">
        <f>IF(OR(41419.16615="",38976.23659="",41419.16615=0,38976.23659=0),"-",38976.23659/41419.16615*100)</f>
        <v>94.101934473637399</v>
      </c>
    </row>
    <row r="21" spans="1:4" x14ac:dyDescent="0.25">
      <c r="A21" s="47" t="s">
        <v>283</v>
      </c>
      <c r="B21" s="48">
        <f>IF(OR(-7097.90843="",-7097.90843=0),"-",-7097.90843)</f>
        <v>-7097.9084300000004</v>
      </c>
      <c r="C21" s="48">
        <f>IF(OR(-11786.19205="",-11786.19205=0),"-",-11786.19205)</f>
        <v>-11786.19205</v>
      </c>
      <c r="D21" s="60" t="s">
        <v>106</v>
      </c>
    </row>
    <row r="22" spans="1:4" x14ac:dyDescent="0.25">
      <c r="A22" s="55" t="s">
        <v>25</v>
      </c>
      <c r="B22" s="46">
        <f>IF(57704.75662="","-",57704.75662)</f>
        <v>57704.75662</v>
      </c>
      <c r="C22" s="46">
        <f>IF(21089.48944="","-",21089.48944)</f>
        <v>21089.489440000001</v>
      </c>
      <c r="D22" s="59">
        <f>IF(57704.75662="","-",21089.48944/57704.75662*100)</f>
        <v>36.547228816645863</v>
      </c>
    </row>
    <row r="23" spans="1:4" x14ac:dyDescent="0.25">
      <c r="A23" s="47" t="s">
        <v>291</v>
      </c>
      <c r="B23" s="48">
        <f>IF(OR(467.64384="",467.64384=0),"-",467.64384)</f>
        <v>467.64384000000001</v>
      </c>
      <c r="C23" s="48">
        <f>IF(OR(575.68205="",575.68205=0),"-",575.68205)</f>
        <v>575.68205</v>
      </c>
      <c r="D23" s="60">
        <f>IF(OR(467.64384="",575.68205="",467.64384=0,575.68205=0),"-",575.68205/467.64384*100)</f>
        <v>123.1026693305743</v>
      </c>
    </row>
    <row r="24" spans="1:4" x14ac:dyDescent="0.25">
      <c r="A24" s="47" t="s">
        <v>284</v>
      </c>
      <c r="B24" s="48">
        <f>IF(OR(83187.88034="",83187.88034=0),"-",83187.88034)</f>
        <v>83187.880340000003</v>
      </c>
      <c r="C24" s="48">
        <f>IF(OR(44993.52="",44993.52=0),"-",44993.52)</f>
        <v>44993.52</v>
      </c>
      <c r="D24" s="60">
        <f>IF(OR(83187.88034="",44993.52="",83187.88034=0,44993.52=0),"-",44993.52/83187.88034*100)</f>
        <v>54.086628744602528</v>
      </c>
    </row>
    <row r="25" spans="1:4" x14ac:dyDescent="0.25">
      <c r="A25" s="47" t="s">
        <v>285</v>
      </c>
      <c r="B25" s="48">
        <f>IF(OR(-417.92819="",-417.92819=0),"-",-417.92819)</f>
        <v>-417.92818999999997</v>
      </c>
      <c r="C25" s="48">
        <f>IF(OR(-382.06818="",-382.06818=0),"-",-382.06818)</f>
        <v>-382.06817999999998</v>
      </c>
      <c r="D25" s="60">
        <f>IF(OR(-417.92819="",-382.06818="",-417.92819=0,-382.06818=0),"-",-382.06818/-417.92819*100)</f>
        <v>91.41957617168633</v>
      </c>
    </row>
    <row r="26" spans="1:4" x14ac:dyDescent="0.25">
      <c r="A26" s="47" t="s">
        <v>286</v>
      </c>
      <c r="B26" s="48">
        <f>IF(OR(-10304.1186="",-10304.1186=0),"-",-10304.1186)</f>
        <v>-10304.1186</v>
      </c>
      <c r="C26" s="48">
        <f>IF(OR(-8237.85353="",-8237.85353=0),"-",-8237.85353)</f>
        <v>-8237.8535300000003</v>
      </c>
      <c r="D26" s="60">
        <f>IF(OR(-10304.1186="",-8237.85353="",-10304.1186=0,-8237.85353=0),"-",-8237.85353/-10304.1186*100)</f>
        <v>79.947192475055559</v>
      </c>
    </row>
    <row r="27" spans="1:4" x14ac:dyDescent="0.25">
      <c r="A27" s="47" t="s">
        <v>234</v>
      </c>
      <c r="B27" s="48">
        <f>IF(OR(691.80321="",691.80321=0),"-",691.80321)</f>
        <v>691.80321000000004</v>
      </c>
      <c r="C27" s="48">
        <f>IF(OR(450.19159="",450.19159=0),"-",450.19159)</f>
        <v>450.19159000000002</v>
      </c>
      <c r="D27" s="60">
        <f>IF(OR(691.80321="",450.19159="",691.80321=0,450.19159=0),"-",450.19159/691.80321*100)</f>
        <v>65.075094115275931</v>
      </c>
    </row>
    <row r="28" spans="1:4" ht="25.5" x14ac:dyDescent="0.25">
      <c r="A28" s="47" t="s">
        <v>235</v>
      </c>
      <c r="B28" s="48">
        <f>IF(OR(-2472.23121="",-2472.23121=0),"-",-2472.23121)</f>
        <v>-2472.2312099999999</v>
      </c>
      <c r="C28" s="48">
        <f>IF(OR(-2150.02857="",-2150.02857=0),"-",-2150.02857)</f>
        <v>-2150.0285699999999</v>
      </c>
      <c r="D28" s="60">
        <f>IF(OR(-2472.23121="",-2150.02857="",-2472.23121=0,-2150.02857=0),"-",-2150.02857/-2472.23121*100)</f>
        <v>86.967131605785369</v>
      </c>
    </row>
    <row r="29" spans="1:4" ht="25.5" x14ac:dyDescent="0.25">
      <c r="A29" s="47" t="s">
        <v>236</v>
      </c>
      <c r="B29" s="48">
        <f>IF(OR(-5339.92686="",-5339.92686=0),"-",-5339.92686)</f>
        <v>-5339.9268599999996</v>
      </c>
      <c r="C29" s="48">
        <f>IF(OR(-1863.1347="",-1863.1347=0),"-",-1863.1347)</f>
        <v>-1863.1347000000001</v>
      </c>
      <c r="D29" s="60">
        <f>IF(OR(-5339.92686="",-1863.1347="",-5339.92686=0,-1863.1347=0),"-",-1863.1347/-5339.92686*100)</f>
        <v>34.890640805518451</v>
      </c>
    </row>
    <row r="30" spans="1:4" x14ac:dyDescent="0.25">
      <c r="A30" s="47" t="s">
        <v>237</v>
      </c>
      <c r="B30" s="48">
        <f>IF(OR(5167.77626="",5167.77626=0),"-",5167.77626)</f>
        <v>5167.7762599999996</v>
      </c>
      <c r="C30" s="48">
        <f>IF(OR(2285.5312="",2285.5312=0),"-",2285.5312)</f>
        <v>2285.5311999999999</v>
      </c>
      <c r="D30" s="60">
        <f>IF(OR(5167.77626="",2285.5312="",5167.77626=0,2285.5312=0),"-",2285.5312/5167.77626*100)</f>
        <v>44.226589639544493</v>
      </c>
    </row>
    <row r="31" spans="1:4" x14ac:dyDescent="0.25">
      <c r="A31" s="47" t="s">
        <v>238</v>
      </c>
      <c r="B31" s="48">
        <f>IF(OR(-13276.14217="",-13276.14217=0),"-",-13276.14217)</f>
        <v>-13276.142169999999</v>
      </c>
      <c r="C31" s="48">
        <f>IF(OR(-14582.35042="",-14582.35042=0),"-",-14582.35042)</f>
        <v>-14582.350420000001</v>
      </c>
      <c r="D31" s="60">
        <f>IF(OR(-13276.14217="",-14582.35042="",-13276.14217=0,-14582.35042=0),"-",-14582.35042/-13276.14217*100)</f>
        <v>109.83876365041971</v>
      </c>
    </row>
    <row r="32" spans="1:4" x14ac:dyDescent="0.25">
      <c r="A32" s="55" t="s">
        <v>239</v>
      </c>
      <c r="B32" s="46">
        <f>IF(-323324.44895="","-",-323324.44895)</f>
        <v>-323324.44894999999</v>
      </c>
      <c r="C32" s="46">
        <f>IF(-232978.79456="","-",-232978.79456)</f>
        <v>-232978.79456000001</v>
      </c>
      <c r="D32" s="59">
        <f>IF(-323324.44895="","-",-232978.79456/-323324.44895*100)</f>
        <v>72.05727723857612</v>
      </c>
    </row>
    <row r="33" spans="1:4" x14ac:dyDescent="0.25">
      <c r="A33" s="47" t="s">
        <v>287</v>
      </c>
      <c r="B33" s="48">
        <f>IF(OR(-5847.02593="",-5847.02593=0),"-",-5847.02593)</f>
        <v>-5847.0259299999998</v>
      </c>
      <c r="C33" s="48">
        <f>IF(OR(-3264.65873="",-3264.65873=0),"-",-3264.65873)</f>
        <v>-3264.6587300000001</v>
      </c>
      <c r="D33" s="60">
        <f>IF(OR(-5847.02593="",-3264.65873="",-5847.02593=0,-3264.65873=0),"-",-3264.65873/-5847.02593*100)</f>
        <v>55.83451773746453</v>
      </c>
    </row>
    <row r="34" spans="1:4" x14ac:dyDescent="0.25">
      <c r="A34" s="47" t="s">
        <v>240</v>
      </c>
      <c r="B34" s="48">
        <f>IF(OR(-162842.40037="",-162842.40037=0),"-",-162842.40037)</f>
        <v>-162842.40036999999</v>
      </c>
      <c r="C34" s="48">
        <f>IF(OR(-124693.80765="",-124693.80765=0),"-",-124693.80765)</f>
        <v>-124693.80765</v>
      </c>
      <c r="D34" s="60">
        <f>IF(OR(-162842.40037="",-124693.80765="",-162842.40037=0,-124693.80765=0),"-",-124693.80765/-162842.40037*100)</f>
        <v>76.573304843627199</v>
      </c>
    </row>
    <row r="35" spans="1:4" x14ac:dyDescent="0.25">
      <c r="A35" s="47" t="s">
        <v>288</v>
      </c>
      <c r="B35" s="48">
        <f>IF(OR(-138534.54476="",-138534.54476=0),"-",-138534.54476)</f>
        <v>-138534.54475999999</v>
      </c>
      <c r="C35" s="48">
        <f>IF(OR(-96912.87449="",-96912.87449=0),"-",-96912.87449)</f>
        <v>-96912.874490000002</v>
      </c>
      <c r="D35" s="60">
        <f>IF(OR(-138534.54476="",-96912.87449="",-138534.54476=0,-96912.87449=0),"-",-96912.87449/-138534.54476*100)</f>
        <v>69.955746169949023</v>
      </c>
    </row>
    <row r="36" spans="1:4" x14ac:dyDescent="0.25">
      <c r="A36" s="47" t="s">
        <v>241</v>
      </c>
      <c r="B36" s="48">
        <f>IF(OR(-16100.47789="",-16100.47789=0),"-",-16100.47789)</f>
        <v>-16100.47789</v>
      </c>
      <c r="C36" s="48">
        <f>IF(OR(-8107.45369="",-8107.45369=0),"-",-8107.45369)</f>
        <v>-8107.4536900000003</v>
      </c>
      <c r="D36" s="60">
        <f>IF(OR(-16100.47789="",-8107.45369="",-16100.47789=0,-8107.45369=0),"-",-8107.45369/-16100.47789*100)</f>
        <v>50.355360538928693</v>
      </c>
    </row>
    <row r="37" spans="1:4" x14ac:dyDescent="0.25">
      <c r="A37" s="55" t="s">
        <v>242</v>
      </c>
      <c r="B37" s="46">
        <f>IF(22725.10075="","-",22725.10075)</f>
        <v>22725.100750000001</v>
      </c>
      <c r="C37" s="46">
        <f>IF(41385.77719="","-",41385.77719)</f>
        <v>41385.777190000001</v>
      </c>
      <c r="D37" s="59">
        <f>IF(22725.10075="","-",41385.77719/22725.10075*100)</f>
        <v>182.11482380336642</v>
      </c>
    </row>
    <row r="38" spans="1:4" x14ac:dyDescent="0.25">
      <c r="A38" s="47" t="s">
        <v>292</v>
      </c>
      <c r="B38" s="48">
        <f>IF(OR(-435.6481="",-435.6481=0),"-",-435.6481)</f>
        <v>-435.6481</v>
      </c>
      <c r="C38" s="48">
        <f>IF(OR(-485.49497="",-485.49497=0),"-",-485.49497)</f>
        <v>-485.49497000000002</v>
      </c>
      <c r="D38" s="60">
        <f>IF(OR(-435.6481="",-485.49497="",-435.6481=0,-485.49497=0),"-",-485.49497/-435.6481*100)</f>
        <v>111.44200330496106</v>
      </c>
    </row>
    <row r="39" spans="1:4" ht="14.25" customHeight="1" x14ac:dyDescent="0.25">
      <c r="A39" s="47" t="s">
        <v>243</v>
      </c>
      <c r="B39" s="48">
        <f>IF(OR(24137.16976="",24137.16976=0),"-",24137.16976)</f>
        <v>24137.169760000001</v>
      </c>
      <c r="C39" s="48">
        <f>IF(OR(42507.57009="",42507.57009=0),"-",42507.57009)</f>
        <v>42507.570090000001</v>
      </c>
      <c r="D39" s="60" t="s">
        <v>105</v>
      </c>
    </row>
    <row r="40" spans="1:4" ht="38.25" x14ac:dyDescent="0.25">
      <c r="A40" s="47" t="s">
        <v>289</v>
      </c>
      <c r="B40" s="48">
        <f>IF(OR(-976.42091="",-976.42091=0),"-",-976.42091)</f>
        <v>-976.42091000000005</v>
      </c>
      <c r="C40" s="48">
        <f>IF(OR(-636.29793="",-636.29793=0),"-",-636.29793)</f>
        <v>-636.29792999999995</v>
      </c>
      <c r="D40" s="60">
        <f>IF(OR(-976.42091="",-636.29793="",-976.42091=0,-636.29793=0),"-",-636.29793/-976.42091*100)</f>
        <v>65.166356382105732</v>
      </c>
    </row>
    <row r="41" spans="1:4" ht="15" customHeight="1" x14ac:dyDescent="0.25">
      <c r="A41" s="55" t="s">
        <v>244</v>
      </c>
      <c r="B41" s="46">
        <f>IF(-255168.75337="","-",-255168.75337)</f>
        <v>-255168.75336999999</v>
      </c>
      <c r="C41" s="46">
        <f>IF(-260043.44989="","-",-260043.44989)</f>
        <v>-260043.44988999999</v>
      </c>
      <c r="D41" s="59">
        <f>IF(-255168.75337="","-",-260043.44989/-255168.75337*100)</f>
        <v>101.91038144585501</v>
      </c>
    </row>
    <row r="42" spans="1:4" x14ac:dyDescent="0.25">
      <c r="A42" s="47" t="s">
        <v>26</v>
      </c>
      <c r="B42" s="48">
        <f>IF(OR(-1890.12076="",-1890.12076=0),"-",-1890.12076)</f>
        <v>-1890.12076</v>
      </c>
      <c r="C42" s="48">
        <f>IF(OR(9168.58757="",9168.58757=0),"-",9168.58757)</f>
        <v>9168.5875699999997</v>
      </c>
      <c r="D42" s="60" t="s">
        <v>22</v>
      </c>
    </row>
    <row r="43" spans="1:4" x14ac:dyDescent="0.25">
      <c r="A43" s="47" t="s">
        <v>27</v>
      </c>
      <c r="B43" s="48">
        <f>IF(OR(-4674.61507="",-4674.61507=0),"-",-4674.61507)</f>
        <v>-4674.6150699999998</v>
      </c>
      <c r="C43" s="48">
        <f>IF(OR(-5005.3803="",-5005.3803=0),"-",-5005.3803)</f>
        <v>-5005.3802999999998</v>
      </c>
      <c r="D43" s="60">
        <f>IF(OR(-4674.61507="",-5005.3803="",-4674.61507=0,-5005.3803=0),"-",-5005.3803/-4674.61507*100)</f>
        <v>107.07577469047094</v>
      </c>
    </row>
    <row r="44" spans="1:4" x14ac:dyDescent="0.25">
      <c r="A44" s="47" t="s">
        <v>245</v>
      </c>
      <c r="B44" s="48">
        <f>IF(OR(-10108.28372="",-10108.28372=0),"-",-10108.28372)</f>
        <v>-10108.283719999999</v>
      </c>
      <c r="C44" s="48">
        <f>IF(OR(-9081.05016="",-9081.05016=0),"-",-9081.05016)</f>
        <v>-9081.0501600000007</v>
      </c>
      <c r="D44" s="60">
        <f>IF(OR(-10108.28372="",-9081.05016="",-10108.28372=0,-9081.05016=0),"-",-9081.05016/-10108.28372*100)</f>
        <v>89.837705505163655</v>
      </c>
    </row>
    <row r="45" spans="1:4" x14ac:dyDescent="0.25">
      <c r="A45" s="47" t="s">
        <v>246</v>
      </c>
      <c r="B45" s="48">
        <f>IF(OR(-57298.63198="",-57298.63198=0),"-",-57298.63198)</f>
        <v>-57298.631979999998</v>
      </c>
      <c r="C45" s="48">
        <f>IF(OR(-67505.85513="",-67505.85513=0),"-",-67505.85513)</f>
        <v>-67505.855129999996</v>
      </c>
      <c r="D45" s="60">
        <f>IF(OR(-57298.63198="",-67505.85513="",-57298.63198=0,-67505.85513=0),"-",-67505.85513/-57298.63198*100)</f>
        <v>117.81407827251935</v>
      </c>
    </row>
    <row r="46" spans="1:4" ht="25.5" x14ac:dyDescent="0.25">
      <c r="A46" s="47" t="s">
        <v>247</v>
      </c>
      <c r="B46" s="48">
        <f>IF(OR(-30774.83863="",-30774.83863=0),"-",-30774.83863)</f>
        <v>-30774.838629999998</v>
      </c>
      <c r="C46" s="48">
        <f>IF(OR(-30854.53123="",-30854.53123=0),"-",-30854.53123)</f>
        <v>-30854.531230000001</v>
      </c>
      <c r="D46" s="60">
        <f>IF(OR(-30774.83863="",-30854.53123="",-30774.83863=0,-30854.53123=0),"-",-30854.53123/-30774.83863*100)</f>
        <v>100.25895375426053</v>
      </c>
    </row>
    <row r="47" spans="1:4" x14ac:dyDescent="0.25">
      <c r="A47" s="47" t="s">
        <v>248</v>
      </c>
      <c r="B47" s="48">
        <f>IF(OR(-38498.45431="",-38498.45431=0),"-",-38498.45431)</f>
        <v>-38498.454310000001</v>
      </c>
      <c r="C47" s="48">
        <f>IF(OR(-42561.10046="",-42561.10046=0),"-",-42561.10046)</f>
        <v>-42561.100460000001</v>
      </c>
      <c r="D47" s="60">
        <f>IF(OR(-38498.45431="",-42561.10046="",-38498.45431=0,-42561.10046=0),"-",-42561.10046/-38498.45431*100)</f>
        <v>110.55275133200536</v>
      </c>
    </row>
    <row r="48" spans="1:4" x14ac:dyDescent="0.25">
      <c r="A48" s="47" t="s">
        <v>28</v>
      </c>
      <c r="B48" s="48">
        <f>IF(OR(-15138.09741="",-15138.09741=0),"-",-15138.09741)</f>
        <v>-15138.09741</v>
      </c>
      <c r="C48" s="48">
        <f>IF(OR(-14096.22017="",-14096.22017=0),"-",-14096.22017)</f>
        <v>-14096.220170000001</v>
      </c>
      <c r="D48" s="60">
        <f>IF(OR(-15138.09741="",-14096.22017="",-15138.09741=0,-14096.22017=0),"-",-14096.22017/-15138.09741*100)</f>
        <v>93.117515287543654</v>
      </c>
    </row>
    <row r="49" spans="1:4" x14ac:dyDescent="0.25">
      <c r="A49" s="47" t="s">
        <v>29</v>
      </c>
      <c r="B49" s="48">
        <f>IF(OR(-32838.40273="",-32838.40273=0),"-",-32838.40273)</f>
        <v>-32838.402730000002</v>
      </c>
      <c r="C49" s="48">
        <f>IF(OR(-30142.93392="",-30142.93392=0),"-",-30142.93392)</f>
        <v>-30142.933919999999</v>
      </c>
      <c r="D49" s="60">
        <f>IF(OR(-32838.40273="",-30142.93392="",-32838.40273=0,-30142.93392=0),"-",-30142.93392/-32838.40273*100)</f>
        <v>91.791717666165539</v>
      </c>
    </row>
    <row r="50" spans="1:4" x14ac:dyDescent="0.25">
      <c r="A50" s="47" t="s">
        <v>249</v>
      </c>
      <c r="B50" s="48">
        <f>IF(OR(-63947.30876="",-63947.30876=0),"-",-63947.30876)</f>
        <v>-63947.30876</v>
      </c>
      <c r="C50" s="48">
        <f>IF(OR(-69964.96609="",-69964.96609=0),"-",-69964.96609)</f>
        <v>-69964.966090000002</v>
      </c>
      <c r="D50" s="60">
        <f>IF(OR(-63947.30876="",-69964.96609="",-63947.30876=0,-69964.96609=0),"-",-69964.96609/-63947.30876*100)</f>
        <v>109.41033711455287</v>
      </c>
    </row>
    <row r="51" spans="1:4" ht="25.5" x14ac:dyDescent="0.25">
      <c r="A51" s="55" t="s">
        <v>250</v>
      </c>
      <c r="B51" s="46">
        <f>IF(-274990.3911="","-",-274990.3911)</f>
        <v>-274990.39110000001</v>
      </c>
      <c r="C51" s="46">
        <f>IF(-239727.89022="","-",-239727.89022)</f>
        <v>-239727.89022</v>
      </c>
      <c r="D51" s="59">
        <f>IF(-274990.3911="","-",-239727.89022/-274990.3911*100)</f>
        <v>87.176824346863512</v>
      </c>
    </row>
    <row r="52" spans="1:4" x14ac:dyDescent="0.25">
      <c r="A52" s="47" t="s">
        <v>251</v>
      </c>
      <c r="B52" s="48">
        <f>IF(OR(-16307.89898="",-16307.89898=0),"-",-16307.89898)</f>
        <v>-16307.89898</v>
      </c>
      <c r="C52" s="48">
        <f>IF(OR(-13449.66465="",-13449.66465=0),"-",-13449.66465)</f>
        <v>-13449.664650000001</v>
      </c>
      <c r="D52" s="60">
        <f>IF(OR(-16307.89898="",-13449.66465="",-16307.89898=0,-13449.66465=0),"-",-13449.66465/-16307.89898*100)</f>
        <v>82.473313493630684</v>
      </c>
    </row>
    <row r="53" spans="1:4" x14ac:dyDescent="0.25">
      <c r="A53" s="47" t="s">
        <v>30</v>
      </c>
      <c r="B53" s="48">
        <f>IF(OR(-19279.07083="",-19279.07083=0),"-",-19279.07083)</f>
        <v>-19279.070830000001</v>
      </c>
      <c r="C53" s="48">
        <f>IF(OR(-17379.63004="",-17379.63004=0),"-",-17379.63004)</f>
        <v>-17379.63004</v>
      </c>
      <c r="D53" s="60">
        <f>IF(OR(-19279.07083="",-17379.63004="",-19279.07083=0,-17379.63004=0),"-",-17379.63004/-19279.07083*100)</f>
        <v>90.147653863876585</v>
      </c>
    </row>
    <row r="54" spans="1:4" x14ac:dyDescent="0.25">
      <c r="A54" s="47" t="s">
        <v>252</v>
      </c>
      <c r="B54" s="48">
        <f>IF(OR(-17390.52105="",-17390.52105=0),"-",-17390.52105)</f>
        <v>-17390.521049999999</v>
      </c>
      <c r="C54" s="48">
        <f>IF(OR(-14221.38899="",-14221.38899=0),"-",-14221.38899)</f>
        <v>-14221.388989999999</v>
      </c>
      <c r="D54" s="60">
        <f>IF(OR(-17390.52105="",-14221.38899="",-17390.52105=0,-14221.38899=0),"-",-14221.38899/-17390.52105*100)</f>
        <v>81.776669883045287</v>
      </c>
    </row>
    <row r="55" spans="1:4" ht="25.5" x14ac:dyDescent="0.25">
      <c r="A55" s="47" t="s">
        <v>253</v>
      </c>
      <c r="B55" s="48">
        <f>IF(OR(-30957.5394="",-30957.5394=0),"-",-30957.5394)</f>
        <v>-30957.539400000001</v>
      </c>
      <c r="C55" s="48">
        <f>IF(OR(-26695.22298="",-26695.22298=0),"-",-26695.22298)</f>
        <v>-26695.222979999999</v>
      </c>
      <c r="D55" s="60">
        <f>IF(OR(-30957.5394="",-26695.22298="",-30957.5394=0,-26695.22298=0),"-",-26695.22298/-30957.5394*100)</f>
        <v>86.231733843808001</v>
      </c>
    </row>
    <row r="56" spans="1:4" ht="25.5" x14ac:dyDescent="0.25">
      <c r="A56" s="47" t="s">
        <v>254</v>
      </c>
      <c r="B56" s="48">
        <f>IF(OR(-67107.74217="",-67107.74217=0),"-",-67107.74217)</f>
        <v>-67107.742169999998</v>
      </c>
      <c r="C56" s="48">
        <f>IF(OR(-58165.05938="",-58165.05938=0),"-",-58165.05938)</f>
        <v>-58165.059379999999</v>
      </c>
      <c r="D56" s="60">
        <f>IF(OR(-67107.74217="",-58165.05938="",-67107.74217=0,-58165.05938=0),"-",-58165.05938/-67107.74217*100)</f>
        <v>86.674141461433706</v>
      </c>
    </row>
    <row r="57" spans="1:4" x14ac:dyDescent="0.25">
      <c r="A57" s="47" t="s">
        <v>31</v>
      </c>
      <c r="B57" s="48">
        <f>IF(OR(-21334.04225="",-21334.04225=0),"-",-21334.04225)</f>
        <v>-21334.042249999999</v>
      </c>
      <c r="C57" s="48">
        <f>IF(OR(-20506.74058="",-20506.74058=0),"-",-20506.74058)</f>
        <v>-20506.740580000002</v>
      </c>
      <c r="D57" s="60">
        <f>IF(OR(-21334.04225="",-20506.74058="",-21334.04225=0,-20506.74058=0),"-",-20506.74058/-21334.04225*100)</f>
        <v>96.122152284572337</v>
      </c>
    </row>
    <row r="58" spans="1:4" x14ac:dyDescent="0.25">
      <c r="A58" s="47" t="s">
        <v>255</v>
      </c>
      <c r="B58" s="48">
        <f>IF(OR(-34939.33042="",-34939.33042=0),"-",-34939.33042)</f>
        <v>-34939.330419999998</v>
      </c>
      <c r="C58" s="48">
        <f>IF(OR(-36247.2484="",-36247.2484=0),"-",-36247.2484)</f>
        <v>-36247.248399999997</v>
      </c>
      <c r="D58" s="60">
        <f>IF(OR(-34939.33042="",-36247.2484="",-34939.33042=0,-36247.2484=0),"-",-36247.2484/-34939.33042*100)</f>
        <v>103.74339738133997</v>
      </c>
    </row>
    <row r="59" spans="1:4" x14ac:dyDescent="0.25">
      <c r="A59" s="47" t="s">
        <v>32</v>
      </c>
      <c r="B59" s="48">
        <f>IF(OR(-29782.04275="",-29782.04275=0),"-",-29782.04275)</f>
        <v>-29782.042750000001</v>
      </c>
      <c r="C59" s="48">
        <f>IF(OR(-19724.20981="",-19724.20981=0),"-",-19724.20981)</f>
        <v>-19724.20981</v>
      </c>
      <c r="D59" s="60">
        <f>IF(OR(-29782.04275="",-19724.20981="",-29782.04275=0,-19724.20981=0),"-",-19724.20981/-29782.04275*100)</f>
        <v>66.228532325909711</v>
      </c>
    </row>
    <row r="60" spans="1:4" x14ac:dyDescent="0.25">
      <c r="A60" s="47" t="s">
        <v>33</v>
      </c>
      <c r="B60" s="48">
        <f>IF(OR(-37892.20325="",-37892.20325=0),"-",-37892.20325)</f>
        <v>-37892.203249999999</v>
      </c>
      <c r="C60" s="48">
        <f>IF(OR(-33338.72539="",-33338.72539=0),"-",-33338.72539)</f>
        <v>-33338.72539</v>
      </c>
      <c r="D60" s="60">
        <f>IF(OR(-37892.20325="",-33338.72539="",-37892.20325=0,-33338.72539=0),"-",-33338.72539/-37892.20325*100)</f>
        <v>87.983074433656753</v>
      </c>
    </row>
    <row r="61" spans="1:4" x14ac:dyDescent="0.25">
      <c r="A61" s="55" t="s">
        <v>256</v>
      </c>
      <c r="B61" s="46">
        <f>IF(-194099.6332="","-",-194099.6332)</f>
        <v>-194099.63320000001</v>
      </c>
      <c r="C61" s="46">
        <f>IF(-196199.75778="","-",-196199.75778)</f>
        <v>-196199.75778000001</v>
      </c>
      <c r="D61" s="59">
        <f>IF(-194099.6332="","-",-196199.75778/-194099.6332*100)</f>
        <v>101.08198276595198</v>
      </c>
    </row>
    <row r="62" spans="1:4" x14ac:dyDescent="0.25">
      <c r="A62" s="47" t="s">
        <v>257</v>
      </c>
      <c r="B62" s="48">
        <f>IF(OR(-3450.70104="",-3450.70104=0),"-",-3450.70104)</f>
        <v>-3450.7010399999999</v>
      </c>
      <c r="C62" s="48">
        <f>IF(OR(-4546.60078="",-4546.60078=0),"-",-4546.60078)</f>
        <v>-4546.6007799999998</v>
      </c>
      <c r="D62" s="60">
        <f>IF(OR(-3450.70104="",-4546.60078="",-3450.70104=0,-4546.60078=0),"-",-4546.60078/-3450.70104*100)</f>
        <v>131.7587564757566</v>
      </c>
    </row>
    <row r="63" spans="1:4" x14ac:dyDescent="0.25">
      <c r="A63" s="47" t="s">
        <v>258</v>
      </c>
      <c r="B63" s="48">
        <f>IF(OR(-61003.6187="",-61003.6187=0),"-",-61003.6187)</f>
        <v>-61003.618699999999</v>
      </c>
      <c r="C63" s="48">
        <f>IF(OR(-48979.74165="",-48979.74165=0),"-",-48979.74165)</f>
        <v>-48979.741650000004</v>
      </c>
      <c r="D63" s="60">
        <f>IF(OR(-61003.6187="",-48979.74165="",-61003.6187=0,-48979.74165=0),"-",-48979.74165/-61003.6187*100)</f>
        <v>80.289895409106279</v>
      </c>
    </row>
    <row r="64" spans="1:4" x14ac:dyDescent="0.25">
      <c r="A64" s="47" t="s">
        <v>259</v>
      </c>
      <c r="B64" s="48">
        <f>IF(OR(-2148.406="",-2148.406=0),"-",-2148.406)</f>
        <v>-2148.4059999999999</v>
      </c>
      <c r="C64" s="48">
        <f>IF(OR(-3132.55506="",-3132.55506=0),"-",-3132.55506)</f>
        <v>-3132.5550600000001</v>
      </c>
      <c r="D64" s="60">
        <f>IF(OR(-2148.406="",-3132.55506="",-2148.406=0,-3132.55506=0),"-",-3132.55506/-2148.406*100)</f>
        <v>145.8083369716897</v>
      </c>
    </row>
    <row r="65" spans="1:4" ht="25.5" x14ac:dyDescent="0.25">
      <c r="A65" s="47" t="s">
        <v>260</v>
      </c>
      <c r="B65" s="48">
        <f>IF(OR(-50944.19264="",-50944.19264=0),"-",-50944.19264)</f>
        <v>-50944.192640000001</v>
      </c>
      <c r="C65" s="48">
        <f>IF(OR(-47902.04228="",-47902.04228=0),"-",-47902.04228)</f>
        <v>-47902.042280000001</v>
      </c>
      <c r="D65" s="60">
        <f>IF(OR(-50944.19264="",-47902.04228="",-50944.19264=0,-47902.04228=0),"-",-47902.04228/-50944.19264*100)</f>
        <v>94.028464870377817</v>
      </c>
    </row>
    <row r="66" spans="1:4" ht="25.5" x14ac:dyDescent="0.25">
      <c r="A66" s="47" t="s">
        <v>261</v>
      </c>
      <c r="B66" s="48">
        <f>IF(OR(-14768.12406="",-14768.12406=0),"-",-14768.12406)</f>
        <v>-14768.12406</v>
      </c>
      <c r="C66" s="48">
        <f>IF(OR(-12208.85297="",-12208.85297=0),"-",-12208.85297)</f>
        <v>-12208.85297</v>
      </c>
      <c r="D66" s="60">
        <f>IF(OR(-14768.12406="",-12208.85297="",-14768.12406=0,-12208.85297=0),"-",-12208.85297/-14768.12406*100)</f>
        <v>82.670303421056161</v>
      </c>
    </row>
    <row r="67" spans="1:4" ht="25.5" x14ac:dyDescent="0.25">
      <c r="A67" s="47" t="s">
        <v>262</v>
      </c>
      <c r="B67" s="48">
        <f>IF(OR(-43027.4486299999="",-43027.4486299999=0),"-",-43027.4486299999)</f>
        <v>-43027.448629999897</v>
      </c>
      <c r="C67" s="48">
        <f>IF(OR(-39573.18499="",-39573.18499=0),"-",-39573.18499)</f>
        <v>-39573.184990000002</v>
      </c>
      <c r="D67" s="60">
        <f>IF(OR(-43027.4486299999="",-39573.18499="",-43027.4486299999=0,-39573.18499=0),"-",-39573.18499/-43027.4486299999*100)</f>
        <v>91.971953369339474</v>
      </c>
    </row>
    <row r="68" spans="1:4" ht="26.25" customHeight="1" x14ac:dyDescent="0.25">
      <c r="A68" s="47" t="s">
        <v>263</v>
      </c>
      <c r="B68" s="48">
        <f>IF(OR(78684.28804="",78684.28804=0),"-",78684.28804)</f>
        <v>78684.288039999999</v>
      </c>
      <c r="C68" s="48">
        <f>IF(OR(31865.15204="",31865.15204=0),"-",31865.15204)</f>
        <v>31865.152040000001</v>
      </c>
      <c r="D68" s="60">
        <f>IF(OR(78684.28804="",31865.15204="",78684.28804=0,31865.15204=0),"-",31865.15204/78684.28804*100)</f>
        <v>40.497477747782391</v>
      </c>
    </row>
    <row r="69" spans="1:4" x14ac:dyDescent="0.25">
      <c r="A69" s="47" t="s">
        <v>264</v>
      </c>
      <c r="B69" s="48">
        <f>IF(OR(-98105.3012="",-98105.3012=0),"-",-98105.3012)</f>
        <v>-98105.301200000002</v>
      </c>
      <c r="C69" s="48">
        <f>IF(OR(-68412.85384="",-68412.85384=0),"-",-68412.85384)</f>
        <v>-68412.853839999996</v>
      </c>
      <c r="D69" s="60">
        <f>IF(OR(-98105.3012="",-68412.85384="",-98105.3012=0,-68412.85384=0),"-",-68412.85384/-98105.3012*100)</f>
        <v>69.734105092375984</v>
      </c>
    </row>
    <row r="70" spans="1:4" x14ac:dyDescent="0.25">
      <c r="A70" s="47" t="s">
        <v>34</v>
      </c>
      <c r="B70" s="48">
        <f>IF(OR(663.87103="",663.87103=0),"-",663.87103)</f>
        <v>663.87103000000002</v>
      </c>
      <c r="C70" s="48">
        <f>IF(OR(-3309.07825="",-3309.07825=0),"-",-3309.07825)</f>
        <v>-3309.07825</v>
      </c>
      <c r="D70" s="60" t="s">
        <v>22</v>
      </c>
    </row>
    <row r="71" spans="1:4" x14ac:dyDescent="0.25">
      <c r="A71" s="55" t="s">
        <v>35</v>
      </c>
      <c r="B71" s="46">
        <f>IF(-4088.3106="","-",-4088.3106)</f>
        <v>-4088.3105999999998</v>
      </c>
      <c r="C71" s="46">
        <f>IF(-9016.53362="","-",-9016.53362)</f>
        <v>-9016.5336200000002</v>
      </c>
      <c r="D71" s="59" t="s">
        <v>100</v>
      </c>
    </row>
    <row r="72" spans="1:4" ht="25.5" x14ac:dyDescent="0.25">
      <c r="A72" s="47" t="s">
        <v>293</v>
      </c>
      <c r="B72" s="48">
        <f>IF(OR(-8955.42425999999="",-8955.42425999999=0),"-",-8955.42425999999)</f>
        <v>-8955.4242599999907</v>
      </c>
      <c r="C72" s="48">
        <f>IF(OR(-7643.64602="",-7643.64602=0),"-",-7643.64602)</f>
        <v>-7643.6460200000001</v>
      </c>
      <c r="D72" s="60">
        <f>IF(OR(-8955.42425999999="",-7643.64602="",-8955.42425999999=0,-7643.64602=0),"-",-7643.64602/-8955.42425999999*100)</f>
        <v>85.35213740951238</v>
      </c>
    </row>
    <row r="73" spans="1:4" x14ac:dyDescent="0.25">
      <c r="A73" s="47" t="s">
        <v>266</v>
      </c>
      <c r="B73" s="48">
        <f>IF(OR(32098.59867="",32098.59867=0),"-",32098.59867)</f>
        <v>32098.598669999999</v>
      </c>
      <c r="C73" s="48">
        <f>IF(OR(22802.53955="",22802.53955=0),"-",22802.53955)</f>
        <v>22802.539550000001</v>
      </c>
      <c r="D73" s="60">
        <f>IF(OR(32098.59867="",22802.53955="",32098.59867=0,22802.53955=0),"-",22802.53955/32098.59867*100)</f>
        <v>71.039049973579424</v>
      </c>
    </row>
    <row r="74" spans="1:4" x14ac:dyDescent="0.25">
      <c r="A74" s="47" t="s">
        <v>267</v>
      </c>
      <c r="B74" s="48">
        <f>IF(OR(1430.95657="",1430.95657=0),"-",1430.95657)</f>
        <v>1430.9565700000001</v>
      </c>
      <c r="C74" s="48">
        <f>IF(OR(1198.74742="",1198.74742=0),"-",1198.74742)</f>
        <v>1198.7474199999999</v>
      </c>
      <c r="D74" s="60">
        <f>IF(OR(1430.95657="",1198.74742="",1430.95657=0,1198.74742=0),"-",1198.74742/1430.95657*100)</f>
        <v>83.772452996249896</v>
      </c>
    </row>
    <row r="75" spans="1:4" x14ac:dyDescent="0.25">
      <c r="A75" s="47" t="s">
        <v>268</v>
      </c>
      <c r="B75" s="48">
        <f>IF(OR(47805.24539="",47805.24539=0),"-",47805.24539)</f>
        <v>47805.245389999996</v>
      </c>
      <c r="C75" s="48">
        <f>IF(OR(33281.0656799999="",33281.0656799999=0),"-",33281.0656799999)</f>
        <v>33281.065679999898</v>
      </c>
      <c r="D75" s="60">
        <f>IF(OR(47805.24539="",33281.0656799999="",47805.24539=0,33281.0656799999=0),"-",33281.0656799999/47805.24539*100)</f>
        <v>69.618020801879837</v>
      </c>
    </row>
    <row r="76" spans="1:4" x14ac:dyDescent="0.25">
      <c r="A76" s="47" t="s">
        <v>269</v>
      </c>
      <c r="B76" s="48">
        <f>IF(OR(-6533.47805="",-6533.47805=0),"-",-6533.47805)</f>
        <v>-6533.4780499999997</v>
      </c>
      <c r="C76" s="48">
        <f>IF(OR(-2066.07926="",-2066.07926=0),"-",-2066.07926)</f>
        <v>-2066.07926</v>
      </c>
      <c r="D76" s="60">
        <f>IF(OR(-6533.47805="",-2066.07926="",-6533.47805=0,-2066.07926=0),"-",-2066.07926/-6533.47805*100)</f>
        <v>31.622961678121808</v>
      </c>
    </row>
    <row r="77" spans="1:4" x14ac:dyDescent="0.25">
      <c r="A77" s="47" t="s">
        <v>294</v>
      </c>
      <c r="B77" s="48">
        <f>IF(OR(-12588.09558="",-12588.09558=0),"-",-12588.09558)</f>
        <v>-12588.095579999999</v>
      </c>
      <c r="C77" s="48">
        <f>IF(OR(-11198.51675="",-11198.51675=0),"-",-11198.51675)</f>
        <v>-11198.516750000001</v>
      </c>
      <c r="D77" s="60">
        <f>IF(OR(-12588.09558="",-11198.51675="",-12588.09558=0,-11198.51675=0),"-",-11198.51675/-12588.09558*100)</f>
        <v>88.961167150591351</v>
      </c>
    </row>
    <row r="78" spans="1:4" ht="25.5" x14ac:dyDescent="0.25">
      <c r="A78" s="47" t="s">
        <v>271</v>
      </c>
      <c r="B78" s="48">
        <f>IF(OR(-2619.67015="",-2619.67015=0),"-",-2619.67015)</f>
        <v>-2619.6701499999999</v>
      </c>
      <c r="C78" s="48">
        <f>IF(OR(-2620.1731="",-2620.1731=0),"-",-2620.1731)</f>
        <v>-2620.1731</v>
      </c>
      <c r="D78" s="60">
        <f>IF(OR(-2619.67015="",-2620.1731="",-2619.67015=0,-2620.1731=0),"-",-2620.1731/-2619.67015*100)</f>
        <v>100.0191989819787</v>
      </c>
    </row>
    <row r="79" spans="1:4" x14ac:dyDescent="0.25">
      <c r="A79" s="47" t="s">
        <v>36</v>
      </c>
      <c r="B79" s="48">
        <f>IF(OR(-54726.44319="",-54726.44319=0),"-",-54726.44319)</f>
        <v>-54726.443189999998</v>
      </c>
      <c r="C79" s="48">
        <f>IF(OR(-42770.47114="",-42770.47114=0),"-",-42770.47114)</f>
        <v>-42770.471140000001</v>
      </c>
      <c r="D79" s="60">
        <f>IF(OR(-54726.44319="",-42770.47114="",-54726.44319=0,-42770.47114=0),"-",-42770.47114/-54726.44319*100)</f>
        <v>78.153208297328774</v>
      </c>
    </row>
    <row r="80" spans="1:4" x14ac:dyDescent="0.25">
      <c r="A80" s="34" t="s">
        <v>272</v>
      </c>
      <c r="B80" s="35">
        <f>IF(268.84469="","-",268.84469)</f>
        <v>268.84469000000001</v>
      </c>
      <c r="C80" s="35">
        <f>IF(60.82946="","-",60.82946)</f>
        <v>60.829459999999997</v>
      </c>
      <c r="D80" s="61">
        <f>IF(268.84469="","-",60.82946/268.84469*100)</f>
        <v>22.626245658785376</v>
      </c>
    </row>
    <row r="81" spans="1:1" x14ac:dyDescent="0.25">
      <c r="A81" s="26" t="s">
        <v>21</v>
      </c>
    </row>
  </sheetData>
  <mergeCells count="5">
    <mergeCell ref="A1:D1"/>
    <mergeCell ref="A2:D2"/>
    <mergeCell ref="A4:A5"/>
    <mergeCell ref="D4:D5"/>
    <mergeCell ref="B4:C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Comerciala_Tari'!Print_Titles</vt:lpstr>
      <vt:lpstr>Balanta_Comerciala_Gr_Marf_CSCI!Print_Titles</vt:lpstr>
      <vt:lpstr>Export_Grupe_Marfuri_CSCI!Print_Titles</vt:lpstr>
      <vt:lpstr>Export_Tari!Print_Titles</vt:lpstr>
      <vt:lpstr>Import_Grupe_Marfuri_CSCI!Print_Titles</vt:lpstr>
      <vt:lpstr>Import_Tari!Print_Titles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Doina Vudvud</cp:lastModifiedBy>
  <cp:lastPrinted>2001-01-01T13:55:11Z</cp:lastPrinted>
  <dcterms:created xsi:type="dcterms:W3CDTF">2016-09-01T07:59:47Z</dcterms:created>
  <dcterms:modified xsi:type="dcterms:W3CDTF">2020-06-15T10:44:54Z</dcterms:modified>
</cp:coreProperties>
</file>