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8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44" i="3" l="1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C139" i="3"/>
  <c r="B139" i="3"/>
  <c r="C138" i="3"/>
  <c r="B138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C132" i="3"/>
  <c r="B132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C126" i="3"/>
  <c r="B126" i="3"/>
  <c r="D125" i="3"/>
  <c r="C125" i="3"/>
  <c r="B125" i="3"/>
  <c r="D124" i="3"/>
  <c r="C124" i="3"/>
  <c r="B124" i="3"/>
  <c r="D123" i="3"/>
  <c r="C123" i="3"/>
  <c r="B123" i="3"/>
  <c r="C122" i="3"/>
  <c r="B122" i="3"/>
  <c r="D121" i="3"/>
  <c r="C121" i="3"/>
  <c r="B121" i="3"/>
  <c r="C120" i="3"/>
  <c r="B120" i="3"/>
  <c r="D119" i="3"/>
  <c r="C119" i="3"/>
  <c r="B119" i="3"/>
  <c r="D118" i="3"/>
  <c r="C118" i="3"/>
  <c r="B118" i="3"/>
  <c r="C117" i="3"/>
  <c r="B117" i="3"/>
  <c r="D116" i="3"/>
  <c r="C116" i="3"/>
  <c r="B116" i="3"/>
  <c r="C115" i="3"/>
  <c r="B115" i="3"/>
  <c r="D114" i="3"/>
  <c r="C114" i="3"/>
  <c r="B114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C99" i="3"/>
  <c r="B99" i="3"/>
  <c r="D98" i="3"/>
  <c r="C98" i="3"/>
  <c r="B98" i="3"/>
  <c r="D97" i="3"/>
  <c r="C97" i="3"/>
  <c r="B97" i="3"/>
  <c r="C96" i="3"/>
  <c r="B96" i="3"/>
  <c r="C95" i="3"/>
  <c r="B95" i="3"/>
  <c r="C94" i="3"/>
  <c r="B94" i="3"/>
  <c r="D93" i="3"/>
  <c r="C93" i="3"/>
  <c r="B93" i="3"/>
  <c r="C92" i="3"/>
  <c r="B92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C85" i="3"/>
  <c r="B85" i="3"/>
  <c r="C84" i="3"/>
  <c r="B84" i="3"/>
  <c r="C83" i="3"/>
  <c r="B83" i="3"/>
  <c r="D82" i="3"/>
  <c r="C82" i="3"/>
  <c r="B82" i="3"/>
  <c r="D81" i="3"/>
  <c r="C81" i="3"/>
  <c r="B81" i="3"/>
  <c r="D80" i="3"/>
  <c r="C80" i="3"/>
  <c r="B80" i="3"/>
  <c r="C79" i="3"/>
  <c r="B79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C68" i="3"/>
  <c r="B68" i="3"/>
  <c r="D67" i="3"/>
  <c r="C67" i="3"/>
  <c r="B67" i="3"/>
  <c r="C66" i="3"/>
  <c r="B66" i="3"/>
  <c r="C65" i="3"/>
  <c r="B65" i="3"/>
  <c r="D64" i="3"/>
  <c r="C64" i="3"/>
  <c r="B64" i="3"/>
  <c r="D63" i="3"/>
  <c r="C63" i="3"/>
  <c r="B63" i="3"/>
  <c r="C62" i="3"/>
  <c r="B62" i="3"/>
  <c r="D61" i="3"/>
  <c r="C61" i="3"/>
  <c r="B61" i="3"/>
  <c r="D60" i="3"/>
  <c r="C60" i="3"/>
  <c r="B60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C40" i="3"/>
  <c r="B40" i="3"/>
  <c r="D39" i="3"/>
  <c r="C39" i="3"/>
  <c r="B39" i="3"/>
  <c r="C38" i="3"/>
  <c r="B38" i="3"/>
  <c r="D37" i="3"/>
  <c r="C37" i="3"/>
  <c r="B37" i="3"/>
  <c r="D36" i="3"/>
  <c r="C36" i="3"/>
  <c r="B36" i="3"/>
  <c r="D35" i="3"/>
  <c r="C35" i="3"/>
  <c r="B35" i="3"/>
  <c r="C34" i="3"/>
  <c r="B34" i="3"/>
  <c r="D33" i="3"/>
  <c r="C33" i="3"/>
  <c r="B33" i="3"/>
  <c r="C32" i="3"/>
  <c r="B32" i="3"/>
  <c r="C31" i="3"/>
  <c r="B31" i="3"/>
  <c r="C30" i="3"/>
  <c r="B30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E40" i="8" l="1"/>
  <c r="D40" i="8"/>
  <c r="B40" i="8"/>
  <c r="E39" i="8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3" i="8"/>
  <c r="D33" i="8"/>
  <c r="B33" i="8"/>
  <c r="E32" i="8"/>
  <c r="D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4" i="8"/>
  <c r="D24" i="8"/>
  <c r="B24" i="8"/>
  <c r="E23" i="8"/>
  <c r="D23" i="8"/>
  <c r="B23" i="8"/>
  <c r="E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B6" i="8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B6" i="7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81" i="5" l="1"/>
  <c r="F81" i="5"/>
  <c r="E81" i="5"/>
  <c r="D81" i="5"/>
  <c r="C81" i="5"/>
  <c r="B81" i="5"/>
  <c r="G80" i="5"/>
  <c r="F80" i="5"/>
  <c r="E80" i="5"/>
  <c r="D80" i="5"/>
  <c r="C80" i="5"/>
  <c r="B80" i="5"/>
  <c r="G79" i="5"/>
  <c r="F79" i="5"/>
  <c r="E79" i="5"/>
  <c r="D79" i="5"/>
  <c r="C79" i="5"/>
  <c r="B79" i="5"/>
  <c r="G78" i="5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C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B43" i="5"/>
  <c r="G42" i="5"/>
  <c r="F42" i="5"/>
  <c r="E42" i="5"/>
  <c r="D42" i="5"/>
  <c r="C42" i="5"/>
  <c r="B42" i="5"/>
  <c r="G41" i="5"/>
  <c r="F41" i="5"/>
  <c r="E41" i="5"/>
  <c r="D41" i="5"/>
  <c r="B41" i="5"/>
  <c r="G40" i="5"/>
  <c r="F40" i="5"/>
  <c r="E40" i="5"/>
  <c r="D40" i="5"/>
  <c r="B40" i="5"/>
  <c r="G39" i="5"/>
  <c r="F39" i="5"/>
  <c r="E39" i="5"/>
  <c r="D39" i="5"/>
  <c r="C39" i="5"/>
  <c r="B39" i="5"/>
  <c r="G38" i="5"/>
  <c r="F38" i="5"/>
  <c r="E38" i="5"/>
  <c r="D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B7" i="5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D14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D9" i="4"/>
  <c r="C9" i="4"/>
  <c r="B9" i="4"/>
  <c r="C8" i="4"/>
  <c r="B8" i="4"/>
  <c r="D6" i="4"/>
  <c r="C6" i="4"/>
  <c r="B6" i="4"/>
  <c r="G119" i="2" l="1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B114" i="2"/>
  <c r="G113" i="2"/>
  <c r="F113" i="2"/>
  <c r="E113" i="2"/>
  <c r="D113" i="2"/>
  <c r="C113" i="2"/>
  <c r="B113" i="2"/>
  <c r="G112" i="2"/>
  <c r="F112" i="2"/>
  <c r="E112" i="2"/>
  <c r="D112" i="2"/>
  <c r="B112" i="2"/>
  <c r="G111" i="2"/>
  <c r="F111" i="2"/>
  <c r="E111" i="2"/>
  <c r="D111" i="2"/>
  <c r="C111" i="2"/>
  <c r="B111" i="2"/>
  <c r="G110" i="2"/>
  <c r="F110" i="2"/>
  <c r="E110" i="2"/>
  <c r="D110" i="2"/>
  <c r="C110" i="2"/>
  <c r="B110" i="2"/>
  <c r="G109" i="2"/>
  <c r="F109" i="2"/>
  <c r="E109" i="2"/>
  <c r="D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B97" i="2"/>
  <c r="G96" i="2"/>
  <c r="F96" i="2"/>
  <c r="E96" i="2"/>
  <c r="D96" i="2"/>
  <c r="C96" i="2"/>
  <c r="B96" i="2"/>
  <c r="G95" i="2"/>
  <c r="F95" i="2"/>
  <c r="E95" i="2"/>
  <c r="D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B42" i="2"/>
  <c r="G41" i="2"/>
  <c r="F41" i="2"/>
  <c r="E41" i="2"/>
  <c r="D41" i="2"/>
  <c r="C41" i="2"/>
  <c r="B41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109" i="1" l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B102" i="1"/>
  <c r="G101" i="1"/>
  <c r="F101" i="1"/>
  <c r="E101" i="1"/>
  <c r="D101" i="1"/>
  <c r="C101" i="1"/>
  <c r="B101" i="1"/>
  <c r="G100" i="1"/>
  <c r="F100" i="1"/>
  <c r="E100" i="1"/>
  <c r="D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B96" i="1"/>
  <c r="G95" i="1"/>
  <c r="F95" i="1"/>
  <c r="E95" i="1"/>
  <c r="D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B86" i="1"/>
  <c r="G85" i="1"/>
  <c r="F85" i="1"/>
  <c r="E85" i="1"/>
  <c r="D85" i="1"/>
  <c r="B85" i="1"/>
  <c r="G84" i="1"/>
  <c r="F84" i="1"/>
  <c r="E84" i="1"/>
  <c r="D84" i="1"/>
  <c r="C84" i="1"/>
  <c r="B84" i="1"/>
  <c r="G83" i="1"/>
  <c r="F83" i="1"/>
  <c r="E83" i="1"/>
  <c r="D83" i="1"/>
  <c r="B83" i="1"/>
  <c r="G82" i="1"/>
  <c r="F82" i="1"/>
  <c r="E82" i="1"/>
  <c r="D82" i="1"/>
  <c r="C82" i="1"/>
  <c r="B82" i="1"/>
  <c r="G81" i="1"/>
  <c r="F81" i="1"/>
  <c r="E81" i="1"/>
  <c r="D81" i="1"/>
  <c r="B81" i="1"/>
  <c r="G80" i="1"/>
  <c r="F80" i="1"/>
  <c r="E80" i="1"/>
  <c r="D80" i="1"/>
  <c r="C80" i="1"/>
  <c r="B80" i="1"/>
  <c r="G79" i="1"/>
  <c r="F79" i="1"/>
  <c r="E79" i="1"/>
  <c r="D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B74" i="1"/>
  <c r="G73" i="1"/>
  <c r="F73" i="1"/>
  <c r="E73" i="1"/>
  <c r="D73" i="1"/>
  <c r="C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<sst xmlns="http://schemas.openxmlformats.org/spreadsheetml/2006/main" count="817" uniqueCount="310">
  <si>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</si>
  <si>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</si>
  <si>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</si>
  <si>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</si>
  <si>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</si>
  <si>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</si>
  <si>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</si>
  <si>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</si>
  <si>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</si>
  <si>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</si>
  <si>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</si>
  <si>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</si>
  <si>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</si>
  <si>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</si>
  <si>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</si>
  <si>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</si>
  <si>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</si>
  <si>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</si>
  <si>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</si>
  <si>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</si>
  <si>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</si>
  <si>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</si>
  <si>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</si>
  <si>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</si>
  <si>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</si>
  <si>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</si>
  <si>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</si>
  <si>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</si>
  <si>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</si>
  <si>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</si>
  <si>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</si>
  <si>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</si>
  <si>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</si>
  <si>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</si>
  <si>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</si>
  <si>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</si>
  <si>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</si>
  <si>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</si>
  <si>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</si>
  <si>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</si>
  <si>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</si>
  <si>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</si>
  <si>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</si>
  <si>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</si>
  <si>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</si>
  <si>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</si>
  <si>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</si>
  <si>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</si>
  <si>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</si>
  <si>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</si>
  <si>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</si>
  <si>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</si>
  <si>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</si>
  <si>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</si>
  <si>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</si>
  <si>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</si>
  <si>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</si>
  <si>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</si>
  <si>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</si>
  <si>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</si>
  <si>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</si>
  <si>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</si>
  <si>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</si>
  <si>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</si>
  <si>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</si>
  <si>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</si>
  <si>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</si>
  <si>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</si>
  <si>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</si>
  <si>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</si>
  <si>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</si>
  <si>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</si>
  <si>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</si>
  <si>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</si>
  <si>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</si>
  <si>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</si>
  <si>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</si>
  <si>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</si>
  <si>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</si>
  <si>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</si>
  <si>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</si>
  <si>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</si>
  <si>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</si>
  <si>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</si>
  <si>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</si>
  <si>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</si>
  <si>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</si>
  <si>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</si>
  <si>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</si>
  <si>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</si>
  <si>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</si>
  <si>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</si>
  <si>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</si>
  <si>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</si>
  <si>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</si>
  <si>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</si>
  <si>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</si>
  <si>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</si>
  <si>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</si>
  <si>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</si>
  <si>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</si>
  <si>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</si>
  <si>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</si>
  <si>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</si>
  <si>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</si>
  <si>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</si>
  <si>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</si>
  <si>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</si>
  <si>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</si>
  <si>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</si>
  <si>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</si>
  <si>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</si>
  <si>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</si>
  <si>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</si>
  <si>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</si>
  <si>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</si>
  <si>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</si>
  <si>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</si>
  <si>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</si>
  <si>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</si>
  <si>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</si>
  <si>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</si>
  <si>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</si>
  <si>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</si>
  <si>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</si>
  <si>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</si>
  <si>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</si>
  <si>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</si>
  <si>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</si>
  <si>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</si>
  <si>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</si>
  <si>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</si>
  <si>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</si>
  <si>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</si>
  <si>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</si>
  <si>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</si>
  <si>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</si>
  <si>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</si>
  <si>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</si>
  <si>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</si>
  <si>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</si>
  <si>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</si>
  <si>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</si>
  <si>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</si>
  <si>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</si>
  <si>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</si>
  <si>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Insulele Feroe</t>
  </si>
  <si>
    <t>Antigua şi Barbuda</t>
  </si>
  <si>
    <t>Insulele Folkland</t>
  </si>
  <si>
    <t>Laos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</si>
  <si>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</si>
  <si>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</si>
  <si>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</si>
  <si>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</si>
  <si>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</si>
  <si>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</si>
  <si>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</si>
  <si>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</si>
  <si>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</si>
  <si>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</si>
  <si>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</si>
  <si>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</si>
  <si>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</si>
  <si>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</si>
  <si>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</si>
  <si>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</si>
  <si>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</si>
  <si>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</si>
  <si>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Țările Uniunii Europene (UE-27) - total</t>
  </si>
  <si>
    <t xml:space="preserve">Țările CSI - total 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</si>
  <si>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</si>
  <si>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</si>
  <si>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</si>
  <si>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</si>
  <si>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</si>
  <si>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</si>
  <si>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Mauritius</t>
  </si>
  <si>
    <t>Kosovo</t>
  </si>
  <si>
    <t>Ghana</t>
  </si>
  <si>
    <t>Montenegro</t>
  </si>
  <si>
    <t>Insulele Georgia şi Sandwich de Sud</t>
  </si>
  <si>
    <t>Paraguay</t>
  </si>
  <si>
    <t>de 2,9 ori</t>
  </si>
  <si>
    <t>Bosnia şi Herţegovina</t>
  </si>
  <si>
    <t>Guatemala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</si>
  <si>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</si>
  <si>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</si>
  <si>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</si>
  <si>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</si>
  <si>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</si>
  <si>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</si>
  <si>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</si>
  <si>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</si>
  <si>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</si>
  <si>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</si>
  <si>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</si>
  <si>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</si>
  <si>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</si>
  <si>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</si>
  <si>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</si>
  <si>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</si>
  <si>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</si>
  <si>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</si>
  <si>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</si>
  <si>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</si>
  <si>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</si>
  <si>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</si>
  <si>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</si>
  <si>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</si>
  <si>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</si>
  <si>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</si>
  <si>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</si>
  <si>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</si>
  <si>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</si>
  <si>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</si>
  <si>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</si>
  <si>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</si>
  <si>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</si>
  <si>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</si>
  <si>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</si>
  <si>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</si>
  <si>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</si>
  <si>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</si>
  <si>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</si>
  <si>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</si>
  <si>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</si>
  <si>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</si>
  <si>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</si>
  <si>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</si>
  <si>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</si>
  <si>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</si>
  <si>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</si>
  <si>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</si>
  <si>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</si>
  <si>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</si>
  <si>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</si>
  <si>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</si>
  <si>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</si>
  <si>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</si>
  <si>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</si>
  <si>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</si>
  <si>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</si>
  <si>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</si>
  <si>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</si>
  <si>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</si>
  <si>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</si>
  <si>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2,4 ori</t>
  </si>
  <si>
    <t>de 3,8 ori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</si>
  <si>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</si>
  <si>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</si>
  <si>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</si>
  <si>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</si>
  <si>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Ianuarie - august 2020</t>
  </si>
  <si>
    <t>în % faţă de ianuarie - august 2019¹</t>
  </si>
  <si>
    <t>ianuarie - august</t>
  </si>
  <si>
    <t>în % faţă de ianuarie-august 2019¹</t>
  </si>
  <si>
    <t>Ianuarie - august</t>
  </si>
  <si>
    <t>Ianuarie - august 2020                                  în % faţă de           ianuarie - august 2019¹</t>
  </si>
  <si>
    <t>Ianuarie - august 2020      în % faţă de                          ianuarie - august 2019¹</t>
  </si>
  <si>
    <t>Franța</t>
  </si>
  <si>
    <t>Croația</t>
  </si>
  <si>
    <t>Țările CSI - total</t>
  </si>
  <si>
    <t>Federația Rusă</t>
  </si>
  <si>
    <t>Elveția</t>
  </si>
  <si>
    <t>Regatul Unit al Marii Britanii și Irlandei de Nord</t>
  </si>
  <si>
    <t>Bosnia și Herțegovina</t>
  </si>
  <si>
    <t>de 2,3 ori</t>
  </si>
  <si>
    <t>de 101,3 ori</t>
  </si>
  <si>
    <t>de 5,3 ori</t>
  </si>
  <si>
    <t>de 3,2 ori</t>
  </si>
  <si>
    <t>de 141,2 ori</t>
  </si>
  <si>
    <t>de 5,9 ori</t>
  </si>
  <si>
    <t>de 5,2 ori</t>
  </si>
  <si>
    <t>de 3,9 ori</t>
  </si>
  <si>
    <t>de 4,2 ori</t>
  </si>
  <si>
    <t>de 6,8 ori</t>
  </si>
  <si>
    <t>Insulele Georgia și Sandwich de Sud</t>
  </si>
  <si>
    <t>Antigua și Barbuda</t>
  </si>
  <si>
    <t>Republica Dominicană</t>
  </si>
  <si>
    <t>de 9,1 ori</t>
  </si>
  <si>
    <t>de 9,5 ori</t>
  </si>
  <si>
    <t>de 10,2 ori</t>
  </si>
  <si>
    <t>de 6,9 ori</t>
  </si>
  <si>
    <t>de 24,1 ori</t>
  </si>
  <si>
    <t>de 584,3 ori</t>
  </si>
  <si>
    <t>de 6,4 ori</t>
  </si>
  <si>
    <t>de 12,2 ori</t>
  </si>
  <si>
    <t>de 6,7 ori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</si>
  <si>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</si>
  <si>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</si>
  <si>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</si>
  <si>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</si>
  <si>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</si>
  <si>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Trinidad Tobago</t>
  </si>
  <si>
    <t>Honduras</t>
  </si>
  <si>
    <t>Nepal</t>
  </si>
  <si>
    <t>El Salvador</t>
  </si>
  <si>
    <t>Statul Palestina</t>
  </si>
  <si>
    <t>Jamaica</t>
  </si>
  <si>
    <t>Kuwait</t>
  </si>
  <si>
    <t>Libia</t>
  </si>
  <si>
    <t>Algeria</t>
  </si>
  <si>
    <t>BALANŢA COMERCIALĂ – total,  mii dolari SUA</t>
  </si>
  <si>
    <t>de 116,1 ori</t>
  </si>
  <si>
    <t>de 3,1 ori</t>
  </si>
  <si>
    <t>de 2,7 ori</t>
  </si>
  <si>
    <t>de 9,8 ori</t>
  </si>
  <si>
    <t>de 6,6 ori</t>
  </si>
  <si>
    <t>de 7,0 ori</t>
  </si>
  <si>
    <t>de 3,0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</si>
</sst>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24" fillId="0" borderId="0" xfId="0" applyNumberFormat="1" applyFont="1" applyFill="1" applyBorder="1" applyAlignment="1" applyProtection="1">
      <alignment horizontal="right" vertical="top"/>
    </xf>
    <xf numFmtId="0" fontId="2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11" fillId="0" borderId="0" xfId="0" applyFont="1"/>
    <xf numFmtId="0" fontId="26" fillId="0" borderId="5" xfId="0" applyNumberFormat="1" applyFont="1" applyFill="1" applyBorder="1" applyAlignment="1" applyProtection="1">
      <alignment horizontal="left" vertical="top" wrapText="1"/>
    </xf>
    <xf numFmtId="4" fontId="26" fillId="0" borderId="5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0" fontId="3" fillId="0" borderId="0" xfId="0" applyFont="1"/>
    <xf numFmtId="4" fontId="27" fillId="0" borderId="0" xfId="0" applyNumberFormat="1" applyFont="1" applyAlignment="1">
      <alignment horizontal="right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Fill="1" applyAlignment="1" applyProtection="1">
      <alignment horizontal="right" vertical="center"/>
    </xf>
    <xf numFmtId="4" fontId="26" fillId="0" borderId="5" xfId="0" applyNumberFormat="1" applyFont="1" applyFill="1" applyBorder="1" applyAlignment="1" applyProtection="1">
      <alignment horizontal="right" vertical="top" indent="1"/>
    </xf>
    <xf numFmtId="4" fontId="26" fillId="0" borderId="0" xfId="0" applyNumberFormat="1" applyFont="1" applyFill="1" applyAlignment="1" applyProtection="1">
      <alignment horizontal="right" vertical="top" wrapText="1"/>
    </xf>
    <xf numFmtId="4" fontId="28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4" fontId="26" fillId="0" borderId="0" xfId="0" applyNumberFormat="1" applyFont="1" applyFill="1" applyAlignment="1" applyProtection="1">
      <alignment horizontal="right" vertical="top"/>
    </xf>
    <xf numFmtId="4" fontId="26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center"/>
    </xf>
    <xf numFmtId="4" fontId="11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center"/>
    </xf>
    <xf numFmtId="4" fontId="9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3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Border="1" applyAlignment="1">
      <alignment horizontal="right" vertical="top" indent="1"/>
    </xf>
    <xf numFmtId="0" fontId="25" fillId="0" borderId="0" xfId="0" applyFont="1"/>
    <xf numFmtId="0" fontId="25" fillId="0" borderId="0" xfId="0" applyFont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Alignment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0"/>
  <sheetViews>
    <sheetView tabSelected="1" zoomScaleNormal="100" workbookViewId="0">
      <selection activeCell="J13" sqref="J13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5" t="s">
        <v>157</v>
      </c>
      <c r="B1" s="85"/>
      <c r="C1" s="85"/>
      <c r="D1" s="85"/>
      <c r="E1" s="85"/>
      <c r="F1" s="85"/>
      <c r="G1" s="85"/>
    </row>
    <row r="3" spans="1:7" ht="54" customHeight="1" x14ac:dyDescent="0.25">
      <c r="A3" s="86"/>
      <c r="B3" s="89" t="s">
        <v>252</v>
      </c>
      <c r="C3" s="90"/>
      <c r="D3" s="89" t="s">
        <v>109</v>
      </c>
      <c r="E3" s="90"/>
      <c r="F3" s="91" t="s">
        <v>1</v>
      </c>
      <c r="G3" s="92"/>
    </row>
    <row r="4" spans="1:7" ht="24" customHeight="1" x14ac:dyDescent="0.25">
      <c r="A4" s="87"/>
      <c r="B4" s="93" t="s">
        <v>100</v>
      </c>
      <c r="C4" s="95" t="s">
        <v>253</v>
      </c>
      <c r="D4" s="97" t="s">
        <v>254</v>
      </c>
      <c r="E4" s="97"/>
      <c r="F4" s="97" t="s">
        <v>254</v>
      </c>
      <c r="G4" s="89"/>
    </row>
    <row r="5" spans="1:7" ht="29.25" customHeight="1" x14ac:dyDescent="0.25">
      <c r="A5" s="88"/>
      <c r="B5" s="94"/>
      <c r="C5" s="96"/>
      <c r="D5" s="23">
        <v>2019</v>
      </c>
      <c r="E5" s="23">
        <v>2020</v>
      </c>
      <c r="F5" s="23" t="s">
        <v>122</v>
      </c>
      <c r="G5" s="19" t="s">
        <v>141</v>
      </c>
    </row>
    <row r="6" spans="1:7" ht="15.75" customHeight="1" x14ac:dyDescent="0.25">
      <c r="A6" s="43" t="s">
        <v>101</v>
      </c>
      <c r="B6" s="44">
        <f>IF(1544947.98319="","-",1544947.98319)</f>
        <v>1544947.9831900001</v>
      </c>
      <c r="C6" s="44">
        <f>IF(1787183.4192="","-",1544947.98319/1787183.4192*100)</f>
        <v>86.445966686596037</v>
      </c>
      <c r="D6" s="44">
        <v>100</v>
      </c>
      <c r="E6" s="44">
        <v>100</v>
      </c>
      <c r="F6" s="44">
        <f>IF(1752232.13505="","-",(1787183.4192-1752232.13505)/1752232.13505*100)</f>
        <v>1.9946720215242846</v>
      </c>
      <c r="G6" s="44">
        <f>IF(1787183.4192="","-",(1544947.98319-1787183.4192)/1787183.4192*100)</f>
        <v>-13.554033313403954</v>
      </c>
    </row>
    <row r="7" spans="1:7" ht="15.75" customHeight="1" x14ac:dyDescent="0.25">
      <c r="A7" s="35" t="s">
        <v>138</v>
      </c>
      <c r="B7" s="45"/>
      <c r="C7" s="45"/>
      <c r="D7" s="45"/>
      <c r="E7" s="45"/>
      <c r="F7" s="45"/>
      <c r="G7" s="45"/>
    </row>
    <row r="8" spans="1:7" ht="15.75" customHeight="1" x14ac:dyDescent="0.25">
      <c r="A8" s="36" t="s">
        <v>167</v>
      </c>
      <c r="B8" s="46">
        <f>IF(1009126.8335="","-",1009126.8335)</f>
        <v>1009126.8334999999</v>
      </c>
      <c r="C8" s="46">
        <f>IF(1138072.46499="","-",1009126.8335/1138072.46499*100)</f>
        <v>88.669822400884371</v>
      </c>
      <c r="D8" s="46">
        <f>IF(1138072.46499="","-",1138072.46499/1787183.4192*100)</f>
        <v>63.679667837307797</v>
      </c>
      <c r="E8" s="46">
        <f>IF(1009126.8335="","-",1009126.8335/1544947.98319*100)</f>
        <v>65.317851764585654</v>
      </c>
      <c r="F8" s="46">
        <f>IF(1752232.13505="","-",(1138072.46499-1155508.12246)/1752232.13505*100)</f>
        <v>-0.99505408679783458</v>
      </c>
      <c r="G8" s="46">
        <f>IF(1787183.4192="","-",(1009126.8335-1138072.46499)/1787183.4192*100)</f>
        <v>-7.2150194604938882</v>
      </c>
    </row>
    <row r="9" spans="1:7" ht="15.75" customHeight="1" x14ac:dyDescent="0.25">
      <c r="A9" s="47" t="s">
        <v>2</v>
      </c>
      <c r="B9" s="48">
        <f>IF(414095.5031="","-",414095.5031)</f>
        <v>414095.50309999997</v>
      </c>
      <c r="C9" s="48">
        <f>IF(OR(507799.77685="",414095.5031=""),"-",414095.5031/507799.77685*100)</f>
        <v>81.547003755836712</v>
      </c>
      <c r="D9" s="48">
        <f>IF(507799.77685="","-",507799.77685/1787183.4192*100)</f>
        <v>28.413411370910513</v>
      </c>
      <c r="E9" s="48">
        <f>IF(414095.5031="","-",414095.5031/1544947.98319*100)</f>
        <v>26.803200341087074</v>
      </c>
      <c r="F9" s="48">
        <f>IF(OR(1752232.13505="",488303.58459="",507799.77685=""),"-",(507799.77685-488303.58459)/1752232.13505*100)</f>
        <v>1.1126489390313412</v>
      </c>
      <c r="G9" s="48">
        <f>IF(OR(1787183.4192="",414095.5031="",507799.77685=""),"-",(414095.5031-507799.77685)/1787183.4192*100)</f>
        <v>-5.2431257331127812</v>
      </c>
    </row>
    <row r="10" spans="1:7" ht="15.75" customHeight="1" x14ac:dyDescent="0.25">
      <c r="A10" s="47" t="s">
        <v>3</v>
      </c>
      <c r="B10" s="48">
        <f>IF(138598.84888="","-",138598.84888)</f>
        <v>138598.84888000001</v>
      </c>
      <c r="C10" s="48">
        <f>IF(OR(185030.51636="",138598.84888=""),"-",138598.84888/185030.51636*100)</f>
        <v>74.90594070998462</v>
      </c>
      <c r="D10" s="48">
        <f>IF(185030.51636="","-",185030.51636/1787183.4192*100)</f>
        <v>10.353191193035215</v>
      </c>
      <c r="E10" s="48">
        <f>IF(138598.84888="","-",138598.84888/1544947.98319*100)</f>
        <v>8.9711013178464345</v>
      </c>
      <c r="F10" s="48">
        <f>IF(OR(1752232.13505="",206057.59192="",185030.51636=""),"-",(185030.51636-206057.59192)/1752232.13505*100)</f>
        <v>-1.2000165468600992</v>
      </c>
      <c r="G10" s="48">
        <f>IF(OR(1787183.4192="",138598.84888="",185030.51636=""),"-",(138598.84888-185030.51636)/1787183.4192*100)</f>
        <v>-2.5980359363889072</v>
      </c>
    </row>
    <row r="11" spans="1:7" ht="13.5" customHeight="1" x14ac:dyDescent="0.25">
      <c r="A11" s="47" t="s">
        <v>4</v>
      </c>
      <c r="B11" s="48">
        <f>IF(138075.88851="","-",138075.88851)</f>
        <v>138075.88850999999</v>
      </c>
      <c r="C11" s="48">
        <f>IF(OR(160901.24785="",138075.88851=""),"-",138075.88851/160901.24785*100)</f>
        <v>85.814056979049084</v>
      </c>
      <c r="D11" s="48">
        <f>IF(160901.24785="","-",160901.24785/1787183.4192*100)</f>
        <v>9.0030629269168418</v>
      </c>
      <c r="E11" s="48">
        <f>IF(138075.88851="","-",138075.88851/1544947.98319*100)</f>
        <v>8.9372516105624253</v>
      </c>
      <c r="F11" s="48">
        <f>IF(OR(1752232.13505="",147326.28363="",160901.24785=""),"-",(160901.24785-147326.28363)/1752232.13505*100)</f>
        <v>0.77472407613461913</v>
      </c>
      <c r="G11" s="48">
        <f>IF(OR(1787183.4192="",138075.88851="",160901.24785=""),"-",(138075.88851-160901.24785)/1787183.4192*100)</f>
        <v>-1.2771693769527799</v>
      </c>
    </row>
    <row r="12" spans="1:7" ht="15.75" customHeight="1" x14ac:dyDescent="0.25">
      <c r="A12" s="47" t="s">
        <v>5</v>
      </c>
      <c r="B12" s="48">
        <f>IF(63201.59528="","-",63201.59528)</f>
        <v>63201.595280000001</v>
      </c>
      <c r="C12" s="48">
        <f>IF(OR(69163.57169="",63201.59528=""),"-",63201.59528/69163.57169*100)</f>
        <v>91.379889348800063</v>
      </c>
      <c r="D12" s="48">
        <f>IF(69163.57169="","-",69163.57169/1787183.4192*100)</f>
        <v>3.8699761281894505</v>
      </c>
      <c r="E12" s="48">
        <f>IF(63201.59528="","-",63201.59528/1544947.98319*100)</f>
        <v>4.0908558713738508</v>
      </c>
      <c r="F12" s="48">
        <f>IF(OR(1752232.13505="",60837.52435="",69163.57169=""),"-",(69163.57169-60837.52435)/1752232.13505*100)</f>
        <v>0.47516805413241742</v>
      </c>
      <c r="G12" s="48">
        <f>IF(OR(1787183.4192="",63201.59528="",69163.57169=""),"-",(63201.59528-69163.57169)/1787183.4192*100)</f>
        <v>-0.33359622442495385</v>
      </c>
    </row>
    <row r="13" spans="1:7" s="14" customFormat="1" x14ac:dyDescent="0.25">
      <c r="A13" s="47" t="s">
        <v>7</v>
      </c>
      <c r="B13" s="48">
        <f>IF(51162.64291="","-",51162.64291)</f>
        <v>51162.642910000002</v>
      </c>
      <c r="C13" s="48">
        <f>IF(OR(35346.32434="",51162.64291=""),"-",51162.64291/35346.32434*100)</f>
        <v>144.74671373991021</v>
      </c>
      <c r="D13" s="48">
        <f>IF(35346.32434="","-",35346.32434/1787183.4192*100)</f>
        <v>1.977767024932569</v>
      </c>
      <c r="E13" s="48">
        <f>IF(51162.64291="","-",51162.64291/1544947.98319*100)</f>
        <v>3.3116094177073627</v>
      </c>
      <c r="F13" s="48">
        <f>IF(OR(1752232.13505="",26519.42261="",35346.32434=""),"-",(35346.32434-26519.42261)/1752232.13505*100)</f>
        <v>0.50375184619862723</v>
      </c>
      <c r="G13" s="48">
        <f>IF(OR(1787183.4192="",51162.64291="",35346.32434=""),"-",(51162.64291-35346.32434)/1787183.4192*100)</f>
        <v>0.88498574908891492</v>
      </c>
    </row>
    <row r="14" spans="1:7" s="14" customFormat="1" x14ac:dyDescent="0.25">
      <c r="A14" s="47" t="s">
        <v>10</v>
      </c>
      <c r="B14" s="48">
        <f>IF(40797.84012="","-",40797.84012)</f>
        <v>40797.840120000001</v>
      </c>
      <c r="C14" s="48" t="s">
        <v>104</v>
      </c>
      <c r="D14" s="48">
        <f>IF(23820.61778="","-",23820.61778/1787183.4192*100)</f>
        <v>1.3328580337133424</v>
      </c>
      <c r="E14" s="48">
        <f>IF(40797.84012="","-",40797.84012/1544947.98319*100)</f>
        <v>2.6407258085000924</v>
      </c>
      <c r="F14" s="48">
        <f>IF(OR(1752232.13505="",25070.94463="",23820.61778=""),"-",(23820.61778-25070.94463)/1752232.13505*100)</f>
        <v>-7.1356233286083592E-2</v>
      </c>
      <c r="G14" s="48">
        <f>IF(OR(1787183.4192="",40797.84012="",23820.61778=""),"-",(40797.84012-23820.61778)/1787183.4192*100)</f>
        <v>0.94994291898699146</v>
      </c>
    </row>
    <row r="15" spans="1:7" s="14" customFormat="1" x14ac:dyDescent="0.25">
      <c r="A15" s="47" t="s">
        <v>6</v>
      </c>
      <c r="B15" s="48">
        <f>IF(23259.39528="","-",23259.39528)</f>
        <v>23259.395280000001</v>
      </c>
      <c r="C15" s="48">
        <f>IF(OR(26849.87302="",23259.39528=""),"-",23259.39528/26849.87302*100)</f>
        <v>86.627580185107334</v>
      </c>
      <c r="D15" s="48">
        <f>IF(26849.87302="","-",26849.87302/1787183.4192*100)</f>
        <v>1.5023568779537388</v>
      </c>
      <c r="E15" s="48">
        <f>IF(23259.39528="","-",23259.39528/1544947.98319*100)</f>
        <v>1.5055131650435329</v>
      </c>
      <c r="F15" s="48">
        <f>IF(OR(1752232.13505="",34274.24713="",26849.87302=""),"-",(26849.87302-34274.24713)/1752232.13505*100)</f>
        <v>-0.42370950523562623</v>
      </c>
      <c r="G15" s="48">
        <f>IF(OR(1787183.4192="",23259.39528="",26849.87302=""),"-",(23259.39528-26849.87302)/1787183.4192*100)</f>
        <v>-0.20090146883788851</v>
      </c>
    </row>
    <row r="16" spans="1:7" s="14" customFormat="1" x14ac:dyDescent="0.25">
      <c r="A16" s="47" t="s">
        <v>41</v>
      </c>
      <c r="B16" s="48">
        <f>IF(23082.78459="","-",23082.78459)</f>
        <v>23082.784589999999</v>
      </c>
      <c r="C16" s="48">
        <f>IF(OR(21365.10907="",23082.78459=""),"-",23082.78459/21365.10907*100)</f>
        <v>108.03962907173683</v>
      </c>
      <c r="D16" s="48">
        <f>IF(21365.10907="","-",21365.10907/1787183.4192*100)</f>
        <v>1.1954625832173231</v>
      </c>
      <c r="E16" s="48">
        <f>IF(23082.78459="","-",23082.78459/1544947.98319*100)</f>
        <v>1.4940816675483657</v>
      </c>
      <c r="F16" s="48">
        <f>IF(OR(1752232.13505="",19081.05023="",21365.10907=""),"-",(21365.10907-19081.05023)/1752232.13505*100)</f>
        <v>0.13035138406104063</v>
      </c>
      <c r="G16" s="48">
        <f>IF(OR(1787183.4192="",23082.78459="",21365.10907=""),"-",(23082.78459-21365.10907)/1787183.4192*100)</f>
        <v>9.6110757382075918E-2</v>
      </c>
    </row>
    <row r="17" spans="1:7" s="14" customFormat="1" x14ac:dyDescent="0.25">
      <c r="A17" s="47" t="s">
        <v>9</v>
      </c>
      <c r="B17" s="48">
        <f>IF(23080.49045="","-",23080.49045)</f>
        <v>23080.490450000001</v>
      </c>
      <c r="C17" s="48">
        <f>IF(OR(18451.73903="",23080.49045=""),"-",23080.49045/18451.73903*100)</f>
        <v>125.0857190884517</v>
      </c>
      <c r="D17" s="48">
        <f>IF(18451.73903="","-",18451.73903/1787183.4192*100)</f>
        <v>1.0324479754998839</v>
      </c>
      <c r="E17" s="48">
        <f>IF(23080.49045="","-",23080.49045/1544947.98319*100)</f>
        <v>1.4939331745230369</v>
      </c>
      <c r="F17" s="48">
        <f>IF(OR(1752232.13505="",24204.58155="",18451.73903=""),"-",(18451.73903-24204.58155)/1752232.13505*100)</f>
        <v>-0.32831509050231183</v>
      </c>
      <c r="G17" s="48">
        <f>IF(OR(1787183.4192="",23080.49045="",18451.73903=""),"-",(23080.49045-18451.73903)/1787183.4192*100)</f>
        <v>0.25899699886830735</v>
      </c>
    </row>
    <row r="18" spans="1:7" s="14" customFormat="1" x14ac:dyDescent="0.25">
      <c r="A18" s="47" t="s">
        <v>259</v>
      </c>
      <c r="B18" s="48">
        <f>IF(21506.17834="","-",21506.17834)</f>
        <v>21506.178339999999</v>
      </c>
      <c r="C18" s="48">
        <f>IF(OR(23005.98346="",21506.17834=""),"-",21506.17834/23005.98346*100)</f>
        <v>93.480804145549016</v>
      </c>
      <c r="D18" s="48">
        <f>IF(23005.98346="","-",23005.98346/1787183.4192*100)</f>
        <v>1.2872760127943785</v>
      </c>
      <c r="E18" s="48">
        <f>IF(21506.17834="","-",21506.17834/1544947.98319*100)</f>
        <v>1.3920325198000623</v>
      </c>
      <c r="F18" s="48">
        <f>IF(OR(1752232.13505="",36747.47085="",23005.98346=""),"-",(23005.98346-36747.47085)/1752232.13505*100)</f>
        <v>-0.78422756409543215</v>
      </c>
      <c r="G18" s="48">
        <f>IF(OR(1787183.4192="",21506.17834="",23005.98346=""),"-",(21506.17834-23005.98346)/1787183.4192*100)</f>
        <v>-8.3920044461433141E-2</v>
      </c>
    </row>
    <row r="19" spans="1:7" s="16" customFormat="1" x14ac:dyDescent="0.25">
      <c r="A19" s="47" t="s">
        <v>43</v>
      </c>
      <c r="B19" s="48">
        <f>IF(12999.28927="","-",12999.28927)</f>
        <v>12999.289269999999</v>
      </c>
      <c r="C19" s="48" t="s">
        <v>266</v>
      </c>
      <c r="D19" s="48">
        <f>IF(5536.91966="","-",5536.91966/1787183.4192*100)</f>
        <v>0.30981261355247469</v>
      </c>
      <c r="E19" s="48">
        <f>IF(12999.28927="","-",12999.28927/1544947.98319*100)</f>
        <v>0.84140627460862061</v>
      </c>
      <c r="F19" s="48">
        <f>IF(OR(1752232.13505="",5124.84493="",5536.91966=""),"-",(5536.91966-5124.84493)/1752232.13505*100)</f>
        <v>2.3517131192679605E-2</v>
      </c>
      <c r="G19" s="48">
        <f>IF(OR(1787183.4192="",12999.28927="",5536.91966=""),"-",(12999.28927-5536.91966)/1787183.4192*100)</f>
        <v>0.41754917429462246</v>
      </c>
    </row>
    <row r="20" spans="1:7" s="14" customFormat="1" x14ac:dyDescent="0.25">
      <c r="A20" s="47" t="s">
        <v>8</v>
      </c>
      <c r="B20" s="48">
        <f>IF(11920.12224="","-",11920.12224)</f>
        <v>11920.122240000001</v>
      </c>
      <c r="C20" s="48">
        <f>IF(OR(18522.65353="",11920.12224=""),"-",11920.12224/18522.65353*100)</f>
        <v>64.354290386599928</v>
      </c>
      <c r="D20" s="48">
        <f>IF(18522.65353="","-",18522.65353/1787183.4192*100)</f>
        <v>1.0364159230109313</v>
      </c>
      <c r="E20" s="48">
        <f>IF(11920.12224="","-",11920.12224/1544947.98319*100)</f>
        <v>0.77155492415915505</v>
      </c>
      <c r="F20" s="48">
        <f>IF(OR(1752232.13505="",27309.01585="",18522.65353=""),"-",(18522.65353-27309.01585)/1752232.13505*100)</f>
        <v>-0.50143825947749099</v>
      </c>
      <c r="G20" s="48">
        <f>IF(OR(1787183.4192="",11920.12224="",18522.65353=""),"-",(11920.12224-18522.65353)/1787183.4192*100)</f>
        <v>-0.36943781030351669</v>
      </c>
    </row>
    <row r="21" spans="1:7" s="14" customFormat="1" x14ac:dyDescent="0.25">
      <c r="A21" s="47" t="s">
        <v>48</v>
      </c>
      <c r="B21" s="48">
        <f>IF(9994.89822="","-",9994.89822)</f>
        <v>9994.8982199999991</v>
      </c>
      <c r="C21" s="48">
        <f>IF(OR(8273.17087="",9994.89822=""),"-",9994.89822/8273.17087*100)</f>
        <v>120.81097292748166</v>
      </c>
      <c r="D21" s="48">
        <f>IF(8273.17087="","-",8273.17087/1787183.4192*100)</f>
        <v>0.46291672030525738</v>
      </c>
      <c r="E21" s="48">
        <f>IF(9994.89822="","-",9994.89822/1544947.98319*100)</f>
        <v>0.64694075973759246</v>
      </c>
      <c r="F21" s="48">
        <f>IF(OR(1752232.13505="",5883.00819="",8273.17087=""),"-",(8273.17087-5883.00819)/1752232.13505*100)</f>
        <v>0.13640673699502703</v>
      </c>
      <c r="G21" s="48">
        <f>IF(OR(1787183.4192="",9994.89822="",8273.17087=""),"-",(9994.89822-8273.17087)/1787183.4192*100)</f>
        <v>9.6337473339513133E-2</v>
      </c>
    </row>
    <row r="22" spans="1:7" s="14" customFormat="1" x14ac:dyDescent="0.25">
      <c r="A22" s="47" t="s">
        <v>52</v>
      </c>
      <c r="B22" s="48">
        <f>IF(9049.39792="","-",9049.39792)</f>
        <v>9049.3979199999994</v>
      </c>
      <c r="C22" s="48" t="s">
        <v>267</v>
      </c>
      <c r="D22" s="48">
        <f>IF(89.34737="","-",89.34737/1787183.4192*100)</f>
        <v>4.9993396894871993E-3</v>
      </c>
      <c r="E22" s="48">
        <f>IF(9049.39792="","-",9049.39792/1544947.98319*100)</f>
        <v>0.58574126886232458</v>
      </c>
      <c r="F22" s="48">
        <f>IF(OR(1752232.13505="",9350.27607="",89.34737=""),"-",(89.34737-9350.27607)/1752232.13505*100)</f>
        <v>-0.52852179313192083</v>
      </c>
      <c r="G22" s="48">
        <f>IF(OR(1787183.4192="",9049.39792="",89.34737=""),"-",(9049.39792-89.34737)/1787183.4192*100)</f>
        <v>0.50135036246088294</v>
      </c>
    </row>
    <row r="23" spans="1:7" s="14" customFormat="1" x14ac:dyDescent="0.25">
      <c r="A23" s="47" t="s">
        <v>42</v>
      </c>
      <c r="B23" s="48">
        <f>IF(7148.18023="","-",7148.18023)</f>
        <v>7148.1802299999999</v>
      </c>
      <c r="C23" s="48">
        <f>IF(OR(9833.03455="",7148.18023=""),"-",7148.18023/9833.03455*100)</f>
        <v>72.695567107511067</v>
      </c>
      <c r="D23" s="48">
        <f>IF(9833.03455="","-",9833.03455/1787183.4192*100)</f>
        <v>0.55019727938174245</v>
      </c>
      <c r="E23" s="48">
        <f>IF(7148.18023="","-",7148.18023/1544947.98319*100)</f>
        <v>0.46268096452286223</v>
      </c>
      <c r="F23" s="48">
        <f>IF(OR(1752232.13505="",10174.91529="",9833.03455=""),"-",(9833.03455-10174.91529)/1752232.13505*100)</f>
        <v>-1.9511155694576104E-2</v>
      </c>
      <c r="G23" s="48">
        <f>IF(OR(1787183.4192="",7148.18023="",9833.03455=""),"-",(7148.18023-9833.03455)/1787183.4192*100)</f>
        <v>-0.15022824692508766</v>
      </c>
    </row>
    <row r="24" spans="1:7" s="14" customFormat="1" x14ac:dyDescent="0.25">
      <c r="A24" s="47" t="s">
        <v>45</v>
      </c>
      <c r="B24" s="48">
        <f>IF(5598.71153="","-",5598.71153)</f>
        <v>5598.7115299999996</v>
      </c>
      <c r="C24" s="48">
        <f>IF(OR(8268.17912="",5598.71153=""),"-",5598.71153/8268.17912*100)</f>
        <v>67.713960338101614</v>
      </c>
      <c r="D24" s="48">
        <f>IF(8268.17912="","-",8268.17912/1787183.4192*100)</f>
        <v>0.46263741209624137</v>
      </c>
      <c r="E24" s="48">
        <f>IF(5598.71153="","-",5598.71153/1544947.98319*100)</f>
        <v>0.36238835164144562</v>
      </c>
      <c r="F24" s="48">
        <f>IF(OR(1752232.13505="",13083.51311="",8268.17912=""),"-",(8268.17912-13083.51311)/1752232.13505*100)</f>
        <v>-0.27481141874290493</v>
      </c>
      <c r="G24" s="48">
        <f>IF(OR(1787183.4192="",5598.71153="",8268.17912=""),"-",(5598.71153-8268.17912)/1787183.4192*100)</f>
        <v>-0.14936729836017279</v>
      </c>
    </row>
    <row r="25" spans="1:7" s="14" customFormat="1" x14ac:dyDescent="0.25">
      <c r="A25" s="47" t="s">
        <v>46</v>
      </c>
      <c r="B25" s="48">
        <f>IF(4715.46279="","-",4715.46279)</f>
        <v>4715.4627899999996</v>
      </c>
      <c r="C25" s="48">
        <f>IF(OR(5210.95855="",4715.46279=""),"-",4715.46279/5210.95855*100)</f>
        <v>90.491274201365485</v>
      </c>
      <c r="D25" s="48">
        <f>IF(5210.95855="","-",5210.95855/1787183.4192*100)</f>
        <v>0.29157379673612854</v>
      </c>
      <c r="E25" s="48">
        <f>IF(4715.46279="","-",4715.46279/1544947.98319*100)</f>
        <v>0.30521822361057993</v>
      </c>
      <c r="F25" s="48">
        <f>IF(OR(1752232.13505="",4016.21897="",5210.95855=""),"-",(5210.95855-4016.21897)/1752232.13505*100)</f>
        <v>6.818386423245848E-2</v>
      </c>
      <c r="G25" s="48">
        <f>IF(OR(1787183.4192="",4715.46279="",5210.95855=""),"-",(4715.46279-5210.95855)/1787183.4192*100)</f>
        <v>-2.7724952832306398E-2</v>
      </c>
    </row>
    <row r="26" spans="1:7" s="9" customFormat="1" x14ac:dyDescent="0.25">
      <c r="A26" s="47" t="s">
        <v>44</v>
      </c>
      <c r="B26" s="48">
        <f>IF(4339.30666="","-",4339.30666)</f>
        <v>4339.3066600000002</v>
      </c>
      <c r="C26" s="48">
        <f>IF(OR(5338.40937="",4339.30666=""),"-",4339.30666/5338.40937*100)</f>
        <v>81.284636663223893</v>
      </c>
      <c r="D26" s="48">
        <f>IF(5338.40937="","-",5338.40937/1787183.4192*100)</f>
        <v>0.29870517556556347</v>
      </c>
      <c r="E26" s="48">
        <f>IF(4339.30666="","-",4339.30666/1544947.98319*100)</f>
        <v>0.28087072880215835</v>
      </c>
      <c r="F26" s="48">
        <f>IF(OR(1752232.13505="",6469.89828="",5338.40937=""),"-",(5338.40937-6469.89828)/1752232.13505*100)</f>
        <v>-6.4574144450770102E-2</v>
      </c>
      <c r="G26" s="48">
        <f>IF(OR(1787183.4192="",4339.30666="",5338.40937=""),"-",(4339.30666-5338.40937)/1787183.4192*100)</f>
        <v>-5.5903758912850161E-2</v>
      </c>
    </row>
    <row r="27" spans="1:7" s="9" customFormat="1" x14ac:dyDescent="0.25">
      <c r="A27" s="47" t="s">
        <v>47</v>
      </c>
      <c r="B27" s="48">
        <f>IF(3594.55751="","-",3594.55751)</f>
        <v>3594.5575100000001</v>
      </c>
      <c r="C27" s="48" t="s">
        <v>128</v>
      </c>
      <c r="D27" s="48">
        <f>IF(2377.59671="","-",2377.59671/1787183.4192*100)</f>
        <v>0.13303596510895829</v>
      </c>
      <c r="E27" s="48">
        <f>IF(3594.55751="","-",3594.55751/1544947.98319*100)</f>
        <v>0.2326652773498547</v>
      </c>
      <c r="F27" s="48">
        <f>IF(OR(1752232.13505="",2221.26301="",2377.59671=""),"-",(2377.59671-2221.26301)/1752232.13505*100)</f>
        <v>8.9219742563127168E-3</v>
      </c>
      <c r="G27" s="48">
        <f>IF(OR(1787183.4192="",3594.55751="",2377.59671=""),"-",(3594.55751-2377.59671)/1787183.4192*100)</f>
        <v>6.8093783040173383E-2</v>
      </c>
    </row>
    <row r="28" spans="1:7" s="14" customFormat="1" x14ac:dyDescent="0.25">
      <c r="A28" s="47" t="s">
        <v>50</v>
      </c>
      <c r="B28" s="48">
        <f>IF(919.28934="","-",919.28934)</f>
        <v>919.28934000000004</v>
      </c>
      <c r="C28" s="48">
        <f>IF(OR(716.98941="",919.28934=""),"-",919.28934/716.98941*100)</f>
        <v>128.21519079340376</v>
      </c>
      <c r="D28" s="48">
        <f>IF(716.98941="","-",716.98941/1787183.4192*100)</f>
        <v>4.0118400959703801E-2</v>
      </c>
      <c r="E28" s="48">
        <f>IF(919.28934="","-",919.28934/1544947.98319*100)</f>
        <v>5.9502931490408917E-2</v>
      </c>
      <c r="F28" s="48">
        <f>IF(OR(1752232.13505="",158.48512="",716.98941=""),"-",(716.98941-158.48512)/1752232.13505*100)</f>
        <v>3.1873875545837031E-2</v>
      </c>
      <c r="G28" s="48">
        <f>IF(OR(1787183.4192="",919.28934="",716.98941=""),"-",(919.28934-716.98941)/1787183.4192*100)</f>
        <v>1.1319483374043158E-2</v>
      </c>
    </row>
    <row r="29" spans="1:7" s="14" customFormat="1" x14ac:dyDescent="0.25">
      <c r="A29" s="47" t="s">
        <v>260</v>
      </c>
      <c r="B29" s="48">
        <f>IF(806.90419="","-",806.90419)</f>
        <v>806.90418999999997</v>
      </c>
      <c r="C29" s="48">
        <f>IF(OR(549.53786="",806.90419=""),"-",806.90419/549.53786*100)</f>
        <v>146.83323001621761</v>
      </c>
      <c r="D29" s="48">
        <f>IF(549.53786="","-",549.53786/1787183.4192*100)</f>
        <v>3.0748822649999216E-2</v>
      </c>
      <c r="E29" s="48">
        <f>IF(806.90419="","-",806.90419/1544947.98319*100)</f>
        <v>5.2228566837176534E-2</v>
      </c>
      <c r="F29" s="48">
        <f>IF(OR(1752232.13505="",463.79563="",549.53786=""),"-",(549.53786-463.79563)/1752232.13505*100)</f>
        <v>4.8933145491909013E-3</v>
      </c>
      <c r="G29" s="48">
        <f>IF(OR(1787183.4192="",806.90419="",549.53786=""),"-",(806.90419-549.53786)/1787183.4192*100)</f>
        <v>1.4400666838952953E-2</v>
      </c>
    </row>
    <row r="30" spans="1:7" s="9" customFormat="1" x14ac:dyDescent="0.25">
      <c r="A30" s="47" t="s">
        <v>49</v>
      </c>
      <c r="B30" s="48">
        <f>IF(484.77653="","-",484.77653)</f>
        <v>484.77652999999998</v>
      </c>
      <c r="C30" s="48">
        <f>IF(OR(494.45881="",484.77653=""),"-",484.77653/494.45881*100)</f>
        <v>98.041842959578361</v>
      </c>
      <c r="D30" s="48">
        <f>IF(494.45881="","-",494.45881/1787183.4192*100)</f>
        <v>2.7666931367421453E-2</v>
      </c>
      <c r="E30" s="48">
        <f>IF(484.77653="","-",484.77653/1544947.98319*100)</f>
        <v>3.1378178118271406E-2</v>
      </c>
      <c r="F30" s="48">
        <f>IF(OR(1752232.13505="",1261.11038="",494.45881=""),"-",(494.45881-1261.11038)/1752232.13505*100)</f>
        <v>-4.3752854126152846E-2</v>
      </c>
      <c r="G30" s="48">
        <f>IF(OR(1787183.4192="",484.77653="",494.45881=""),"-",(484.77653-494.45881)/1787183.4192*100)</f>
        <v>-5.4176196443978561E-4</v>
      </c>
    </row>
    <row r="31" spans="1:7" s="9" customFormat="1" x14ac:dyDescent="0.25">
      <c r="A31" s="47" t="s">
        <v>51</v>
      </c>
      <c r="B31" s="48">
        <f>IF(311.10724="","-",311.10724)</f>
        <v>311.10723999999999</v>
      </c>
      <c r="C31" s="48">
        <f>IF(OR(519.87144="",311.10724=""),"-",311.10724/519.87144*100)</f>
        <v>59.843110442843326</v>
      </c>
      <c r="D31" s="48">
        <f>IF(519.87144="","-",519.87144/1787183.4192*100)</f>
        <v>2.9088868798520465E-2</v>
      </c>
      <c r="E31" s="48">
        <f>IF(311.10724="","-",311.10724/1544947.98319*100)</f>
        <v>2.0137068910088964E-2</v>
      </c>
      <c r="F31" s="48">
        <f>IF(OR(1752232.13505="",647.87727="",519.87144=""),"-",(519.87144-647.87727)/1752232.13505*100)</f>
        <v>-7.3053009038866476E-3</v>
      </c>
      <c r="G31" s="48">
        <f>IF(OR(1787183.4192="",311.10724="",519.87144=""),"-",(311.10724-519.87144)/1787183.4192*100)</f>
        <v>-1.168118491684807E-2</v>
      </c>
    </row>
    <row r="32" spans="1:7" s="9" customFormat="1" x14ac:dyDescent="0.25">
      <c r="A32" s="47" t="s">
        <v>54</v>
      </c>
      <c r="B32" s="48">
        <f>IF(211.70042="","-",211.70042)</f>
        <v>211.70042000000001</v>
      </c>
      <c r="C32" s="48" t="s">
        <v>268</v>
      </c>
      <c r="D32" s="48">
        <f>IF(39.83452="","-",39.83452/1787183.4192*100)</f>
        <v>2.2288993716062556E-3</v>
      </c>
      <c r="E32" s="48">
        <f>IF(211.70042="","-",211.70042/1544947.98319*100)</f>
        <v>1.3702753898735293E-2</v>
      </c>
      <c r="F32" s="48">
        <f>IF(OR(1752232.13505="",316.83077="",39.83452=""),"-",(39.83452-316.83077)/1752232.13505*100)</f>
        <v>-1.5808193701007309E-2</v>
      </c>
      <c r="G32" s="48">
        <f>IF(OR(1787183.4192="",211.70042="",39.83452=""),"-",(211.70042-39.83452)/1787183.4192*100)</f>
        <v>9.616578698840696E-3</v>
      </c>
    </row>
    <row r="33" spans="1:7" s="9" customFormat="1" x14ac:dyDescent="0.25">
      <c r="A33" s="47" t="s">
        <v>53</v>
      </c>
      <c r="B33" s="48">
        <f>IF(140.88572="","-",140.88572)</f>
        <v>140.88571999999999</v>
      </c>
      <c r="C33" s="48" t="s">
        <v>269</v>
      </c>
      <c r="D33" s="48">
        <f>IF(43.96991="","-",43.96991/1787183.4192*100)</f>
        <v>2.4602908424297227E-3</v>
      </c>
      <c r="E33" s="48">
        <f>IF(140.88572="","-",140.88572/1544947.98319*100)</f>
        <v>9.1191238496651471E-3</v>
      </c>
      <c r="F33" s="48">
        <f>IF(OR(1752232.13505="",2.92765="",43.96991=""),"-",(43.96991-2.92765)/1752232.13505*100)</f>
        <v>2.3422844027928334E-3</v>
      </c>
      <c r="G33" s="48">
        <f>IF(OR(1787183.4192="",140.88572="",43.96991=""),"-",(140.88572-43.96991)/1787183.4192*100)</f>
        <v>5.4228239227612461E-3</v>
      </c>
    </row>
    <row r="34" spans="1:7" s="9" customFormat="1" x14ac:dyDescent="0.25">
      <c r="A34" s="47" t="s">
        <v>55</v>
      </c>
      <c r="B34" s="48">
        <f>IF(28.70659="","-",28.70659)</f>
        <v>28.706589999999998</v>
      </c>
      <c r="C34" s="48">
        <f>IF(OR(61.68467="",28.70659=""),"-",28.70659/61.68467*100)</f>
        <v>46.537640551534118</v>
      </c>
      <c r="D34" s="48">
        <f>IF(61.68467="","-",61.68467/1787183.4192*100)</f>
        <v>3.4515019184551306E-3</v>
      </c>
      <c r="E34" s="48">
        <f>IF(28.70659="","-",28.70659/1544947.98319*100)</f>
        <v>1.8580942732276844E-3</v>
      </c>
      <c r="F34" s="48">
        <f>IF(OR(1752232.13505="",27.75621="",61.68467=""),"-",(61.68467-27.75621)/1752232.13505*100)</f>
        <v>1.9362993818756698E-3</v>
      </c>
      <c r="G34" s="48">
        <f>IF(OR(1787183.4192="",28.70659="",61.68467=""),"-",(28.70659-61.68467)/1787183.4192*100)</f>
        <v>-1.8452543620151778E-3</v>
      </c>
    </row>
    <row r="35" spans="1:7" s="9" customFormat="1" x14ac:dyDescent="0.25">
      <c r="A35" s="47" t="s">
        <v>56</v>
      </c>
      <c r="B35" s="48">
        <f>IF(2.36964="","-",2.36964)</f>
        <v>2.36964</v>
      </c>
      <c r="C35" s="48">
        <f>IF(OR(461.08919="",2.36964=""),"-",2.36964/461.08919*100)</f>
        <v>0.51392226306585065</v>
      </c>
      <c r="D35" s="48">
        <f>IF(461.08919="","-",461.08919/1787183.4192*100)</f>
        <v>2.579976878961859E-2</v>
      </c>
      <c r="E35" s="48">
        <f>IF(2.36964="","-",2.36964/1544947.98319*100)</f>
        <v>1.5337992125192334E-4</v>
      </c>
      <c r="F35" s="48">
        <f>IF(OR(1752232.13505="",573.68424="",461.08919=""),"-",(461.08919-573.68424)/1752232.13505*100)</f>
        <v>-6.4258067037896872E-3</v>
      </c>
      <c r="G35" s="48">
        <f>IF(OR(1787183.4192="",2.36964="",461.08919=""),"-",(2.36964-461.08919)/1787183.4192*100)</f>
        <v>-2.5667178033989223E-2</v>
      </c>
    </row>
    <row r="36" spans="1:7" s="9" customFormat="1" x14ac:dyDescent="0.25">
      <c r="A36" s="36" t="s">
        <v>261</v>
      </c>
      <c r="B36" s="46">
        <f>IF(247037.08184="","-",247037.08184)</f>
        <v>247037.08184</v>
      </c>
      <c r="C36" s="46">
        <f>IF(261575.49994="","-",247037.08184/261575.49994*100)</f>
        <v>94.441980191824229</v>
      </c>
      <c r="D36" s="46">
        <f>IF(261575.49994="","-",261575.49994/1787183.4192*100)</f>
        <v>14.636186590019367</v>
      </c>
      <c r="E36" s="46">
        <f>IF(247037.08184="","-",247037.08184/1544947.98319*100)</f>
        <v>15.989993483788314</v>
      </c>
      <c r="F36" s="46">
        <f>IF(1752232.13505="","-",(261575.49994-277337.18336)/1752232.13505*100)</f>
        <v>-0.8995202807161311</v>
      </c>
      <c r="G36" s="46">
        <f>IF(1787183.4192="","-",(247037.08184-261575.49994)/1787183.4192*100)</f>
        <v>-0.8134821498348429</v>
      </c>
    </row>
    <row r="37" spans="1:7" s="9" customFormat="1" x14ac:dyDescent="0.25">
      <c r="A37" s="47" t="s">
        <v>262</v>
      </c>
      <c r="B37" s="48">
        <f>IF(150614.68187="","-",150614.68187)</f>
        <v>150614.68187</v>
      </c>
      <c r="C37" s="48">
        <f>IF(OR(147796.11404="",150614.68187=""),"-",150614.68187/147796.11404*100)</f>
        <v>101.907064910541</v>
      </c>
      <c r="D37" s="48">
        <f>IF(147796.11404="","-",147796.11404/1787183.4192*100)</f>
        <v>8.2697787172935069</v>
      </c>
      <c r="E37" s="48">
        <f>IF(150614.68187="","-",150614.68187/1544947.98319*100)</f>
        <v>9.7488513211306724</v>
      </c>
      <c r="F37" s="48">
        <f>IF(OR(1752232.13505="",144095.94283="",147796.11404=""),"-",(147796.11404-144095.94283)/1752232.13505*100)</f>
        <v>0.21116900757526552</v>
      </c>
      <c r="G37" s="48">
        <f>IF(OR(1787183.4192="",150614.68187="",147796.11404=""),"-",(150614.68187-147796.11404)/1787183.4192*100)</f>
        <v>0.15771004809689287</v>
      </c>
    </row>
    <row r="38" spans="1:7" s="9" customFormat="1" ht="14.25" customHeight="1" x14ac:dyDescent="0.25">
      <c r="A38" s="47" t="s">
        <v>11</v>
      </c>
      <c r="B38" s="48">
        <f>IF(42482.22502="","-",42482.22502)</f>
        <v>42482.225019999998</v>
      </c>
      <c r="C38" s="48">
        <f>IF(OR(53744.81118="",42482.22502=""),"-",42482.22502/53744.81118*100)</f>
        <v>79.044328349615384</v>
      </c>
      <c r="D38" s="48">
        <f>IF(53744.81118="","-",53744.81118/1787183.4192*100)</f>
        <v>3.0072353292119218</v>
      </c>
      <c r="E38" s="48">
        <f>IF(42482.22502="","-",42482.22502/1544947.98319*100)</f>
        <v>2.7497511555232386</v>
      </c>
      <c r="F38" s="48">
        <f>IF(OR(1752232.13505="",62373.84694="",53744.81118=""),"-",(53744.81118-62373.84694)/1752232.13505*100)</f>
        <v>-0.49245962263748677</v>
      </c>
      <c r="G38" s="48">
        <f>IF(OR(1787183.4192="",42482.22502="",53744.81118=""),"-",(42482.22502-53744.81118)/1787183.4192*100)</f>
        <v>-0.63018636134401307</v>
      </c>
    </row>
    <row r="39" spans="1:7" s="15" customFormat="1" ht="14.25" customHeight="1" x14ac:dyDescent="0.2">
      <c r="A39" s="47" t="s">
        <v>12</v>
      </c>
      <c r="B39" s="48">
        <f>IF(38866.65639="","-",38866.65639)</f>
        <v>38866.656389999996</v>
      </c>
      <c r="C39" s="48">
        <f>IF(OR(46509.82247="",38866.65639=""),"-",38866.65639/46509.82247*100)</f>
        <v>83.566555032692207</v>
      </c>
      <c r="D39" s="48">
        <f>IF(46509.82247="","-",46509.82247/1787183.4192*100)</f>
        <v>2.6024090180301287</v>
      </c>
      <c r="E39" s="48">
        <f>IF(38866.65639="","-",38866.65639/1544947.98319*100)</f>
        <v>2.5157258893434289</v>
      </c>
      <c r="F39" s="48">
        <f>IF(OR(1752232.13505="",52659.7922="",46509.82247=""),"-",(46509.82247-52659.7922)/1752232.13505*100)</f>
        <v>-0.35097916577271965</v>
      </c>
      <c r="G39" s="48">
        <f>IF(OR(1787183.4192="",38866.65639="",46509.82247=""),"-",(38866.65639-46509.82247)/1787183.4192*100)</f>
        <v>-0.42766545380223631</v>
      </c>
    </row>
    <row r="40" spans="1:7" s="15" customFormat="1" ht="14.25" customHeight="1" x14ac:dyDescent="0.2">
      <c r="A40" s="47" t="s">
        <v>13</v>
      </c>
      <c r="B40" s="48">
        <f>IF(9763.12026="","-",9763.12026)</f>
        <v>9763.1202599999997</v>
      </c>
      <c r="C40" s="48" t="s">
        <v>104</v>
      </c>
      <c r="D40" s="48">
        <f>IF(5650.3732="","-",5650.3732/1787183.4192*100)</f>
        <v>0.31616078905484069</v>
      </c>
      <c r="E40" s="48">
        <f>IF(9763.12026="","-",9763.12026/1544947.98319*100)</f>
        <v>0.63193844493334739</v>
      </c>
      <c r="F40" s="48">
        <f>IF(OR(1752232.13505="",11027.30969="",5650.3732=""),"-",(5650.3732-11027.30969)/1752232.13505*100)</f>
        <v>-0.30686210933156804</v>
      </c>
      <c r="G40" s="48">
        <f>IF(OR(1787183.4192="",9763.12026="",5650.3732=""),"-",(9763.12026-5650.3732)/1787183.4192*100)</f>
        <v>0.23012450853203392</v>
      </c>
    </row>
    <row r="41" spans="1:7" s="15" customFormat="1" ht="14.25" customHeight="1" x14ac:dyDescent="0.2">
      <c r="A41" s="47" t="s">
        <v>15</v>
      </c>
      <c r="B41" s="48">
        <f>IF(2161.97109="","-",2161.97109)</f>
        <v>2161.97109</v>
      </c>
      <c r="C41" s="48">
        <f>IF(OR(1893.57535="",2161.97109=""),"-",2161.97109/1893.57535*100)</f>
        <v>114.17401953399953</v>
      </c>
      <c r="D41" s="48">
        <f>IF(1893.57535="","-",1893.57535/1787183.4192*100)</f>
        <v>0.10595305046236522</v>
      </c>
      <c r="E41" s="48">
        <f>IF(2161.97109="","-",2161.97109/1544947.98319*100)</f>
        <v>0.13993811529731726</v>
      </c>
      <c r="F41" s="48">
        <f>IF(OR(1752232.13505="",2085.31489="",1893.57535=""),"-",(1893.57535-2085.31489)/1752232.13505*100)</f>
        <v>-1.0942587809264709E-2</v>
      </c>
      <c r="G41" s="48">
        <f>IF(OR(1787183.4192="",2161.97109="",1893.57535=""),"-",(2161.97109-1893.57535)/1787183.4192*100)</f>
        <v>1.5017806069404022E-2</v>
      </c>
    </row>
    <row r="42" spans="1:7" s="13" customFormat="1" ht="14.25" customHeight="1" x14ac:dyDescent="0.2">
      <c r="A42" s="47" t="s">
        <v>14</v>
      </c>
      <c r="B42" s="48">
        <f>IF(1473.12545="","-",1473.12545)</f>
        <v>1473.12545</v>
      </c>
      <c r="C42" s="48">
        <f>IF(OR(3164.29303="",1473.12545=""),"-",1473.12545/3164.29303*100)</f>
        <v>46.554646994877089</v>
      </c>
      <c r="D42" s="48">
        <f>IF(3164.29303="","-",3164.29303/1787183.4192*100)</f>
        <v>0.17705474413009259</v>
      </c>
      <c r="E42" s="48">
        <f>IF(1473.12545="","-",1473.12545/1544947.98319*100)</f>
        <v>9.5351135832955278E-2</v>
      </c>
      <c r="F42" s="48">
        <f>IF(OR(1752232.13505="",2693.29861="",3164.29303=""),"-",(3164.29303-2693.29861)/1752232.13505*100)</f>
        <v>2.6879681668808122E-2</v>
      </c>
      <c r="G42" s="48">
        <f>IF(OR(1787183.4192="",1473.12545="",3164.29303=""),"-",(1473.12545-3164.29303)/1787183.4192*100)</f>
        <v>-9.4627533012645121E-2</v>
      </c>
    </row>
    <row r="43" spans="1:7" s="15" customFormat="1" ht="14.25" customHeight="1" x14ac:dyDescent="0.2">
      <c r="A43" s="47" t="s">
        <v>17</v>
      </c>
      <c r="B43" s="48">
        <f>IF(780.72652="","-",780.72652)</f>
        <v>780.72652000000005</v>
      </c>
      <c r="C43" s="48">
        <f>IF(OR(1720.98111="",780.72652=""),"-",780.72652/1720.98111*100)</f>
        <v>45.365199853936808</v>
      </c>
      <c r="D43" s="48">
        <f>IF(1720.98111="","-",1720.98111/1787183.4192*100)</f>
        <v>9.6295718252039614E-2</v>
      </c>
      <c r="E43" s="48">
        <f>IF(780.72652="","-",780.72652/1544947.98319*100)</f>
        <v>5.0534162217420436E-2</v>
      </c>
      <c r="F43" s="48">
        <f>IF(OR(1752232.13505="",1257.03246="",1720.98111=""),"-",(1720.98111-1257.03246)/1752232.13505*100)</f>
        <v>2.6477579124341382E-2</v>
      </c>
      <c r="G43" s="48">
        <f>IF(OR(1787183.4192="",780.72652="",1720.98111=""),"-",(780.72652-1720.98111)/1787183.4192*100)</f>
        <v>-5.2610973216217938E-2</v>
      </c>
    </row>
    <row r="44" spans="1:7" s="13" customFormat="1" ht="14.25" customHeight="1" x14ac:dyDescent="0.2">
      <c r="A44" s="47" t="s">
        <v>129</v>
      </c>
      <c r="B44" s="48">
        <f>IF(386.90615="","-",386.90615)</f>
        <v>386.90615000000003</v>
      </c>
      <c r="C44" s="48">
        <f>IF(OR(633.41592="",386.90615=""),"-",386.90615/633.41592*100)</f>
        <v>61.082479581504678</v>
      </c>
      <c r="D44" s="48">
        <f>IF(633.41592="","-",633.41592/1787183.4192*100)</f>
        <v>3.5442132754540501E-2</v>
      </c>
      <c r="E44" s="48">
        <f>IF(386.90615="","-",386.90615/1544947.98319*100)</f>
        <v>2.504331240985333E-2</v>
      </c>
      <c r="F44" s="48">
        <f>IF(OR(1752232.13505="",676.74664="",633.41592=""),"-",(633.41592-676.74664)/1752232.13505*100)</f>
        <v>-2.4728869613365174E-3</v>
      </c>
      <c r="G44" s="48">
        <f>IF(OR(1787183.4192="",386.90615="",633.41592=""),"-",(386.90615-633.41592)/1787183.4192*100)</f>
        <v>-1.3793199251498517E-2</v>
      </c>
    </row>
    <row r="45" spans="1:7" s="13" customFormat="1" ht="14.25" customHeight="1" x14ac:dyDescent="0.2">
      <c r="A45" s="47" t="s">
        <v>16</v>
      </c>
      <c r="B45" s="48">
        <f>IF(326.59073="","-",326.59073)</f>
        <v>326.59073000000001</v>
      </c>
      <c r="C45" s="48">
        <f>IF(OR(338.21863="",326.59073=""),"-",326.59073/338.21863*100)</f>
        <v>96.562016704993454</v>
      </c>
      <c r="D45" s="48">
        <f>IF(338.21863="","-",338.21863/1787183.4192*100)</f>
        <v>1.8924673671793429E-2</v>
      </c>
      <c r="E45" s="48">
        <f>IF(326.59073="","-",326.59073/1544947.98319*100)</f>
        <v>2.1139270289583297E-2</v>
      </c>
      <c r="F45" s="48">
        <f>IF(OR(1752232.13505="",213.28975="",338.21863=""),"-",(338.21863-213.28975)/1752232.13505*100)</f>
        <v>7.129699170620174E-3</v>
      </c>
      <c r="G45" s="48">
        <f>IF(OR(1787183.4192="",326.59073="",338.21863=""),"-",(326.59073-338.21863)/1787183.4192*100)</f>
        <v>-6.5062711947076084E-4</v>
      </c>
    </row>
    <row r="46" spans="1:7" s="13" customFormat="1" ht="14.25" customHeight="1" x14ac:dyDescent="0.2">
      <c r="A46" s="47" t="s">
        <v>18</v>
      </c>
      <c r="B46" s="48">
        <f>IF(181.07836="","-",181.07836)</f>
        <v>181.07836</v>
      </c>
      <c r="C46" s="48">
        <f>IF(OR(123.89501="",181.07836=""),"-",181.07836/123.89501*100)</f>
        <v>146.15468371163618</v>
      </c>
      <c r="D46" s="48">
        <f>IF(123.89501="","-",123.89501/1787183.4192*100)</f>
        <v>6.9324171581369824E-3</v>
      </c>
      <c r="E46" s="48">
        <f>IF(181.07836="","-",181.07836/1544947.98319*100)</f>
        <v>1.1720676810497556E-2</v>
      </c>
      <c r="F46" s="48">
        <f>IF(OR(1752232.13505="",254.60935="",123.89501=""),"-",(123.89501-254.60935)/1752232.13505*100)</f>
        <v>-7.4598757427919247E-3</v>
      </c>
      <c r="G46" s="48">
        <f>IF(OR(1787183.4192="",181.07836="",123.89501=""),"-",(181.07836-123.89501)/1787183.4192*100)</f>
        <v>3.1996352129093214E-3</v>
      </c>
    </row>
    <row r="47" spans="1:7" s="13" customFormat="1" ht="14.25" customHeight="1" x14ac:dyDescent="0.2">
      <c r="A47" s="36" t="s">
        <v>170</v>
      </c>
      <c r="B47" s="46">
        <f>IF(288784.06785="","-",288784.06785)</f>
        <v>288784.06784999999</v>
      </c>
      <c r="C47" s="46">
        <f>IF(387535.45427="","-",288784.06785/387535.45427*100)</f>
        <v>74.518102709849387</v>
      </c>
      <c r="D47" s="46">
        <f>IF(387535.45427="","-",387535.45427/1787183.4192*100)</f>
        <v>21.684145572672847</v>
      </c>
      <c r="E47" s="46">
        <f>IF(288784.06785="","-",288784.06785/1544947.98319*100)</f>
        <v>18.69215475162602</v>
      </c>
      <c r="F47" s="46">
        <f>IF(1752232.13505="","-",(387535.45427-319386.82923)/1752232.13505*100)</f>
        <v>3.8892463890382531</v>
      </c>
      <c r="G47" s="46">
        <f>IF(1787183.4192="","-",(288784.06785-387535.45427)/1787183.4192*100)</f>
        <v>-5.5255317030752362</v>
      </c>
    </row>
    <row r="48" spans="1:7" s="9" customFormat="1" x14ac:dyDescent="0.25">
      <c r="A48" s="47" t="s">
        <v>57</v>
      </c>
      <c r="B48" s="48">
        <f>IF(103062.19451="","-",103062.19451)</f>
        <v>103062.19451</v>
      </c>
      <c r="C48" s="48">
        <f>IF(OR(132831.03339="",103062.19451=""),"-",103062.19451/132831.03339*100)</f>
        <v>77.588942794266401</v>
      </c>
      <c r="D48" s="48">
        <f>IF(132831.03339="","-",132831.03339/1787183.4192*100)</f>
        <v>7.4324231057078292</v>
      </c>
      <c r="E48" s="48">
        <f>IF(103062.19451="","-",103062.19451/1544947.98319*100)</f>
        <v>6.6709167966417713</v>
      </c>
      <c r="F48" s="48">
        <f>IF(OR(1752232.13505="",57413.12792="",132831.03339=""),"-",(132831.03339-57413.12792)/1752232.13505*100)</f>
        <v>4.3041046880382634</v>
      </c>
      <c r="G48" s="48">
        <f>IF(OR(1787183.4192="",103062.19451="",132831.03339=""),"-",(103062.19451-132831.03339)/1787183.4192*100)</f>
        <v>-1.665684593992343</v>
      </c>
    </row>
    <row r="49" spans="1:7" s="9" customFormat="1" x14ac:dyDescent="0.25">
      <c r="A49" s="47" t="s">
        <v>263</v>
      </c>
      <c r="B49" s="48">
        <f>IF(42732.16752="","-",42732.16752)</f>
        <v>42732.167520000003</v>
      </c>
      <c r="C49" s="48">
        <f>IF(OR(53231.2027="",42732.16752=""),"-",42732.16752/53231.2027*100)</f>
        <v>80.276539609352099</v>
      </c>
      <c r="D49" s="48">
        <f>IF(53231.2027="","-",53231.2027/1787183.4192*100)</f>
        <v>2.9784968978633417</v>
      </c>
      <c r="E49" s="48">
        <f>IF(42732.16752="","-",42732.16752/1544947.98319*100)</f>
        <v>2.7659292082939166</v>
      </c>
      <c r="F49" s="48">
        <f>IF(OR(1752232.13505="",34721.95069="",53231.2027=""),"-",(53231.2027-34721.95069)/1752232.13505*100)</f>
        <v>1.0563241958504455</v>
      </c>
      <c r="G49" s="48">
        <f>IF(OR(1787183.4192="",42732.16752="",53231.2027=""),"-",(42732.16752-53231.2027)/1787183.4192*100)</f>
        <v>-0.58746265588675284</v>
      </c>
    </row>
    <row r="50" spans="1:7" s="14" customFormat="1" ht="25.5" x14ac:dyDescent="0.25">
      <c r="A50" s="47" t="s">
        <v>264</v>
      </c>
      <c r="B50" s="48">
        <f>IF(26275.86633="","-",26275.86633)</f>
        <v>26275.866330000001</v>
      </c>
      <c r="C50" s="48">
        <f>IF(OR(35611.19338="",26275.86633=""),"-",26275.86633/35611.19338*100)</f>
        <v>73.785413618733386</v>
      </c>
      <c r="D50" s="48">
        <f>IF(35611.19338="","-",35611.19338/1787183.4192*100)</f>
        <v>1.9925874981506206</v>
      </c>
      <c r="E50" s="48">
        <f>IF(26275.86633="","-",26275.86633/1544947.98319*100)</f>
        <v>1.7007605832622106</v>
      </c>
      <c r="F50" s="48">
        <f>IF(OR(1752232.13505="",58030.20152="",35611.19338=""),"-",(35611.19338-58030.20152)/1752232.13505*100)</f>
        <v>-1.2794542282127637</v>
      </c>
      <c r="G50" s="48">
        <f>IF(OR(1787183.4192="",26275.86633="",35611.19338=""),"-",(26275.86633-35611.19338)/1787183.4192*100)</f>
        <v>-0.52234857092501363</v>
      </c>
    </row>
    <row r="51" spans="1:7" s="16" customFormat="1" x14ac:dyDescent="0.25">
      <c r="A51" s="47" t="s">
        <v>19</v>
      </c>
      <c r="B51" s="48">
        <f>IF(18494.60563="","-",18494.60563)</f>
        <v>18494.605629999998</v>
      </c>
      <c r="C51" s="48">
        <f>IF(OR(14530.80149="",18494.60563=""),"-",18494.60563/14530.80149*100)</f>
        <v>127.2786338917909</v>
      </c>
      <c r="D51" s="48">
        <f>IF(14530.80149="","-",14530.80149/1787183.4192*100)</f>
        <v>0.81305597029903331</v>
      </c>
      <c r="E51" s="48">
        <f>IF(18494.60563="","-",18494.60563/1544947.98319*100)</f>
        <v>1.1971021569161466</v>
      </c>
      <c r="F51" s="48">
        <f>IF(OR(1752232.13505="",14220.74894="",14530.80149=""),"-",(14530.80149-14220.74894)/1752232.13505*100)</f>
        <v>1.7694718855909636E-2</v>
      </c>
      <c r="G51" s="48">
        <f>IF(OR(1787183.4192="",18494.60563="",14530.80149=""),"-",(18494.60563-14530.80149)/1787183.4192*100)</f>
        <v>0.22179056147322151</v>
      </c>
    </row>
    <row r="52" spans="1:7" s="9" customFormat="1" x14ac:dyDescent="0.25">
      <c r="A52" s="47" t="s">
        <v>59</v>
      </c>
      <c r="B52" s="48">
        <f>IF(13394.27644="","-",13394.27644)</f>
        <v>13394.27644</v>
      </c>
      <c r="C52" s="48">
        <f>IF(OR(13147.61614="",13394.27644=""),"-",13394.27644/13147.61614*100)</f>
        <v>101.87608382670655</v>
      </c>
      <c r="D52" s="48">
        <f>IF(13147.61614="","-",13147.61614/1787183.4192*100)</f>
        <v>0.73566126446524949</v>
      </c>
      <c r="E52" s="48">
        <f>IF(13394.27644="","-",13394.27644/1544947.98319*100)</f>
        <v>0.86697264799450224</v>
      </c>
      <c r="F52" s="48">
        <f>IF(OR(1752232.13505="",14119.62636="",13147.61614=""),"-",(13147.61614-14119.62636)/1752232.13505*100)</f>
        <v>-5.5472685414039838E-2</v>
      </c>
      <c r="G52" s="48">
        <f>IF(OR(1787183.4192="",13394.27644="",13147.61614=""),"-",(13394.27644-13147.61614)/1787183.4192*100)</f>
        <v>1.3801622001977421E-2</v>
      </c>
    </row>
    <row r="53" spans="1:7" s="16" customFormat="1" x14ac:dyDescent="0.25">
      <c r="A53" s="47" t="s">
        <v>61</v>
      </c>
      <c r="B53" s="48">
        <f>IF(9515.48221="","-",9515.48221)</f>
        <v>9515.4822100000001</v>
      </c>
      <c r="C53" s="48">
        <f>IF(OR(9520.08056="",9515.48221=""),"-",9515.48221/9520.08056*100)</f>
        <v>99.95169841293864</v>
      </c>
      <c r="D53" s="48">
        <f>IF(9520.08056="","-",9520.08056/1787183.4192*100)</f>
        <v>0.53268626251364237</v>
      </c>
      <c r="E53" s="48">
        <f>IF(9515.48221="","-",9515.48221/1544947.98319*100)</f>
        <v>0.6159095525243824</v>
      </c>
      <c r="F53" s="48">
        <f>IF(OR(1752232.13505="",11389.66175="",9520.08056=""),"-",(9520.08056-11389.66175)/1752232.13505*100)</f>
        <v>-0.10669711807029783</v>
      </c>
      <c r="G53" s="48">
        <f>IF(OR(1787183.4192="",9515.48221="",9520.08056=""),"-",(9515.48221-9520.08056)/1787183.4192*100)</f>
        <v>-2.5729591885194282E-4</v>
      </c>
    </row>
    <row r="54" spans="1:7" s="14" customFormat="1" x14ac:dyDescent="0.25">
      <c r="A54" s="47" t="s">
        <v>60</v>
      </c>
      <c r="B54" s="48">
        <f>IF(6452.81694="","-",6452.81694)</f>
        <v>6452.8169399999997</v>
      </c>
      <c r="C54" s="48">
        <f>IF(OR(10720.09287="",6452.81694=""),"-",6452.81694/10720.09287*100)</f>
        <v>60.193666400578479</v>
      </c>
      <c r="D54" s="48">
        <f>IF(10720.09287="","-",10720.09287/1787183.4192*100)</f>
        <v>0.59983171032319982</v>
      </c>
      <c r="E54" s="48">
        <f>IF(6452.81694="","-",6452.81694/1544947.98319*100)</f>
        <v>0.41767211648616531</v>
      </c>
      <c r="F54" s="48">
        <f>IF(OR(1752232.13505="",11744.7788="",10720.09287=""),"-",(10720.09287-11744.7788)/1752232.13505*100)</f>
        <v>-5.8478891552274849E-2</v>
      </c>
      <c r="G54" s="48">
        <f>IF(OR(1787183.4192="",6452.81694="",10720.09287=""),"-",(6452.81694-10720.09287)/1787183.4192*100)</f>
        <v>-0.23877101164636863</v>
      </c>
    </row>
    <row r="55" spans="1:7" s="9" customFormat="1" x14ac:dyDescent="0.25">
      <c r="A55" s="47" t="s">
        <v>67</v>
      </c>
      <c r="B55" s="48">
        <f>IF(5652.59781="","-",5652.59781)</f>
        <v>5652.5978100000002</v>
      </c>
      <c r="C55" s="48">
        <f>IF(OR(6257.75684="",5652.59781=""),"-",5652.59781/6257.75684*100)</f>
        <v>90.329457576047332</v>
      </c>
      <c r="D55" s="48">
        <f>IF(6257.75684="","-",6257.75684/1787183.4192*100)</f>
        <v>0.3501463125033451</v>
      </c>
      <c r="E55" s="48">
        <f>IF(5652.59781="","-",5652.59781/1544947.98319*100)</f>
        <v>0.3658762541848527</v>
      </c>
      <c r="F55" s="48">
        <f>IF(OR(1752232.13505="",15803.28569="",6257.75684=""),"-",(6257.75684-15803.28569)/1752232.13505*100)</f>
        <v>-0.54476394189218647</v>
      </c>
      <c r="G55" s="48">
        <f>IF(OR(1787183.4192="",5652.59781="",6257.75684=""),"-",(5652.59781-6257.75684)/1787183.4192*100)</f>
        <v>-3.3861047696541871E-2</v>
      </c>
    </row>
    <row r="56" spans="1:7" s="9" customFormat="1" x14ac:dyDescent="0.25">
      <c r="A56" s="47" t="s">
        <v>58</v>
      </c>
      <c r="B56" s="48">
        <f>IF(4928.3009="","-",4928.3009)</f>
        <v>4928.3009000000002</v>
      </c>
      <c r="C56" s="48">
        <f>IF(OR(7356.67121="",4928.3009=""),"-",4928.3009/7356.67121*100)</f>
        <v>66.990908786312332</v>
      </c>
      <c r="D56" s="48">
        <f>IF(7356.67121="","-",7356.67121/1787183.4192*100)</f>
        <v>0.41163492963095422</v>
      </c>
      <c r="E56" s="48">
        <f>IF(4928.3009="","-",4928.3009/1544947.98319*100)</f>
        <v>0.31899461688179764</v>
      </c>
      <c r="F56" s="48">
        <f>IF(OR(1752232.13505="",9406.80035="",7356.67121=""),"-",(7356.67121-9406.80035)/1752232.13505*100)</f>
        <v>-0.11700100112257664</v>
      </c>
      <c r="G56" s="48">
        <f>IF(OR(1787183.4192="",4928.3009="",7356.67121=""),"-",(4928.3009-7356.67121)/1787183.4192*100)</f>
        <v>-0.13587694938928069</v>
      </c>
    </row>
    <row r="57" spans="1:7" s="16" customFormat="1" x14ac:dyDescent="0.25">
      <c r="A57" s="47" t="s">
        <v>66</v>
      </c>
      <c r="B57" s="48">
        <f>IF(4635.8806="","-",4635.8806)</f>
        <v>4635.8806000000004</v>
      </c>
      <c r="C57" s="48">
        <f>IF(OR(8700.05314="",4635.8806=""),"-",4635.8806/8700.05314*100)</f>
        <v>53.285658436794336</v>
      </c>
      <c r="D57" s="48">
        <f>IF(8700.05314="","-",8700.05314/1787183.4192*100)</f>
        <v>0.48680247626146955</v>
      </c>
      <c r="E57" s="48">
        <f>IF(4635.8806="","-",4635.8806/1544947.98319*100)</f>
        <v>0.30006709937430126</v>
      </c>
      <c r="F57" s="48">
        <f>IF(OR(1752232.13505="",2902.51262="",8700.05314=""),"-",(8700.05314-2902.51262)/1752232.13505*100)</f>
        <v>0.33086600822068407</v>
      </c>
      <c r="G57" s="48">
        <f>IF(OR(1787183.4192="",4635.8806="",8700.05314=""),"-",(4635.8806-8700.05314)/1787183.4192*100)</f>
        <v>-0.2274065714989261</v>
      </c>
    </row>
    <row r="58" spans="1:7" s="9" customFormat="1" x14ac:dyDescent="0.25">
      <c r="A58" s="47" t="s">
        <v>131</v>
      </c>
      <c r="B58" s="48">
        <f>IF(3314.59665="","-",3314.59665)</f>
        <v>3314.59665</v>
      </c>
      <c r="C58" s="48">
        <f>IF(OR(8945.0687="",3314.59665=""),"-",3314.59665/8945.0687*100)</f>
        <v>37.055016134196933</v>
      </c>
      <c r="D58" s="48">
        <f>IF(8945.0687="","-",8945.0687/1787183.4192*100)</f>
        <v>0.50051206853766006</v>
      </c>
      <c r="E58" s="48">
        <f>IF(3314.59665="","-",3314.59665/1544947.98319*100)</f>
        <v>0.21454422324019215</v>
      </c>
      <c r="F58" s="48">
        <f>IF(OR(1752232.13505="",2310.30496="",8945.0687=""),"-",(8945.0687-2310.30496)/1752232.13505*100)</f>
        <v>0.37864639092529129</v>
      </c>
      <c r="G58" s="48">
        <f>IF(OR(1787183.4192="",3314.59665="",8945.0687=""),"-",(3314.59665-8945.0687)/1787183.4192*100)</f>
        <v>-0.3150472407874273</v>
      </c>
    </row>
    <row r="59" spans="1:7" s="14" customFormat="1" x14ac:dyDescent="0.25">
      <c r="A59" s="47" t="s">
        <v>69</v>
      </c>
      <c r="B59" s="48">
        <f>IF(3295.46615="","-",3295.46615)</f>
        <v>3295.4661500000002</v>
      </c>
      <c r="C59" s="48">
        <f>IF(OR(5562.8127="",3295.46615=""),"-",3295.46615/5562.8127*100)</f>
        <v>59.241005004536639</v>
      </c>
      <c r="D59" s="48">
        <f>IF(5562.8127="","-",5562.8127/1787183.4192*100)</f>
        <v>0.31126143182830623</v>
      </c>
      <c r="E59" s="48">
        <f>IF(3295.46615="","-",3295.46615/1544947.98319*100)</f>
        <v>0.21330596148587089</v>
      </c>
      <c r="F59" s="48">
        <f>IF(OR(1752232.13505="",2854.94959="",5562.8127=""),"-",(5562.8127-2854.94959)/1752232.13505*100)</f>
        <v>0.15453792085160745</v>
      </c>
      <c r="G59" s="48">
        <f>IF(OR(1787183.4192="",3295.46615="",5562.8127=""),"-",(3295.46615-5562.8127)/1787183.4192*100)</f>
        <v>-0.12686703142170694</v>
      </c>
    </row>
    <row r="60" spans="1:7" s="9" customFormat="1" x14ac:dyDescent="0.25">
      <c r="A60" s="47" t="s">
        <v>68</v>
      </c>
      <c r="B60" s="48">
        <f>IF(3143.24012="","-",3143.24012)</f>
        <v>3143.2401199999999</v>
      </c>
      <c r="C60" s="48" t="s">
        <v>270</v>
      </c>
      <c r="D60" s="48">
        <f>IF(22.26872="","-",22.26872/1787183.4192*100)</f>
        <v>1.2460231983333968E-3</v>
      </c>
      <c r="E60" s="48">
        <f>IF(3143.24012="","-",3143.24012/1544947.98319*100)</f>
        <v>0.20345281227590944</v>
      </c>
      <c r="F60" s="48">
        <f>IF(OR(1752232.13505="",24.4608="",22.26872=""),"-",(22.26872-24.4608)/1752232.13505*100)</f>
        <v>-1.2510214578032779E-4</v>
      </c>
      <c r="G60" s="48">
        <f>IF(OR(1787183.4192="",3143.24012="",22.26872=""),"-",(3143.24012-22.26872)/1787183.4192*100)</f>
        <v>0.17463072712464209</v>
      </c>
    </row>
    <row r="61" spans="1:7" s="14" customFormat="1" x14ac:dyDescent="0.25">
      <c r="A61" s="47" t="s">
        <v>63</v>
      </c>
      <c r="B61" s="48">
        <f>IF(3039.27115="","-",3039.27115)</f>
        <v>3039.27115</v>
      </c>
      <c r="C61" s="48">
        <f>IF(OR(5044.72358="",3039.27115=""),"-",3039.27115/5044.72358*100)</f>
        <v>60.246534855731383</v>
      </c>
      <c r="D61" s="48">
        <f>IF(5044.72358="","-",5044.72358/1787183.4192*100)</f>
        <v>0.28227229090219397</v>
      </c>
      <c r="E61" s="48">
        <f>IF(3039.27115="","-",3039.27115/1544947.98319*100)</f>
        <v>0.19672320253297654</v>
      </c>
      <c r="F61" s="48">
        <f>IF(OR(1752232.13505="",2182.10883="",5044.72358=""),"-",(5044.72358-2182.10883)/1752232.13505*100)</f>
        <v>0.16336960684254972</v>
      </c>
      <c r="G61" s="48">
        <f>IF(OR(1787183.4192="",3039.27115="",5044.72358=""),"-",(3039.27115-5044.72358)/1787183.4192*100)</f>
        <v>-0.11221301677573217</v>
      </c>
    </row>
    <row r="62" spans="1:7" s="9" customFormat="1" x14ac:dyDescent="0.25">
      <c r="A62" s="47" t="s">
        <v>38</v>
      </c>
      <c r="B62" s="48">
        <f>IF(2973.80438="","-",2973.80438)</f>
        <v>2973.80438</v>
      </c>
      <c r="C62" s="48">
        <f>IF(OR(2112.12529="",2973.80438=""),"-",2973.80438/2112.12529*100)</f>
        <v>140.79677915319124</v>
      </c>
      <c r="D62" s="48">
        <f>IF(2112.12529="","-",2112.12529/1787183.4192*100)</f>
        <v>0.11818178634095959</v>
      </c>
      <c r="E62" s="48">
        <f>IF(2973.80438="","-",2973.80438/1544947.98319*100)</f>
        <v>0.19248572847479986</v>
      </c>
      <c r="F62" s="48">
        <f>IF(OR(1752232.13505="",4955.49522="",2112.12529=""),"-",(2112.12529-4955.49522)/1752232.13505*100)</f>
        <v>-0.16227130373447149</v>
      </c>
      <c r="G62" s="48">
        <f>IF(OR(1787183.4192="",2973.80438="",2112.12529=""),"-",(2973.80438-2112.12529)/1787183.4192*100)</f>
        <v>4.8214362372817621E-2</v>
      </c>
    </row>
    <row r="63" spans="1:7" s="14" customFormat="1" x14ac:dyDescent="0.25">
      <c r="A63" s="47" t="s">
        <v>62</v>
      </c>
      <c r="B63" s="48">
        <f>IF(2418.09408="","-",2418.09408)</f>
        <v>2418.0940799999998</v>
      </c>
      <c r="C63" s="48">
        <f>IF(OR(4953.71044="",2418.09408=""),"-",2418.09408/4953.71044*100)</f>
        <v>48.813795422406642</v>
      </c>
      <c r="D63" s="48">
        <f>IF(4953.71044="","-",4953.71044/1787183.4192*100)</f>
        <v>0.277179744775018</v>
      </c>
      <c r="E63" s="48">
        <f>IF(2418.09408="","-",2418.09408/1544947.98319*100)</f>
        <v>0.15651621325186188</v>
      </c>
      <c r="F63" s="48">
        <f>IF(OR(1752232.13505="",4163.90193="",4953.71044=""),"-",(4953.71044-4163.90193)/1752232.13505*100)</f>
        <v>4.5074422172805467E-2</v>
      </c>
      <c r="G63" s="48">
        <f>IF(OR(1787183.4192="",2418.09408="",4953.71044=""),"-",(2418.09408-4953.71044)/1787183.4192*100)</f>
        <v>-0.14187779120819186</v>
      </c>
    </row>
    <row r="64" spans="1:7" s="9" customFormat="1" x14ac:dyDescent="0.25">
      <c r="A64" s="47" t="s">
        <v>135</v>
      </c>
      <c r="B64" s="48">
        <f>IF(2036.73938="","-",2036.73938)</f>
        <v>2036.73938</v>
      </c>
      <c r="C64" s="48" t="str">
        <f>IF(OR(""="",2036.73938=""),"-",2036.73938/""*100)</f>
        <v>-</v>
      </c>
      <c r="D64" s="48" t="str">
        <f>IF(""="","-",""/1787183.4192*100)</f>
        <v>-</v>
      </c>
      <c r="E64" s="48">
        <f>IF(2036.73938="","-",2036.73938/1544947.98319*100)</f>
        <v>0.13183223009195116</v>
      </c>
      <c r="F64" s="48" t="str">
        <f>IF(OR(1752232.13505="",1739.08352="",""=""),"-",(""-1739.08352)/1752232.13505*100)</f>
        <v>-</v>
      </c>
      <c r="G64" s="48" t="str">
        <f>IF(OR(1787183.4192="",2036.73938="",""=""),"-",(2036.73938-"")/1787183.4192*100)</f>
        <v>-</v>
      </c>
    </row>
    <row r="65" spans="1:7" s="9" customFormat="1" x14ac:dyDescent="0.25">
      <c r="A65" s="47" t="s">
        <v>40</v>
      </c>
      <c r="B65" s="48">
        <f>IF(1369.77172="","-",1369.77172)</f>
        <v>1369.77172</v>
      </c>
      <c r="C65" s="48">
        <f>IF(OR(1302.75798="",1369.77172=""),"-",1369.77172/1302.75798*100)</f>
        <v>105.14398998346567</v>
      </c>
      <c r="D65" s="48">
        <f>IF(1302.75798="","-",1302.75798/1787183.4192*100)</f>
        <v>7.2894475519650698E-2</v>
      </c>
      <c r="E65" s="48">
        <f>IF(1369.77172="","-",1369.77172/1544947.98319*100)</f>
        <v>8.8661348789989866E-2</v>
      </c>
      <c r="F65" s="48">
        <f>IF(OR(1752232.13505="",782.13055="",1302.75798=""),"-",(1302.75798-782.13055)/1752232.13505*100)</f>
        <v>2.971224072346693E-2</v>
      </c>
      <c r="G65" s="48">
        <f>IF(OR(1787183.4192="",1369.77172="",1302.75798=""),"-",(1369.77172-1302.75798)/1787183.4192*100)</f>
        <v>3.7496845192306763E-3</v>
      </c>
    </row>
    <row r="66" spans="1:7" s="14" customFormat="1" x14ac:dyDescent="0.25">
      <c r="A66" s="47" t="s">
        <v>77</v>
      </c>
      <c r="B66" s="48">
        <f>IF(1355.98493="","-",1355.98493)</f>
        <v>1355.9849300000001</v>
      </c>
      <c r="C66" s="48">
        <f>IF(OR(1181.79461="",1355.98493=""),"-",1355.98493/1181.79461*100)</f>
        <v>114.739474907573</v>
      </c>
      <c r="D66" s="48">
        <f>IF(1181.79461="","-",1181.79461/1787183.4192*100)</f>
        <v>6.6126095245948993E-2</v>
      </c>
      <c r="E66" s="48">
        <f>IF(1355.98493="","-",1355.98493/1544947.98319*100)</f>
        <v>8.7768969878207162E-2</v>
      </c>
      <c r="F66" s="48">
        <f>IF(OR(1752232.13505="",1157.32289="",1181.79461=""),"-",(1181.79461-1157.32289)/1752232.13505*100)</f>
        <v>1.3966026253309015E-3</v>
      </c>
      <c r="G66" s="48">
        <f>IF(OR(1787183.4192="",1355.98493="",1181.79461=""),"-",(1355.98493-1181.79461)/1787183.4192*100)</f>
        <v>9.7466392161344746E-3</v>
      </c>
    </row>
    <row r="67" spans="1:7" s="16" customFormat="1" x14ac:dyDescent="0.25">
      <c r="A67" s="47" t="s">
        <v>88</v>
      </c>
      <c r="B67" s="48">
        <f>IF(1122.53902="","-",1122.53902)</f>
        <v>1122.5390199999999</v>
      </c>
      <c r="C67" s="48" t="s">
        <v>271</v>
      </c>
      <c r="D67" s="48">
        <f>IF(191.8125="","-",191.8125/1787183.4192*100)</f>
        <v>1.0732670074001771E-2</v>
      </c>
      <c r="E67" s="48">
        <f>IF(1122.53902="","-",1122.53902/1544947.98319*100)</f>
        <v>7.2658693510326972E-2</v>
      </c>
      <c r="F67" s="48">
        <f>IF(OR(1752232.13505="",142.83019="",191.8125=""),"-",(191.8125-142.83019)/1752232.13505*100)</f>
        <v>2.7954235640474828E-3</v>
      </c>
      <c r="G67" s="48">
        <f>IF(OR(1787183.4192="",1122.53902="",191.8125=""),"-",(1122.53902-191.8125)/1787183.4192*100)</f>
        <v>5.2077839912851406E-2</v>
      </c>
    </row>
    <row r="68" spans="1:7" s="9" customFormat="1" x14ac:dyDescent="0.25">
      <c r="A68" s="47" t="s">
        <v>143</v>
      </c>
      <c r="B68" s="48">
        <f>IF(1027.38013="","-",1027.38013)</f>
        <v>1027.38013</v>
      </c>
      <c r="C68" s="48">
        <f>IF(OR(810.36033="",1027.38013=""),"-",1027.38013/810.36033*100)</f>
        <v>126.78065447749644</v>
      </c>
      <c r="D68" s="48">
        <f>IF(810.36033="","-",810.36033/1787183.4192*100)</f>
        <v>4.5342874228474155E-2</v>
      </c>
      <c r="E68" s="48">
        <f>IF(1027.38013="","-",1027.38013/1544947.98319*100)</f>
        <v>6.649933468171991E-2</v>
      </c>
      <c r="F68" s="48">
        <f>IF(OR(1752232.13505="",1518.3731="",810.36033=""),"-",(810.36033-1518.3731)/1752232.13505*100)</f>
        <v>-4.0406334060286875E-2</v>
      </c>
      <c r="G68" s="48">
        <f>IF(OR(1787183.4192="",1027.38013="",810.36033=""),"-",(1027.38013-810.36033)/1787183.4192*100)</f>
        <v>1.2143118477293449E-2</v>
      </c>
    </row>
    <row r="69" spans="1:7" s="9" customFormat="1" x14ac:dyDescent="0.25">
      <c r="A69" s="47" t="s">
        <v>86</v>
      </c>
      <c r="B69" s="48">
        <f>IF(927.16426="","-",927.16426)</f>
        <v>927.16426000000001</v>
      </c>
      <c r="C69" s="48">
        <f>IF(OR(1855.90099="",927.16426=""),"-",927.16426/1855.90099*100)</f>
        <v>49.957635940481929</v>
      </c>
      <c r="D69" s="48">
        <f>IF(1855.90099="","-",1855.90099/1787183.4192*100)</f>
        <v>0.10384502060962274</v>
      </c>
      <c r="E69" s="48">
        <f>IF(927.16426="","-",927.16426/1544947.98319*100)</f>
        <v>6.0012652211474227E-2</v>
      </c>
      <c r="F69" s="48">
        <f>IF(OR(1752232.13505="",1309.01066="",1855.90099=""),"-",(1855.90099-1309.01066)/1752232.13505*100)</f>
        <v>3.1211066105941189E-2</v>
      </c>
      <c r="G69" s="48">
        <f>IF(OR(1787183.4192="",927.16426="",1855.90099=""),"-",(927.16426-1855.90099)/1787183.4192*100)</f>
        <v>-5.1966503271148975E-2</v>
      </c>
    </row>
    <row r="70" spans="1:7" s="9" customFormat="1" x14ac:dyDescent="0.25">
      <c r="A70" s="47" t="s">
        <v>265</v>
      </c>
      <c r="B70" s="48">
        <f>IF(886.41168="","-",886.41168)</f>
        <v>886.41168000000005</v>
      </c>
      <c r="C70" s="48">
        <f>IF(OR(928.35807="",886.41168=""),"-",886.41168/928.35807*100)</f>
        <v>95.481658278685515</v>
      </c>
      <c r="D70" s="48">
        <f>IF(928.35807="","-",928.35807/1787183.4192*100)</f>
        <v>5.1945315742441399E-2</v>
      </c>
      <c r="E70" s="48">
        <f>IF(886.41168="","-",886.41168/1544947.98319*100)</f>
        <v>5.7374855959211137E-2</v>
      </c>
      <c r="F70" s="48">
        <f>IF(OR(1752232.13505="",890.75295="",928.35807=""),"-",(928.35807-890.75295)/1752232.13505*100)</f>
        <v>2.1461266031927262E-3</v>
      </c>
      <c r="G70" s="48">
        <f>IF(OR(1787183.4192="",886.41168="",928.35807=""),"-",(886.41168-928.35807)/1787183.4192*100)</f>
        <v>-2.347066873459272E-3</v>
      </c>
    </row>
    <row r="71" spans="1:7" s="9" customFormat="1" x14ac:dyDescent="0.25">
      <c r="A71" s="47" t="s">
        <v>71</v>
      </c>
      <c r="B71" s="48">
        <f>IF(835.37138="","-",835.37138)</f>
        <v>835.37138000000004</v>
      </c>
      <c r="C71" s="48">
        <f>IF(OR(2001.14567="",835.37138=""),"-",835.37138/2001.14567*100)</f>
        <v>41.744656199865751</v>
      </c>
      <c r="D71" s="48">
        <f>IF(2001.14567="","-",2001.14567/1787183.4192*100)</f>
        <v>0.11197203647378155</v>
      </c>
      <c r="E71" s="48">
        <f>IF(835.37138="","-",835.37138/1544947.98319*100)</f>
        <v>5.4071165443067525E-2</v>
      </c>
      <c r="F71" s="48">
        <f>IF(OR(1752232.13505="",1131.49647="",2001.14567=""),"-",(2001.14567-1131.49647)/1752232.13505*100)</f>
        <v>4.963093545680148E-2</v>
      </c>
      <c r="G71" s="48">
        <f>IF(OR(1787183.4192="",835.37138="",2001.14567=""),"-",(835.37138-2001.14567)/1787183.4192*100)</f>
        <v>-6.5229694807813168E-2</v>
      </c>
    </row>
    <row r="72" spans="1:7" s="9" customFormat="1" x14ac:dyDescent="0.25">
      <c r="A72" s="47" t="s">
        <v>136</v>
      </c>
      <c r="B72" s="48">
        <f>IF(820.30683="","-",820.30683)</f>
        <v>820.30682999999999</v>
      </c>
      <c r="C72" s="48" t="s">
        <v>182</v>
      </c>
      <c r="D72" s="48">
        <f>IF(281.04058="","-",281.04058/1787183.4192*100)</f>
        <v>1.5725335014903096E-2</v>
      </c>
      <c r="E72" s="48">
        <f>IF(820.30683="","-",820.30683/1544947.98319*100)</f>
        <v>5.3096080834141426E-2</v>
      </c>
      <c r="F72" s="48">
        <f>IF(OR(1752232.13505="",7.147="",281.04058=""),"-",(281.04058-7.147)/1752232.13505*100)</f>
        <v>1.5631124125696078E-2</v>
      </c>
      <c r="G72" s="48">
        <f>IF(OR(1787183.4192="",820.30683="",281.04058=""),"-",(820.30683-281.04058)/1787183.4192*100)</f>
        <v>3.0174085334866901E-2</v>
      </c>
    </row>
    <row r="73" spans="1:7" s="9" customFormat="1" x14ac:dyDescent="0.25">
      <c r="A73" s="47" t="s">
        <v>78</v>
      </c>
      <c r="B73" s="48">
        <f>IF(794.8234="","-",794.8234)</f>
        <v>794.82339999999999</v>
      </c>
      <c r="C73" s="48">
        <f>IF(OR(985.4148="",794.8234=""),"-",794.8234/985.4148*100)</f>
        <v>80.65876420772247</v>
      </c>
      <c r="D73" s="48">
        <f>IF(985.4148="","-",985.4148/1787183.4192*100)</f>
        <v>5.5137866064195191E-2</v>
      </c>
      <c r="E73" s="48">
        <f>IF(794.8234="","-",794.8234/1544947.98319*100)</f>
        <v>5.1446612355119749E-2</v>
      </c>
      <c r="F73" s="48">
        <f>IF(OR(1752232.13505="",970.25824="",985.4148=""),"-",(985.4148-970.25824)/1752232.13505*100)</f>
        <v>8.6498584843996821E-4</v>
      </c>
      <c r="G73" s="48">
        <f>IF(OR(1787183.4192="",794.8234="",985.4148=""),"-",(794.8234-985.4148)/1787183.4192*100)</f>
        <v>-1.0664344686306166E-2</v>
      </c>
    </row>
    <row r="74" spans="1:7" s="9" customFormat="1" x14ac:dyDescent="0.25">
      <c r="A74" s="47" t="s">
        <v>94</v>
      </c>
      <c r="B74" s="48">
        <f>IF(622.79315="","-",622.79315)</f>
        <v>622.79314999999997</v>
      </c>
      <c r="C74" s="48" t="s">
        <v>272</v>
      </c>
      <c r="D74" s="48">
        <f>IF(120.56844="","-",120.56844/1787183.4192*100)</f>
        <v>6.746282373969778E-3</v>
      </c>
      <c r="E74" s="48">
        <f>IF(622.79315="","-",622.79315/1544947.98319*100)</f>
        <v>4.0311593450160055E-2</v>
      </c>
      <c r="F74" s="48">
        <f>IF(OR(1752232.13505="",121.6579="",120.56844=""),"-",(120.56844-121.6579)/1752232.13505*100)</f>
        <v>-6.2175551869382583E-5</v>
      </c>
      <c r="G74" s="48">
        <f>IF(OR(1787183.4192="",622.79315="",120.56844=""),"-",(622.79315-120.56844)/1787183.4192*100)</f>
        <v>2.8101464270791618E-2</v>
      </c>
    </row>
    <row r="75" spans="1:7" s="9" customFormat="1" x14ac:dyDescent="0.25">
      <c r="A75" s="47" t="s">
        <v>73</v>
      </c>
      <c r="B75" s="48">
        <f>IF(612.17921="","-",612.17921)</f>
        <v>612.17921000000001</v>
      </c>
      <c r="C75" s="48">
        <f>IF(OR(967.23938="",612.17921=""),"-",612.17921/967.23938*100)</f>
        <v>63.291386047578001</v>
      </c>
      <c r="D75" s="48">
        <f>IF(967.23938="","-",967.23938/1787183.4192*100)</f>
        <v>5.4120879234262766E-2</v>
      </c>
      <c r="E75" s="48">
        <f>IF(612.17921="","-",612.17921/1544947.98319*100)</f>
        <v>3.9624583912267114E-2</v>
      </c>
      <c r="F75" s="48">
        <f>IF(OR(1752232.13505="",510.99774="",967.23938=""),"-",(967.23938-510.99774)/1752232.13505*100)</f>
        <v>2.6037739570789295E-2</v>
      </c>
      <c r="G75" s="48">
        <f>IF(OR(1787183.4192="",612.17921="",967.23938=""),"-",(612.17921-967.23938)/1787183.4192*100)</f>
        <v>-1.9867024625762036E-2</v>
      </c>
    </row>
    <row r="76" spans="1:7" s="9" customFormat="1" x14ac:dyDescent="0.25">
      <c r="A76" s="47" t="s">
        <v>39</v>
      </c>
      <c r="B76" s="48">
        <f>IF(569.64945="","-",569.64945)</f>
        <v>569.64945</v>
      </c>
      <c r="C76" s="48">
        <f>IF(OR(667.85759="",569.64945=""),"-",569.64945/667.85759*100)</f>
        <v>85.295047706203363</v>
      </c>
      <c r="D76" s="48">
        <f>IF(667.85759="","-",667.85759/1787183.4192*100)</f>
        <v>3.7369280781429488E-2</v>
      </c>
      <c r="E76" s="48">
        <f>IF(569.64945="","-",569.64945/1544947.98319*100)</f>
        <v>3.6871755955419999E-2</v>
      </c>
      <c r="F76" s="48">
        <f>IF(OR(1752232.13505="",360.21777="",667.85759=""),"-",(667.85759-360.21777)/1752232.13505*100)</f>
        <v>1.755702420051904E-2</v>
      </c>
      <c r="G76" s="48">
        <f>IF(OR(1787183.4192="",569.64945="",667.85759=""),"-",(569.64945-667.85759)/1787183.4192*100)</f>
        <v>-5.4951349114441229E-3</v>
      </c>
    </row>
    <row r="77" spans="1:7" x14ac:dyDescent="0.25">
      <c r="A77" s="47" t="s">
        <v>110</v>
      </c>
      <c r="B77" s="48">
        <f>IF(557.97836="","-",557.97836)</f>
        <v>557.97835999999995</v>
      </c>
      <c r="C77" s="48">
        <f>IF(OR(962.50047="",557.97836=""),"-",557.97836/962.50047*100)</f>
        <v>57.971749354054857</v>
      </c>
      <c r="D77" s="48">
        <f>IF(962.50047="","-",962.50047/1787183.4192*100)</f>
        <v>5.3855718425971401E-2</v>
      </c>
      <c r="E77" s="48">
        <f>IF(557.97836="","-",557.97836/1544947.98319*100)</f>
        <v>3.6116320165543003E-2</v>
      </c>
      <c r="F77" s="48">
        <f>IF(OR(1752232.13505="",545.57265="",962.50047=""),"-",(962.50047-545.57265)/1752232.13505*100)</f>
        <v>2.3794097349327688E-2</v>
      </c>
      <c r="G77" s="48">
        <f>IF(OR(1787183.4192="",557.97836="",962.50047=""),"-",(557.97836-962.50047)/1787183.4192*100)</f>
        <v>-2.263461632724172E-2</v>
      </c>
    </row>
    <row r="78" spans="1:7" x14ac:dyDescent="0.25">
      <c r="A78" s="47" t="s">
        <v>76</v>
      </c>
      <c r="B78" s="48">
        <f>IF(476.1796="","-",476.1796)</f>
        <v>476.17959999999999</v>
      </c>
      <c r="C78" s="48">
        <f>IF(OR(1604.30861="",476.1796=""),"-",476.1796/1604.30861*100)</f>
        <v>29.681296792392082</v>
      </c>
      <c r="D78" s="48">
        <f>IF(1604.30861="","-",1604.30861/1787183.4192*100)</f>
        <v>8.9767429171771287E-2</v>
      </c>
      <c r="E78" s="48">
        <f>IF(476.1796="","-",476.1796/1544947.98319*100)</f>
        <v>3.082172378495145E-2</v>
      </c>
      <c r="F78" s="48">
        <f>IF(OR(1752232.13505="",10008.11798="",1604.30861=""),"-",(1604.30861-10008.11798)/1752232.13505*100)</f>
        <v>-0.47960593815728636</v>
      </c>
      <c r="G78" s="48">
        <f>IF(OR(1787183.4192="",476.1796="",1604.30861=""),"-",(476.1796-1604.30861)/1787183.4192*100)</f>
        <v>-6.3123292096397499E-2</v>
      </c>
    </row>
    <row r="79" spans="1:7" x14ac:dyDescent="0.25">
      <c r="A79" s="47" t="s">
        <v>37</v>
      </c>
      <c r="B79" s="48">
        <f>IF(437.58829="","-",437.58829)</f>
        <v>437.58828999999997</v>
      </c>
      <c r="C79" s="48" t="s">
        <v>246</v>
      </c>
      <c r="D79" s="48">
        <f>IF(180.58266="","-",180.58266/1787183.4192*100)</f>
        <v>1.0104315990176015E-2</v>
      </c>
      <c r="E79" s="48">
        <f>IF(437.58829="","-",437.58829/1544947.98319*100)</f>
        <v>2.832382026846432E-2</v>
      </c>
      <c r="F79" s="48">
        <f>IF(OR(1752232.13505="",258.48513="",180.58266=""),"-",(180.58266-258.48513)/1752232.13505*100)</f>
        <v>-4.4458989446496521E-3</v>
      </c>
      <c r="G79" s="48">
        <f>IF(OR(1787183.4192="",437.58829="",180.58266=""),"-",(437.58829-180.58266)/1787183.4192*100)</f>
        <v>1.4380484243471992E-2</v>
      </c>
    </row>
    <row r="80" spans="1:7" x14ac:dyDescent="0.25">
      <c r="A80" s="47" t="s">
        <v>65</v>
      </c>
      <c r="B80" s="48">
        <f>IF(432.21897="","-",432.21897)</f>
        <v>432.21897000000001</v>
      </c>
      <c r="C80" s="48">
        <f>IF(OR(1302.93805="",432.21897=""),"-",432.21897/1302.93805*100)</f>
        <v>33.172641630966268</v>
      </c>
      <c r="D80" s="48">
        <f>IF(1302.93805="","-",1302.93805/1787183.4192*100)</f>
        <v>7.290455115028073E-2</v>
      </c>
      <c r="E80" s="48">
        <f>IF(432.21897="","-",432.21897/1544947.98319*100)</f>
        <v>2.7976279764937891E-2</v>
      </c>
      <c r="F80" s="48">
        <f>IF(OR(1752232.13505="",2435.67125="",1302.93805=""),"-",(1302.93805-2435.67125)/1752232.13505*100)</f>
        <v>-6.4645156160640621E-2</v>
      </c>
      <c r="G80" s="48">
        <f>IF(OR(1787183.4192="",432.21897="",1302.93805=""),"-",(432.21897-1302.93805)/1787183.4192*100)</f>
        <v>-4.8720185664533608E-2</v>
      </c>
    </row>
    <row r="81" spans="1:7" x14ac:dyDescent="0.25">
      <c r="A81" s="47" t="s">
        <v>103</v>
      </c>
      <c r="B81" s="48">
        <f>IF(395.39674="","-",395.39674)</f>
        <v>395.39674000000002</v>
      </c>
      <c r="C81" s="48" t="s">
        <v>273</v>
      </c>
      <c r="D81" s="48">
        <f>IF(100.98459="","-",100.98459/1787183.4192*100)</f>
        <v>5.6504882999196529E-3</v>
      </c>
      <c r="E81" s="48">
        <f>IF(395.39674="","-",395.39674/1544947.98319*100)</f>
        <v>2.5592883663538433E-2</v>
      </c>
      <c r="F81" s="48">
        <f>IF(OR(1752232.13505="",124.93436="",100.98459=""),"-",(100.98459-124.93436)/1752232.13505*100)</f>
        <v>-1.3668149054529579E-3</v>
      </c>
      <c r="G81" s="48">
        <f>IF(OR(1787183.4192="",395.39674="",100.98459=""),"-",(395.39674-100.98459)/1787183.4192*100)</f>
        <v>1.6473527386002058E-2</v>
      </c>
    </row>
    <row r="82" spans="1:7" x14ac:dyDescent="0.25">
      <c r="A82" s="47" t="s">
        <v>83</v>
      </c>
      <c r="B82" s="48">
        <f>IF(380.55509="","-",380.55509)</f>
        <v>380.55509000000001</v>
      </c>
      <c r="C82" s="48">
        <f>IF(OR(416.6669="",380.55509=""),"-",380.55509/416.6669*100)</f>
        <v>91.333170453424543</v>
      </c>
      <c r="D82" s="48">
        <f>IF(416.6669="","-",416.6669/1787183.4192*100)</f>
        <v>2.3314165492119066E-2</v>
      </c>
      <c r="E82" s="48">
        <f>IF(380.55509="","-",380.55509/1544947.98319*100)</f>
        <v>2.463222672482681E-2</v>
      </c>
      <c r="F82" s="48">
        <f>IF(OR(1752232.13505="",1185.85949="",416.6669=""),"-",(416.6669-1185.85949)/1752232.13505*100)</f>
        <v>-4.3897870300047381E-2</v>
      </c>
      <c r="G82" s="48">
        <f>IF(OR(1787183.4192="",380.55509="",416.6669=""),"-",(380.55509-416.6669)/1787183.4192*100)</f>
        <v>-2.0205989834084733E-3</v>
      </c>
    </row>
    <row r="83" spans="1:7" x14ac:dyDescent="0.25">
      <c r="A83" s="47" t="s">
        <v>142</v>
      </c>
      <c r="B83" s="48">
        <f>IF(342.10061="","-",342.10061)</f>
        <v>342.10061000000002</v>
      </c>
      <c r="C83" s="48" t="s">
        <v>274</v>
      </c>
      <c r="D83" s="48">
        <f>IF(82.03294="","-",82.03294/1787183.4192*100)</f>
        <v>4.5900683230779161E-3</v>
      </c>
      <c r="E83" s="48">
        <f>IF(342.10061="","-",342.10061/1544947.98319*100)</f>
        <v>2.2143179817202166E-2</v>
      </c>
      <c r="F83" s="48">
        <f>IF(OR(1752232.13505="",77.69399="",82.03294=""),"-",(82.03294-77.69399)/1752232.13505*100)</f>
        <v>2.4762415396954154E-4</v>
      </c>
      <c r="G83" s="48">
        <f>IF(OR(1787183.4192="",342.10061="",82.03294=""),"-",(342.10061-82.03294)/1787183.4192*100)</f>
        <v>1.4551817525053728E-2</v>
      </c>
    </row>
    <row r="84" spans="1:7" x14ac:dyDescent="0.25">
      <c r="A84" s="47" t="s">
        <v>72</v>
      </c>
      <c r="B84" s="48">
        <f>IF(312.37617="","-",312.37617)</f>
        <v>312.37617</v>
      </c>
      <c r="C84" s="48">
        <f>IF(OR(909.80421="",312.37617=""),"-",312.37617/909.80421*100)</f>
        <v>34.334438834922516</v>
      </c>
      <c r="D84" s="48">
        <f>IF(909.80421="","-",909.80421/1787183.4192*100)</f>
        <v>5.0907153693673879E-2</v>
      </c>
      <c r="E84" s="48">
        <f>IF(312.37617="","-",312.37617/1544947.98319*100)</f>
        <v>2.0219203066954228E-2</v>
      </c>
      <c r="F84" s="48">
        <f>IF(OR(1752232.13505="",1821.19173="",909.80421=""),"-",(909.80421-1821.19173)/1752232.13505*100)</f>
        <v>-5.2012944048306337E-2</v>
      </c>
      <c r="G84" s="48">
        <f>IF(OR(1787183.4192="",312.37617="",909.80421=""),"-",(312.37617-909.80421)/1787183.4192*100)</f>
        <v>-3.3428468146119432E-2</v>
      </c>
    </row>
    <row r="85" spans="1:7" x14ac:dyDescent="0.25">
      <c r="A85" s="47" t="s">
        <v>177</v>
      </c>
      <c r="B85" s="48">
        <f>IF(298.98316="","-",298.98316)</f>
        <v>298.98316</v>
      </c>
      <c r="C85" s="48" t="s">
        <v>275</v>
      </c>
      <c r="D85" s="48">
        <f>IF(43.73524="","-",43.73524/1787183.4192*100)</f>
        <v>2.4471601252644389E-3</v>
      </c>
      <c r="E85" s="48">
        <f>IF(298.98316="","-",298.98316/1544947.98319*100)</f>
        <v>1.9352312391946118E-2</v>
      </c>
      <c r="F85" s="48">
        <f>IF(OR(1752232.13505="",326.76673="",43.73524=""),"-",(43.73524-326.76673)/1752232.13505*100)</f>
        <v>-1.6152625233752133E-2</v>
      </c>
      <c r="G85" s="48">
        <f>IF(OR(1787183.4192="",298.98316="",43.73524=""),"-",(298.98316-43.73524)/1787183.4192*100)</f>
        <v>1.42821333981633E-2</v>
      </c>
    </row>
    <row r="86" spans="1:7" x14ac:dyDescent="0.25">
      <c r="A86" s="47" t="s">
        <v>87</v>
      </c>
      <c r="B86" s="48">
        <f>IF(290.07564="","-",290.07564)</f>
        <v>290.07564000000002</v>
      </c>
      <c r="C86" s="48" t="s">
        <v>248</v>
      </c>
      <c r="D86" s="48">
        <f>IF(129.80364="","-",129.80364/1787183.4192*100)</f>
        <v>7.2630284393587442E-3</v>
      </c>
      <c r="E86" s="48">
        <f>IF(290.07564="","-",290.07564/1544947.98319*100)</f>
        <v>1.8775754469160411E-2</v>
      </c>
      <c r="F86" s="48">
        <f>IF(OR(1752232.13505="",115.8512="",129.80364=""),"-",(129.80364-115.8512)/1752232.13505*100)</f>
        <v>7.9626664303824462E-4</v>
      </c>
      <c r="G86" s="48">
        <f>IF(OR(1787183.4192="",290.07564="",129.80364=""),"-",(290.07564-129.80364)/1787183.4192*100)</f>
        <v>8.9678540142087305E-3</v>
      </c>
    </row>
    <row r="87" spans="1:7" x14ac:dyDescent="0.25">
      <c r="A87" s="47" t="s">
        <v>92</v>
      </c>
      <c r="B87" s="48">
        <f>IF(278.65409="","-",278.65409)</f>
        <v>278.65409</v>
      </c>
      <c r="C87" s="48">
        <f>IF(OR(1175.53676="",278.65409=""),"-",278.65409/1175.53676*100)</f>
        <v>23.704413122733822</v>
      </c>
      <c r="D87" s="48">
        <f>IF(1175.53676="","-",1175.53676/1787183.4192*100)</f>
        <v>6.5775943720774194E-2</v>
      </c>
      <c r="E87" s="48">
        <f>IF(278.65409="","-",278.65409/1544947.98319*100)</f>
        <v>1.803647067939702E-2</v>
      </c>
      <c r="F87" s="48">
        <f>IF(OR(1752232.13505="",30.51845="",1175.53676=""),"-",(1175.53676-30.51845)/1752232.13505*100)</f>
        <v>6.5346268173955543E-2</v>
      </c>
      <c r="G87" s="48">
        <f>IF(OR(1787183.4192="",278.65409="",1175.53676=""),"-",(278.65409-1175.53676)/1787183.4192*100)</f>
        <v>-5.018414228582499E-2</v>
      </c>
    </row>
    <row r="88" spans="1:7" x14ac:dyDescent="0.25">
      <c r="A88" s="47" t="s">
        <v>166</v>
      </c>
      <c r="B88" s="48">
        <f>IF(258.97064="","-",258.97064)</f>
        <v>258.97064</v>
      </c>
      <c r="C88" s="48">
        <f>IF(OR(189.65507="",258.97064=""),"-",258.97064/189.65507*100)</f>
        <v>136.54822937240749</v>
      </c>
      <c r="D88" s="48">
        <f>IF(189.65507="","-",189.65507/1787183.4192*100)</f>
        <v>1.0611953309464768E-2</v>
      </c>
      <c r="E88" s="48">
        <f>IF(258.97064="","-",258.97064/1544947.98319*100)</f>
        <v>1.6762418076062269E-2</v>
      </c>
      <c r="F88" s="48">
        <f>IF(OR(1752232.13505="",221.20633="",189.65507=""),"-",(189.65507-221.20633)/1752232.13505*100)</f>
        <v>-1.800632425857188E-3</v>
      </c>
      <c r="G88" s="48">
        <f>IF(OR(1787183.4192="",258.97064="",189.65507=""),"-",(258.97064-189.65507)/1787183.4192*100)</f>
        <v>3.8784810364359728E-3</v>
      </c>
    </row>
    <row r="89" spans="1:7" x14ac:dyDescent="0.25">
      <c r="A89" s="47" t="s">
        <v>137</v>
      </c>
      <c r="B89" s="48">
        <f>IF(232.91559="","-",232.91559)</f>
        <v>232.91559000000001</v>
      </c>
      <c r="C89" s="48">
        <f>IF(OR(309.7686="",232.91559=""),"-",232.91559/309.7686*100)</f>
        <v>75.190187126777857</v>
      </c>
      <c r="D89" s="48">
        <f>IF(309.7686="","-",309.7686/1787183.4192*100)</f>
        <v>1.7332781664831147E-2</v>
      </c>
      <c r="E89" s="48">
        <f>IF(232.91559="","-",232.91559/1544947.98319*100)</f>
        <v>1.5075950293101596E-2</v>
      </c>
      <c r="F89" s="48">
        <f>IF(OR(1752232.13505="",341.85669="",309.7686=""),"-",(309.7686-341.85669)/1752232.13505*100)</f>
        <v>-1.8312693482866861E-3</v>
      </c>
      <c r="G89" s="48">
        <f>IF(OR(1787183.4192="",232.91559="",309.7686=""),"-",(232.91559-309.7686)/1787183.4192*100)</f>
        <v>-4.3002306967687646E-3</v>
      </c>
    </row>
    <row r="90" spans="1:7" x14ac:dyDescent="0.25">
      <c r="A90" s="47" t="s">
        <v>75</v>
      </c>
      <c r="B90" s="48">
        <f>IF(215.83129="","-",215.83129)</f>
        <v>215.83129</v>
      </c>
      <c r="C90" s="48">
        <f>IF(OR(485.06986="",215.83129=""),"-",215.83129/485.06986*100)</f>
        <v>44.494887808531331</v>
      </c>
      <c r="D90" s="48">
        <f>IF(485.06986="","-",485.06986/1787183.4192*100)</f>
        <v>2.7141582379783528E-2</v>
      </c>
      <c r="E90" s="48">
        <f>IF(215.83129="","-",215.83129/1544947.98319*100)</f>
        <v>1.3970133127353112E-2</v>
      </c>
      <c r="F90" s="48">
        <f>IF(OR(1752232.13505="",396.83861="",485.06986=""),"-",(485.06986-396.83861)/1752232.13505*100)</f>
        <v>5.0353630797601084E-3</v>
      </c>
      <c r="G90" s="48">
        <f>IF(OR(1787183.4192="",215.83129="",485.06986=""),"-",(215.83129-485.06986)/1787183.4192*100)</f>
        <v>-1.506496575043874E-2</v>
      </c>
    </row>
    <row r="91" spans="1:7" x14ac:dyDescent="0.25">
      <c r="A91" s="47" t="s">
        <v>97</v>
      </c>
      <c r="B91" s="48">
        <f>IF(208.29895="","-",208.29895)</f>
        <v>208.29894999999999</v>
      </c>
      <c r="C91" s="48">
        <f>IF(OR(392.70711="",208.29895=""),"-",208.29895/392.70711*100)</f>
        <v>53.041807671880449</v>
      </c>
      <c r="D91" s="48">
        <f>IF(392.70711="","-",392.70711/1787183.4192*100)</f>
        <v>2.1973520220761013E-2</v>
      </c>
      <c r="E91" s="48">
        <f>IF(208.29895="","-",208.29895/1544947.98319*100)</f>
        <v>1.3482586615628667E-2</v>
      </c>
      <c r="F91" s="48">
        <f>IF(OR(1752232.13505="",353.96889="",392.70711=""),"-",(392.70711-353.96889)/1752232.13505*100)</f>
        <v>2.2107926926528271E-3</v>
      </c>
      <c r="G91" s="48">
        <f>IF(OR(1787183.4192="",208.29895="",392.70711=""),"-",(208.29895-392.70711)/1787183.4192*100)</f>
        <v>-1.0318367886523195E-2</v>
      </c>
    </row>
    <row r="92" spans="1:7" x14ac:dyDescent="0.25">
      <c r="A92" s="47" t="s">
        <v>178</v>
      </c>
      <c r="B92" s="48">
        <f>IF(203.31265="","-",203.31265)</f>
        <v>203.31264999999999</v>
      </c>
      <c r="C92" s="48">
        <f>IF(OR(559.90682="",203.31265=""),"-",203.31265/559.90682*100)</f>
        <v>36.311872393338589</v>
      </c>
      <c r="D92" s="48">
        <f>IF(559.90682="","-",559.90682/1787183.4192*100)</f>
        <v>3.1329007083706728E-2</v>
      </c>
      <c r="E92" s="48">
        <f>IF(203.31265="","-",203.31265/1544947.98319*100)</f>
        <v>1.315983788529897E-2</v>
      </c>
      <c r="F92" s="48">
        <f>IF(OR(1752232.13505="",543.30054="",559.90682=""),"-",(559.90682-543.30054)/1752232.13505*100)</f>
        <v>9.4772146154745781E-4</v>
      </c>
      <c r="G92" s="48">
        <f>IF(OR(1787183.4192="",203.31265="",559.90682=""),"-",(203.31265-559.90682)/1787183.4192*100)</f>
        <v>-1.9952858009371136E-2</v>
      </c>
    </row>
    <row r="93" spans="1:7" x14ac:dyDescent="0.25">
      <c r="A93" s="47" t="s">
        <v>64</v>
      </c>
      <c r="B93" s="48">
        <f>IF(193.44042="","-",193.44042)</f>
        <v>193.44041999999999</v>
      </c>
      <c r="C93" s="48">
        <f>IF(OR(1993.50948="",193.44042=""),"-",193.44042/1993.50948*100)</f>
        <v>9.703511417462634</v>
      </c>
      <c r="D93" s="48">
        <f>IF(1993.50948="","-",1993.50948/1787183.4192*100)</f>
        <v>0.11154476135932137</v>
      </c>
      <c r="E93" s="48">
        <f>IF(193.44042="","-",193.44042/1544947.98319*100)</f>
        <v>1.2520837083497483E-2</v>
      </c>
      <c r="F93" s="48">
        <f>IF(OR(1752232.13505="",1179.22418="",1993.50948=""),"-",(1993.50948-1179.22418)/1752232.13505*100)</f>
        <v>4.6471314143360601E-2</v>
      </c>
      <c r="G93" s="48">
        <f>IF(OR(1787183.4192="",193.44042="",1993.50948=""),"-",(193.44042-1993.50948)/1787183.4192*100)</f>
        <v>-0.10072100270523818</v>
      </c>
    </row>
    <row r="94" spans="1:7" x14ac:dyDescent="0.25">
      <c r="A94" s="47" t="s">
        <v>174</v>
      </c>
      <c r="B94" s="48">
        <f>IF(184.41676="","-",184.41676)</f>
        <v>184.41676000000001</v>
      </c>
      <c r="C94" s="48" t="str">
        <f>IF(OR(""="",184.41676=""),"-",184.41676/""*100)</f>
        <v>-</v>
      </c>
      <c r="D94" s="48" t="str">
        <f>IF(""="","-",""/1787183.4192*100)</f>
        <v>-</v>
      </c>
      <c r="E94" s="48">
        <f>IF(184.41676="","-",184.41676/1544947.98319*100)</f>
        <v>1.1936761755513432E-2</v>
      </c>
      <c r="F94" s="48" t="str">
        <f>IF(OR(1752232.13505="",""="",""=""),"-",(""-"")/1752232.13505*100)</f>
        <v>-</v>
      </c>
      <c r="G94" s="48" t="str">
        <f>IF(OR(1787183.4192="",184.41676="",""=""),"-",(184.41676-"")/1787183.4192*100)</f>
        <v>-</v>
      </c>
    </row>
    <row r="95" spans="1:7" x14ac:dyDescent="0.25">
      <c r="A95" s="47" t="s">
        <v>173</v>
      </c>
      <c r="B95" s="48">
        <f>IF(179.7168="","-",179.7168)</f>
        <v>179.71680000000001</v>
      </c>
      <c r="C95" s="48" t="s">
        <v>20</v>
      </c>
      <c r="D95" s="48">
        <f>IF(88.5175="","-",88.5175/1787183.4192*100)</f>
        <v>4.9529051718498621E-3</v>
      </c>
      <c r="E95" s="48">
        <f>IF(179.7168="","-",179.7168/1544947.98319*100)</f>
        <v>1.1632546982515344E-2</v>
      </c>
      <c r="F95" s="48">
        <f>IF(OR(1752232.13505="",65.856="",88.5175=""),"-",(88.5175-65.856)/1752232.13505*100)</f>
        <v>1.2932932541699653E-3</v>
      </c>
      <c r="G95" s="48">
        <f>IF(OR(1787183.4192="",179.7168="",88.5175=""),"-",(179.7168-88.5175)/1787183.4192*100)</f>
        <v>5.1029625174579853E-3</v>
      </c>
    </row>
    <row r="96" spans="1:7" x14ac:dyDescent="0.25">
      <c r="A96" s="47" t="s">
        <v>79</v>
      </c>
      <c r="B96" s="48">
        <f>IF(168.65712="","-",168.65712)</f>
        <v>168.65711999999999</v>
      </c>
      <c r="C96" s="48" t="s">
        <v>104</v>
      </c>
      <c r="D96" s="48">
        <f>IF(97.47265="","-",97.47265/1787183.4192*100)</f>
        <v>5.4539813291034139E-3</v>
      </c>
      <c r="E96" s="48">
        <f>IF(168.65712="","-",168.65712/1544947.98319*100)</f>
        <v>1.0916685987819325E-2</v>
      </c>
      <c r="F96" s="48">
        <f>IF(OR(1752232.13505="",288.6137="",97.47265=""),"-",(97.47265-288.6137)/1752232.13505*100)</f>
        <v>-1.0908431946692143E-2</v>
      </c>
      <c r="G96" s="48">
        <f>IF(OR(1787183.4192="",168.65712="",97.47265=""),"-",(168.65712-97.47265)/1787183.4192*100)</f>
        <v>3.9830534032071771E-3</v>
      </c>
    </row>
    <row r="97" spans="1:7" x14ac:dyDescent="0.25">
      <c r="A97" s="47" t="s">
        <v>102</v>
      </c>
      <c r="B97" s="48">
        <f>IF(154.33353="","-",154.33353)</f>
        <v>154.33353</v>
      </c>
      <c r="C97" s="48">
        <f>IF(OR(428.11771="",154.33353=""),"-",154.33353/428.11771*100)</f>
        <v>36.049321575601248</v>
      </c>
      <c r="D97" s="48">
        <f>IF(428.11771="","-",428.11771/1787183.4192*100)</f>
        <v>2.3954883723778006E-2</v>
      </c>
      <c r="E97" s="48">
        <f>IF(154.33353="","-",154.33353/1544947.98319*100)</f>
        <v>9.9895615696609392E-3</v>
      </c>
      <c r="F97" s="48">
        <f>IF(OR(1752232.13505="",332.06609="",428.11771=""),"-",(428.11771-332.06609)/1752232.13505*100)</f>
        <v>5.481672095761397E-3</v>
      </c>
      <c r="G97" s="48">
        <f>IF(OR(1787183.4192="",154.33353="",428.11771=""),"-",(154.33353-428.11771)/1787183.4192*100)</f>
        <v>-1.5319310657131907E-2</v>
      </c>
    </row>
    <row r="98" spans="1:7" x14ac:dyDescent="0.25">
      <c r="A98" s="47" t="s">
        <v>84</v>
      </c>
      <c r="B98" s="48">
        <f>IF(146.38074="","-",146.38074)</f>
        <v>146.38074</v>
      </c>
      <c r="C98" s="48">
        <f>IF(OR(670.70678="",146.38074=""),"-",146.38074/670.70678*100)</f>
        <v>21.824848706613643</v>
      </c>
      <c r="D98" s="48">
        <f>IF(670.70678="","-",670.70678/1787183.4192*100)</f>
        <v>3.7528704261380719E-2</v>
      </c>
      <c r="E98" s="48">
        <f>IF(146.38074="","-",146.38074/1544947.98319*100)</f>
        <v>9.4748005494498175E-3</v>
      </c>
      <c r="F98" s="48">
        <f>IF(OR(1752232.13505="",0.19008="",670.70678=""),"-",(670.70678-0.19008)/1752232.13505*100)</f>
        <v>3.8266430947567737E-2</v>
      </c>
      <c r="G98" s="48">
        <f>IF(OR(1787183.4192="",146.38074="",670.70678=""),"-",(146.38074-670.70678)/1787183.4192*100)</f>
        <v>-2.9338121334781905E-2</v>
      </c>
    </row>
    <row r="99" spans="1:7" x14ac:dyDescent="0.25">
      <c r="A99" s="47" t="s">
        <v>108</v>
      </c>
      <c r="B99" s="48">
        <f>IF(109.99736="","-",109.99736)</f>
        <v>109.99736</v>
      </c>
      <c r="C99" s="48">
        <f>IF(OR(300.93412="",109.99736=""),"-",109.99736/300.93412*100)</f>
        <v>36.551973568168336</v>
      </c>
      <c r="D99" s="48">
        <f>IF(300.93412="","-",300.93412/1787183.4192*100)</f>
        <v>1.6838457472636337E-2</v>
      </c>
      <c r="E99" s="48">
        <f>IF(109.99736="","-",109.99736/1544947.98319*100)</f>
        <v>7.11980993514604E-3</v>
      </c>
      <c r="F99" s="48">
        <f>IF(OR(1752232.13505="",305.91438="",300.93412=""),"-",(300.93412-305.91438)/1752232.13505*100)</f>
        <v>-2.8422375668038275E-4</v>
      </c>
      <c r="G99" s="48">
        <f>IF(OR(1787183.4192="",109.99736="",300.93412=""),"-",(109.99736-300.93412)/1787183.4192*100)</f>
        <v>-1.0683668947951037E-2</v>
      </c>
    </row>
    <row r="100" spans="1:7" x14ac:dyDescent="0.25">
      <c r="A100" s="47" t="s">
        <v>99</v>
      </c>
      <c r="B100" s="48">
        <f>IF(106.01381="","-",106.01381)</f>
        <v>106.01381000000001</v>
      </c>
      <c r="C100" s="48" t="s">
        <v>96</v>
      </c>
      <c r="D100" s="48">
        <f>IF(49.79499="","-",49.79499/1787183.4192*100)</f>
        <v>2.7862271698049783E-3</v>
      </c>
      <c r="E100" s="48">
        <f>IF(106.01381="","-",106.01381/1544947.98319*100)</f>
        <v>6.8619663026520342E-3</v>
      </c>
      <c r="F100" s="48">
        <f>IF(OR(1752232.13505="",85.68156="",49.79499=""),"-",(49.79499-85.68156)/1752232.13505*100)</f>
        <v>-2.0480488447939568E-3</v>
      </c>
      <c r="G100" s="48">
        <f>IF(OR(1787183.4192="",106.01381="",49.79499=""),"-",(106.01381-49.79499)/1787183.4192*100)</f>
        <v>3.1456659342310451E-3</v>
      </c>
    </row>
    <row r="101" spans="1:7" x14ac:dyDescent="0.25">
      <c r="A101" s="47" t="s">
        <v>91</v>
      </c>
      <c r="B101" s="48">
        <f>IF(104.15317="","-",104.15317)</f>
        <v>104.15317</v>
      </c>
      <c r="C101" s="48">
        <f>IF(OR(96.78179="",104.15317=""),"-",104.15317/96.78179*100)</f>
        <v>107.61649479721341</v>
      </c>
      <c r="D101" s="48">
        <f>IF(96.78179="","-",96.78179/1787183.4192*100)</f>
        <v>5.4153249722584491E-3</v>
      </c>
      <c r="E101" s="48">
        <f>IF(104.15317="","-",104.15317/1544947.98319*100)</f>
        <v>6.7415324744426099E-3</v>
      </c>
      <c r="F101" s="48">
        <f>IF(OR(1752232.13505="",96.62283="",96.78179=""),"-",(96.78179-96.62283)/1752232.13505*100)</f>
        <v>9.0718573652612315E-6</v>
      </c>
      <c r="G101" s="48">
        <f>IF(OR(1787183.4192="",104.15317="",96.78179=""),"-",(104.15317-96.78179)/1787183.4192*100)</f>
        <v>4.1245794476426294E-4</v>
      </c>
    </row>
    <row r="102" spans="1:7" x14ac:dyDescent="0.25">
      <c r="A102" s="47" t="s">
        <v>165</v>
      </c>
      <c r="B102" s="48">
        <f>IF(87.612="","-",87.612)</f>
        <v>87.611999999999995</v>
      </c>
      <c r="C102" s="48" t="s">
        <v>247</v>
      </c>
      <c r="D102" s="48">
        <f>IF(23.32711="","-",23.32711/1787183.4192*100)</f>
        <v>1.3052443162460605E-3</v>
      </c>
      <c r="E102" s="48">
        <f>IF(87.612="","-",87.612/1544947.98319*100)</f>
        <v>5.6708705376021283E-3</v>
      </c>
      <c r="F102" s="48">
        <f>IF(OR(1752232.13505="",55.11432="",23.32711=""),"-",(23.32711-55.11432)/1752232.13505*100)</f>
        <v>-1.8140981074458464E-3</v>
      </c>
      <c r="G102" s="48">
        <f>IF(OR(1787183.4192="",87.612="",23.32711=""),"-",(87.612-23.32711)/1787183.4192*100)</f>
        <v>3.5969945395294654E-3</v>
      </c>
    </row>
    <row r="103" spans="1:7" x14ac:dyDescent="0.25">
      <c r="A103" s="47" t="s">
        <v>132</v>
      </c>
      <c r="B103" s="48">
        <f>IF(84.02928="","-",84.02928)</f>
        <v>84.02928</v>
      </c>
      <c r="C103" s="48">
        <f>IF(OR(3011.20341="",84.02928=""),"-",84.02928/3011.20341*100)</f>
        <v>2.7905547569767131</v>
      </c>
      <c r="D103" s="48">
        <f>IF(3011.20341="","-",3011.20341/1787183.4192*100)</f>
        <v>0.16848877276110308</v>
      </c>
      <c r="E103" s="48">
        <f>IF(84.02928="","-",84.02928/1544947.98319*100)</f>
        <v>5.4389714679258525E-3</v>
      </c>
      <c r="F103" s="48">
        <f>IF(OR(1752232.13505="",51.49657="",3011.20341=""),"-",(3011.20341-51.49657)/1752232.13505*100)</f>
        <v>0.16891065862774771</v>
      </c>
      <c r="G103" s="48">
        <f>IF(OR(1787183.4192="",84.02928="",3011.20341=""),"-",(84.02928-3011.20341)/1787183.4192*100)</f>
        <v>-0.16378700129784643</v>
      </c>
    </row>
    <row r="104" spans="1:7" x14ac:dyDescent="0.25">
      <c r="A104" s="47" t="s">
        <v>179</v>
      </c>
      <c r="B104" s="48">
        <f>IF(72.2805="","-",72.2805)</f>
        <v>72.280500000000004</v>
      </c>
      <c r="C104" s="48">
        <f>IF(OR(397.19307="",72.2805=""),"-",72.2805/397.19307*100)</f>
        <v>18.197825052687854</v>
      </c>
      <c r="D104" s="48">
        <f>IF(397.19307="","-",397.19307/1787183.4192*100)</f>
        <v>2.2224527473391414E-2</v>
      </c>
      <c r="E104" s="48">
        <f>IF(72.2805="","-",72.2805/1544947.98319*100)</f>
        <v>4.6785070297807457E-3</v>
      </c>
      <c r="F104" s="48">
        <f>IF(OR(1752232.13505="",30.13138="",397.19307=""),"-",(397.19307-30.13138)/1752232.13505*100)</f>
        <v>2.0948234121361202E-2</v>
      </c>
      <c r="G104" s="48">
        <f>IF(OR(1787183.4192="",72.2805="",397.19307=""),"-",(72.2805-397.19307)/1787183.4192*100)</f>
        <v>-1.8180146844997094E-2</v>
      </c>
    </row>
    <row r="105" spans="1:7" x14ac:dyDescent="0.25">
      <c r="A105" s="47" t="s">
        <v>74</v>
      </c>
      <c r="B105" s="48">
        <f>IF(70.05237="","-",70.05237)</f>
        <v>70.052369999999996</v>
      </c>
      <c r="C105" s="48" t="str">
        <f>IF(OR(""="",70.05237=""),"-",70.05237/""*100)</f>
        <v>-</v>
      </c>
      <c r="D105" s="48" t="str">
        <f>IF(""="","-",""/1787183.4192*100)</f>
        <v>-</v>
      </c>
      <c r="E105" s="48">
        <f>IF(70.05237="","-",70.05237/1544947.98319*100)</f>
        <v>4.5342866402114232E-3</v>
      </c>
      <c r="F105" s="48" t="str">
        <f>IF(OR(1752232.13505="",188.42651="",""=""),"-",(""-188.42651)/1752232.13505*100)</f>
        <v>-</v>
      </c>
      <c r="G105" s="48" t="str">
        <f>IF(OR(1787183.4192="",70.05237="",""=""),"-",(70.05237-"")/1787183.4192*100)</f>
        <v>-</v>
      </c>
    </row>
    <row r="106" spans="1:7" x14ac:dyDescent="0.25">
      <c r="A106" s="47" t="s">
        <v>145</v>
      </c>
      <c r="B106" s="48">
        <f>IF(63.79511="","-",63.79511)</f>
        <v>63.795110000000001</v>
      </c>
      <c r="C106" s="48">
        <f>IF(OR(133.4746="",63.79511=""),"-",63.79511/133.4746*100)</f>
        <v>47.795692963305378</v>
      </c>
      <c r="D106" s="48">
        <f>IF(133.4746="","-",133.4746/1787183.4192*100)</f>
        <v>7.4684332098239525E-3</v>
      </c>
      <c r="E106" s="48">
        <f>IF(63.79511="","-",63.79511/1544947.98319*100)</f>
        <v>4.1292723570068822E-3</v>
      </c>
      <c r="F106" s="48">
        <f>IF(OR(1752232.13505="",436.94111="",133.4746=""),"-",(133.4746-436.94111)/1752232.13505*100)</f>
        <v>-1.7318853131941935E-2</v>
      </c>
      <c r="G106" s="48">
        <f>IF(OR(1787183.4192="",63.79511="",133.4746=""),"-",(63.79511-133.4746)/1787183.4192*100)</f>
        <v>-3.8988438036869641E-3</v>
      </c>
    </row>
    <row r="107" spans="1:7" x14ac:dyDescent="0.25">
      <c r="A107" s="47" t="s">
        <v>144</v>
      </c>
      <c r="B107" s="48">
        <f>IF(56.82725="","-",56.82725)</f>
        <v>56.827249999999999</v>
      </c>
      <c r="C107" s="48" t="str">
        <f>IF(OR(""="",56.82725=""),"-",56.82725/""*100)</f>
        <v>-</v>
      </c>
      <c r="D107" s="48" t="str">
        <f>IF(""="","-",""/1787183.4192*100)</f>
        <v>-</v>
      </c>
      <c r="E107" s="48">
        <f>IF(56.82725="","-",56.82725/1544947.98319*100)</f>
        <v>3.6782629977394716E-3</v>
      </c>
      <c r="F107" s="48" t="str">
        <f>IF(OR(1752232.13505="",""="",""=""),"-",(""-"")/1752232.13505*100)</f>
        <v>-</v>
      </c>
      <c r="G107" s="48" t="str">
        <f>IF(OR(1787183.4192="",56.82725="",""=""),"-",(56.82725-"")/1787183.4192*100)</f>
        <v>-</v>
      </c>
    </row>
    <row r="108" spans="1:7" x14ac:dyDescent="0.25">
      <c r="A108" s="49" t="s">
        <v>95</v>
      </c>
      <c r="B108" s="50">
        <f>IF(50.88265="","-",50.88265)</f>
        <v>50.882649999999998</v>
      </c>
      <c r="C108" s="50">
        <f>IF(OR(81.87974="",50.88265=""),"-",50.88265/81.87974*100)</f>
        <v>62.143150430130824</v>
      </c>
      <c r="D108" s="50">
        <f>IF(81.87974="","-",81.87974/1787183.4192*100)</f>
        <v>4.5814961755101767E-3</v>
      </c>
      <c r="E108" s="50">
        <f>IF(50.88265="","-",50.88265/1544947.98319*100)</f>
        <v>3.2934862890941986E-3</v>
      </c>
      <c r="F108" s="50">
        <f>IF(OR(1752232.13505="",23.65="",81.87974=""),"-",(81.87974-23.65)/1752232.13505*100)</f>
        <v>3.323174985507181E-3</v>
      </c>
      <c r="G108" s="50">
        <f>IF(OR(1787183.4192="",50.88265="",81.87974=""),"-",(50.88265-81.87974)/1787183.4192*100)</f>
        <v>-1.7344101152121968E-3</v>
      </c>
    </row>
    <row r="109" spans="1:7" x14ac:dyDescent="0.25">
      <c r="A109" s="51" t="s">
        <v>152</v>
      </c>
      <c r="B109" s="52">
        <f>IF(50.18097="","-",50.18097)</f>
        <v>50.180970000000002</v>
      </c>
      <c r="C109" s="52">
        <f>IF(OR(43.23246="",50.18097=""),"-",50.18097/43.23246*100)</f>
        <v>116.07243723813079</v>
      </c>
      <c r="D109" s="52">
        <f>IF(43.23246="","-",43.23246/1787183.4192*100)</f>
        <v>2.4190275903159526E-3</v>
      </c>
      <c r="E109" s="52">
        <f>IF(50.18097="","-",50.18097/1544947.98319*100)</f>
        <v>3.248068578748303E-3</v>
      </c>
      <c r="F109" s="52">
        <f>IF(OR(1752232.13505="",134.90109="",43.23246=""),"-",(43.23246-134.90109)/1752232.13505*100)</f>
        <v>-5.2315345761755616E-3</v>
      </c>
      <c r="G109" s="52">
        <f>IF(OR(1787183.4192="",50.18097="",43.23246=""),"-",(50.18097-43.23246)/1787183.4192*100)</f>
        <v>3.8879669122659903E-4</v>
      </c>
    </row>
    <row r="110" spans="1:7" x14ac:dyDescent="0.25">
      <c r="A110" s="42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0"/>
  <sheetViews>
    <sheetView zoomScaleNormal="100" workbookViewId="0">
      <selection activeCell="A120" sqref="A120"/>
    </sheetView>
  </sheetViews>
  <sheetFormatPr defaultRowHeight="15.75" x14ac:dyDescent="0.25"/>
  <cols>
    <col min="1" max="1" width="27.12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8" t="s">
        <v>158</v>
      </c>
      <c r="B1" s="98"/>
      <c r="C1" s="98"/>
      <c r="D1" s="98"/>
      <c r="E1" s="98"/>
      <c r="F1" s="98"/>
      <c r="G1" s="98"/>
    </row>
    <row r="2" spans="1:7" x14ac:dyDescent="0.25">
      <c r="A2" s="2"/>
    </row>
    <row r="3" spans="1:7" ht="55.5" customHeight="1" x14ac:dyDescent="0.25">
      <c r="A3" s="86"/>
      <c r="B3" s="89" t="s">
        <v>252</v>
      </c>
      <c r="C3" s="90"/>
      <c r="D3" s="89" t="s">
        <v>109</v>
      </c>
      <c r="E3" s="90"/>
      <c r="F3" s="91" t="s">
        <v>121</v>
      </c>
      <c r="G3" s="92"/>
    </row>
    <row r="4" spans="1:7" ht="25.5" customHeight="1" x14ac:dyDescent="0.25">
      <c r="A4" s="87"/>
      <c r="B4" s="93" t="s">
        <v>100</v>
      </c>
      <c r="C4" s="95" t="s">
        <v>255</v>
      </c>
      <c r="D4" s="97" t="s">
        <v>254</v>
      </c>
      <c r="E4" s="97"/>
      <c r="F4" s="97" t="s">
        <v>254</v>
      </c>
      <c r="G4" s="89"/>
    </row>
    <row r="5" spans="1:7" ht="26.25" customHeight="1" x14ac:dyDescent="0.25">
      <c r="A5" s="88"/>
      <c r="B5" s="94"/>
      <c r="C5" s="96"/>
      <c r="D5" s="28">
        <v>2019</v>
      </c>
      <c r="E5" s="28">
        <v>2020</v>
      </c>
      <c r="F5" s="28" t="s">
        <v>122</v>
      </c>
      <c r="G5" s="27" t="s">
        <v>141</v>
      </c>
    </row>
    <row r="6" spans="1:7" s="3" customFormat="1" ht="15" x14ac:dyDescent="0.25">
      <c r="A6" s="43" t="s">
        <v>133</v>
      </c>
      <c r="B6" s="44">
        <f>IF(3323417.92643="","-",3323417.92643)</f>
        <v>3323417.92643</v>
      </c>
      <c r="C6" s="44">
        <f>IF(3771658.08092="","-",3323417.92643/3771658.08092*100)</f>
        <v>88.115567613152692</v>
      </c>
      <c r="D6" s="44">
        <v>100</v>
      </c>
      <c r="E6" s="44">
        <v>100</v>
      </c>
      <c r="F6" s="44">
        <f>IF(3703581.02097="","-",(3771658.08092-3703581.02097)/3703581.02097*100)</f>
        <v>1.83814150587072</v>
      </c>
      <c r="G6" s="44">
        <f>IF(3771658.08092="","-",(3323417.92643-3771658.08092)/3771658.08092*100)</f>
        <v>-11.884432386847307</v>
      </c>
    </row>
    <row r="7" spans="1:7" s="3" customFormat="1" ht="15" x14ac:dyDescent="0.25">
      <c r="A7" s="35" t="s">
        <v>138</v>
      </c>
      <c r="B7" s="34"/>
      <c r="C7" s="34"/>
      <c r="D7" s="34"/>
      <c r="E7" s="34"/>
      <c r="F7" s="34"/>
      <c r="G7" s="34"/>
    </row>
    <row r="8" spans="1:7" ht="12.75" customHeight="1" x14ac:dyDescent="0.25">
      <c r="A8" s="36" t="s">
        <v>167</v>
      </c>
      <c r="B8" s="46">
        <f>IF(1520894.4416="","-",1520894.4416)</f>
        <v>1520894.4416</v>
      </c>
      <c r="C8" s="46">
        <f>IF(1848796.80394="","-",1520894.4416/1848796.80394*100)</f>
        <v>82.26401291687641</v>
      </c>
      <c r="D8" s="46">
        <f>IF(1848796.80394="","-",1848796.80394/3771658.08092*100)</f>
        <v>49.018144388343728</v>
      </c>
      <c r="E8" s="46">
        <f>IF(1520894.4416="","-",1520894.4416/3323417.92643*100)</f>
        <v>45.762960761114321</v>
      </c>
      <c r="F8" s="46">
        <f>IF(3703581.02097="","-",(1848796.80394-1834239.60364)/3703581.02097*100)</f>
        <v>0.39305742786713094</v>
      </c>
      <c r="G8" s="46">
        <f>IF(3771658.08092="","-",(1520894.4416-1848796.80394)/3771658.08092*100)</f>
        <v>-8.693851757103511</v>
      </c>
    </row>
    <row r="9" spans="1:7" x14ac:dyDescent="0.25">
      <c r="A9" s="47" t="s">
        <v>2</v>
      </c>
      <c r="B9" s="48">
        <f>IF(398536.38572="","-",398536.38572)</f>
        <v>398536.38572000002</v>
      </c>
      <c r="C9" s="48">
        <f>IF(OR(547623.56876="",398536.38572=""),"-",398536.38572/547623.56876*100)</f>
        <v>72.775608731088312</v>
      </c>
      <c r="D9" s="48">
        <f>IF(547623.56876="","-",547623.56876/3771658.08092*100)</f>
        <v>14.519438321578217</v>
      </c>
      <c r="E9" s="48">
        <f>IF(398536.38572="","-",398536.38572/3323417.92643*100)</f>
        <v>11.991762533101154</v>
      </c>
      <c r="F9" s="48">
        <f>IF(OR(3703581.02097="",540693.68259="",547623.56876=""),"-",(547623.56876-540693.68259)/3703581.02097*100)</f>
        <v>0.18711312458840373</v>
      </c>
      <c r="G9" s="48">
        <f>IF(OR(3771658.08092="",398536.38572="",547623.56876=""),"-",(398536.38572-547623.56876)/3771658.08092*100)</f>
        <v>-3.9528286987147574</v>
      </c>
    </row>
    <row r="10" spans="1:7" s="9" customFormat="1" x14ac:dyDescent="0.25">
      <c r="A10" s="47" t="s">
        <v>4</v>
      </c>
      <c r="B10" s="48">
        <f>IF(272709.19457="","-",272709.19457)</f>
        <v>272709.19456999999</v>
      </c>
      <c r="C10" s="48">
        <f>IF(OR(318566.36949="",272709.19457=""),"-",272709.19457/318566.36949*100)</f>
        <v>85.605142503455781</v>
      </c>
      <c r="D10" s="48">
        <f>IF(318566.36949="","-",318566.36949/3771658.08092*100)</f>
        <v>8.4463215555396758</v>
      </c>
      <c r="E10" s="48">
        <f>IF(272709.19457="","-",272709.19457/3323417.92643*100)</f>
        <v>8.2056846477608953</v>
      </c>
      <c r="F10" s="48">
        <f>IF(OR(3703581.02097="",315471.51497="",318566.36949=""),"-",(318566.36949-315471.51497)/3703581.02097*100)</f>
        <v>8.3563840036890144E-2</v>
      </c>
      <c r="G10" s="48">
        <f>IF(OR(3771658.08092="",272709.19457="",318566.36949=""),"-",(272709.19457-318566.36949)/3771658.08092*100)</f>
        <v>-1.2158359516198332</v>
      </c>
    </row>
    <row r="11" spans="1:7" s="9" customFormat="1" x14ac:dyDescent="0.25">
      <c r="A11" s="47" t="s">
        <v>3</v>
      </c>
      <c r="B11" s="48">
        <f>IF(218619.87439="","-",218619.87439)</f>
        <v>218619.87439000001</v>
      </c>
      <c r="C11" s="48">
        <f>IF(OR(264117.52945="",218619.87439=""),"-",218619.87439/264117.52945*100)</f>
        <v>82.773708676306128</v>
      </c>
      <c r="D11" s="48">
        <f>IF(264117.52945="","-",264117.52945/3771658.08092*100)</f>
        <v>7.0026901639391239</v>
      </c>
      <c r="E11" s="48">
        <f>IF(218619.87439="","-",218619.87439/3323417.92643*100)</f>
        <v>6.5781637828751931</v>
      </c>
      <c r="F11" s="48">
        <f>IF(OR(3703581.02097="",262531.53794="",264117.52945=""),"-",(264117.52945-262531.53794)/3703581.02097*100)</f>
        <v>4.2823189259798576E-2</v>
      </c>
      <c r="G11" s="48">
        <f>IF(OR(3771658.08092="",218619.87439="",264117.52945=""),"-",(218619.87439-264117.52945)/3771658.08092*100)</f>
        <v>-1.2063038081358097</v>
      </c>
    </row>
    <row r="12" spans="1:7" s="9" customFormat="1" x14ac:dyDescent="0.25">
      <c r="A12" s="47" t="s">
        <v>5</v>
      </c>
      <c r="B12" s="48">
        <f>IF(130654.17867="","-",130654.17867)</f>
        <v>130654.17866999999</v>
      </c>
      <c r="C12" s="48">
        <f>IF(OR(127141.67785="",130654.17867=""),"-",130654.17867/127141.67785*100)</f>
        <v>102.76266671904708</v>
      </c>
      <c r="D12" s="48">
        <f>IF(127141.67785="","-",127141.67785/3771658.08092*100)</f>
        <v>3.3709757120663228</v>
      </c>
      <c r="E12" s="48">
        <f>IF(130654.17867="","-",130654.17867/3323417.92643*100)</f>
        <v>3.9313195500015885</v>
      </c>
      <c r="F12" s="48">
        <f>IF(OR(3703581.02097="",129377.35522="",127141.67785=""),"-",(127141.67785-129377.35522)/3703581.02097*100)</f>
        <v>-6.0365288550227575E-2</v>
      </c>
      <c r="G12" s="48">
        <f>IF(OR(3771658.08092="",130654.17867="",127141.67785=""),"-",(130654.17867-127141.67785)/3771658.08092*100)</f>
        <v>9.3128824104416585E-2</v>
      </c>
    </row>
    <row r="13" spans="1:7" s="9" customFormat="1" x14ac:dyDescent="0.25">
      <c r="A13" s="47" t="s">
        <v>259</v>
      </c>
      <c r="B13" s="48">
        <f>IF(81464.20412="","-",81464.20412)</f>
        <v>81464.204119999995</v>
      </c>
      <c r="C13" s="48">
        <f>IF(OR(96572.76106="",81464.20412=""),"-",81464.20412/96572.76106*100)</f>
        <v>84.355260454225629</v>
      </c>
      <c r="D13" s="48">
        <f>IF(96572.76106="","-",96572.76106/3771658.08092*100)</f>
        <v>2.5604855739320764</v>
      </c>
      <c r="E13" s="48">
        <f>IF(81464.20412="","-",81464.20412/3323417.92643*100)</f>
        <v>2.4512175694830067</v>
      </c>
      <c r="F13" s="48">
        <f>IF(OR(3703581.02097="",95303.70968="",96572.76106=""),"-",(96572.76106-95303.70968)/3703581.02097*100)</f>
        <v>3.4265522282745382E-2</v>
      </c>
      <c r="G13" s="48">
        <f>IF(OR(3771658.08092="",81464.20412="",96572.76106=""),"-",(81464.20412-96572.76106)/3771658.08092*100)</f>
        <v>-0.40058129914879936</v>
      </c>
    </row>
    <row r="14" spans="1:7" s="9" customFormat="1" x14ac:dyDescent="0.25">
      <c r="A14" s="47" t="s">
        <v>43</v>
      </c>
      <c r="B14" s="48">
        <f>IF(65122.47019="","-",65122.47019)</f>
        <v>65122.47019</v>
      </c>
      <c r="C14" s="48">
        <f>IF(OR(75160.19668="",65122.47019=""),"-",65122.47019/75160.19668*100)</f>
        <v>86.644890602486925</v>
      </c>
      <c r="D14" s="48">
        <f>IF(75160.19668="","-",75160.19668/3771658.08092*100)</f>
        <v>1.9927627337223148</v>
      </c>
      <c r="E14" s="48">
        <f>IF(65122.47019="","-",65122.47019/3323417.92643*100)</f>
        <v>1.9595028862335786</v>
      </c>
      <c r="F14" s="48">
        <f>IF(OR(3703581.02097="",77671.04288="",75160.19668=""),"-",(75160.19668-77671.04288)/3703581.02097*100)</f>
        <v>-6.7795093067584286E-2</v>
      </c>
      <c r="G14" s="48">
        <f>IF(OR(3771658.08092="",65122.47019="",75160.19668=""),"-",(65122.47019-75160.19668)/3771658.08092*100)</f>
        <v>-0.26613564312148741</v>
      </c>
    </row>
    <row r="15" spans="1:7" s="9" customFormat="1" x14ac:dyDescent="0.25">
      <c r="A15" s="47" t="s">
        <v>7</v>
      </c>
      <c r="B15" s="48">
        <f>IF(53790.02557="","-",53790.02557)</f>
        <v>53790.025569999998</v>
      </c>
      <c r="C15" s="48">
        <f>IF(OR(73296.69512="",53790.02557=""),"-",53790.02557/73296.69512*100)</f>
        <v>73.386699744014322</v>
      </c>
      <c r="D15" s="48">
        <f>IF(73296.69512="","-",73296.69512/3771658.08092*100)</f>
        <v>1.9433547142248149</v>
      </c>
      <c r="E15" s="48">
        <f>IF(53790.02557="","-",53790.02557/3323417.92643*100)</f>
        <v>1.6185152382499481</v>
      </c>
      <c r="F15" s="48">
        <f>IF(OR(3703581.02097="",54346.94099="",73296.69512=""),"-",(73296.69512-54346.94099)/3703581.02097*100)</f>
        <v>0.51166030991909817</v>
      </c>
      <c r="G15" s="48">
        <f>IF(OR(3771658.08092="",53790.02557="",73296.69512=""),"-",(53790.02557-73296.69512)/3771658.08092*100)</f>
        <v>-0.51719082513550252</v>
      </c>
    </row>
    <row r="16" spans="1:7" s="9" customFormat="1" x14ac:dyDescent="0.25">
      <c r="A16" s="47" t="s">
        <v>41</v>
      </c>
      <c r="B16" s="48">
        <f>IF(49756.06674="","-",49756.06674)</f>
        <v>49756.066740000002</v>
      </c>
      <c r="C16" s="48">
        <f>IF(OR(54618.77053="",49756.06674=""),"-",49756.06674/54618.77053*100)</f>
        <v>91.097009795690838</v>
      </c>
      <c r="D16" s="48">
        <f>IF(54618.77053="","-",54618.77053/3771658.08092*100)</f>
        <v>1.4481368501112153</v>
      </c>
      <c r="E16" s="48">
        <f>IF(49756.06674="","-",49756.06674/3323417.92643*100)</f>
        <v>1.4971354142464934</v>
      </c>
      <c r="F16" s="48">
        <f>IF(OR(3703581.02097="",51838.53331="",54618.77053=""),"-",(54618.77053-51838.53331)/3703581.02097*100)</f>
        <v>7.5068891547344474E-2</v>
      </c>
      <c r="G16" s="48">
        <f>IF(OR(3771658.08092="",49756.06674="",54618.77053=""),"-",(49756.06674-54618.77053)/3771658.08092*100)</f>
        <v>-0.12892748191039274</v>
      </c>
    </row>
    <row r="17" spans="1:7" s="9" customFormat="1" x14ac:dyDescent="0.25">
      <c r="A17" s="47" t="s">
        <v>6</v>
      </c>
      <c r="B17" s="48">
        <f>IF(38441.04091="","-",38441.04091)</f>
        <v>38441.040910000003</v>
      </c>
      <c r="C17" s="48">
        <f>IF(OR(33887.34833="",38441.04091=""),"-",38441.04091/33887.34833*100)</f>
        <v>113.43773651350786</v>
      </c>
      <c r="D17" s="48">
        <f>IF(33887.34833="","-",33887.34833/3771658.08092*100)</f>
        <v>0.89847349900110896</v>
      </c>
      <c r="E17" s="48">
        <f>IF(38441.04091="","-",38441.04091/3323417.92643*100)</f>
        <v>1.1566718890300141</v>
      </c>
      <c r="F17" s="48">
        <f>IF(OR(3703581.02097="",41939.01462="",33887.34833=""),"-",(33887.34833-41939.01462)/3703581.02097*100)</f>
        <v>-0.21740219113368284</v>
      </c>
      <c r="G17" s="48">
        <f>IF(OR(3771658.08092="",38441.04091="",33887.34833=""),"-",(38441.04091-33887.34833)/3771658.08092*100)</f>
        <v>0.1207345014394636</v>
      </c>
    </row>
    <row r="18" spans="1:7" s="9" customFormat="1" x14ac:dyDescent="0.25">
      <c r="A18" s="47" t="s">
        <v>8</v>
      </c>
      <c r="B18" s="48">
        <f>IF(36650.62012="","-",36650.62012)</f>
        <v>36650.62012</v>
      </c>
      <c r="C18" s="48">
        <f>IF(OR(62870.47546="",36650.62012=""),"-",36650.62012/62870.47546*100)</f>
        <v>58.295439714493924</v>
      </c>
      <c r="D18" s="48">
        <f>IF(62870.47546="","-",62870.47546/3771658.08092*100)</f>
        <v>1.6669187426624936</v>
      </c>
      <c r="E18" s="48">
        <f>IF(36650.62012="","-",36650.62012/3323417.92643*100)</f>
        <v>1.102799013886584</v>
      </c>
      <c r="F18" s="48">
        <f>IF(OR(3703581.02097="",70089.64682="",62870.47546=""),"-",(62870.47546-70089.64682)/3703581.02097*100)</f>
        <v>-0.19492408345124387</v>
      </c>
      <c r="G18" s="48">
        <f>IF(OR(3771658.08092="",36650.62012="",62870.47546=""),"-",(36650.62012-62870.47546)/3771658.08092*100)</f>
        <v>-0.69518113194407949</v>
      </c>
    </row>
    <row r="19" spans="1:7" s="9" customFormat="1" x14ac:dyDescent="0.25">
      <c r="A19" s="47" t="s">
        <v>10</v>
      </c>
      <c r="B19" s="48">
        <f>IF(34980.40445="","-",34980.40445)</f>
        <v>34980.404450000002</v>
      </c>
      <c r="C19" s="48">
        <f>IF(OR(38839.93712="",34980.40445=""),"-",34980.40445/38839.93712*100)</f>
        <v>90.062979097840511</v>
      </c>
      <c r="D19" s="48">
        <f>IF(38839.93712="","-",38839.93712/3771658.08092*100)</f>
        <v>1.0297841502781713</v>
      </c>
      <c r="E19" s="48">
        <f>IF(34980.40445="","-",34980.40445/3323417.92643*100)</f>
        <v>1.0525430512910481</v>
      </c>
      <c r="F19" s="48">
        <f>IF(OR(3703581.02097="",39488.32825="",38839.93712=""),"-",(38839.93712-39488.32825)/3703581.02097*100)</f>
        <v>-1.7507140422438418E-2</v>
      </c>
      <c r="G19" s="48">
        <f>IF(OR(3771658.08092="",34980.40445="",38839.93712=""),"-",(34980.40445-38839.93712)/3771658.08092*100)</f>
        <v>-0.1023298662602673</v>
      </c>
    </row>
    <row r="20" spans="1:7" s="9" customFormat="1" ht="15.75" customHeight="1" x14ac:dyDescent="0.25">
      <c r="A20" s="47" t="s">
        <v>42</v>
      </c>
      <c r="B20" s="48">
        <f>IF(24710.70743="","-",24710.70743)</f>
        <v>24710.707429999999</v>
      </c>
      <c r="C20" s="48">
        <f>IF(OR(28082.14149="",24710.70743=""),"-",24710.70743/28082.14149*100)</f>
        <v>87.994384042254879</v>
      </c>
      <c r="D20" s="48">
        <f>IF(28082.14149="","-",28082.14149/3771658.08092*100)</f>
        <v>0.74455692662231143</v>
      </c>
      <c r="E20" s="48">
        <f>IF(24710.70743="","-",24710.70743/3323417.92643*100)</f>
        <v>0.74353295243081652</v>
      </c>
      <c r="F20" s="48">
        <f>IF(OR(3703581.02097="",31549.98149="",28082.14149=""),"-",(28082.14149-31549.98149)/3703581.02097*100)</f>
        <v>-9.3634781590163224E-2</v>
      </c>
      <c r="G20" s="48">
        <f>IF(OR(3771658.08092="",24710.70743="",28082.14149=""),"-",(24710.70743-28082.14149)/3771658.08092*100)</f>
        <v>-8.9388645197064825E-2</v>
      </c>
    </row>
    <row r="21" spans="1:7" s="9" customFormat="1" x14ac:dyDescent="0.25">
      <c r="A21" s="47" t="s">
        <v>45</v>
      </c>
      <c r="B21" s="48">
        <f>IF(17779.66172="","-",17779.66172)</f>
        <v>17779.66172</v>
      </c>
      <c r="C21" s="48">
        <f>IF(OR(21458.08861="",17779.66172=""),"-",17779.66172/21458.08861*100)</f>
        <v>82.857620933274731</v>
      </c>
      <c r="D21" s="48">
        <f>IF(21458.08861="","-",21458.08861/3771658.08092*100)</f>
        <v>0.56892984861357965</v>
      </c>
      <c r="E21" s="48">
        <f>IF(17779.66172="","-",17779.66172/3323417.92643*100)</f>
        <v>0.53498121854024028</v>
      </c>
      <c r="F21" s="48">
        <f>IF(OR(3703581.02097="",19609.57174="",21458.08861=""),"-",(21458.08861-19609.57174)/3703581.02097*100)</f>
        <v>4.9911608779004302E-2</v>
      </c>
      <c r="G21" s="48">
        <f>IF(OR(3771658.08092="",17779.66172="",21458.08861=""),"-",(17779.66172-21458.08861)/3771658.08092*100)</f>
        <v>-9.7528111273086027E-2</v>
      </c>
    </row>
    <row r="22" spans="1:7" s="9" customFormat="1" x14ac:dyDescent="0.25">
      <c r="A22" s="47" t="s">
        <v>9</v>
      </c>
      <c r="B22" s="48">
        <f>IF(16068.49282="","-",16068.49282)</f>
        <v>16068.492819999999</v>
      </c>
      <c r="C22" s="48">
        <f>IF(OR(15125.12157="",16068.49282=""),"-",16068.49282/15125.12157*100)</f>
        <v>106.23711515728334</v>
      </c>
      <c r="D22" s="48">
        <f>IF(15125.12157="","-",15125.12157/3771658.08092*100)</f>
        <v>0.40102048609641228</v>
      </c>
      <c r="E22" s="48">
        <f>IF(16068.49282="","-",16068.49282/3323417.92643*100)</f>
        <v>0.48349299352972736</v>
      </c>
      <c r="F22" s="48">
        <f>IF(OR(3703581.02097="",16835.56915="",15125.12157=""),"-",(15125.12157-16835.56915)/3703581.02097*100)</f>
        <v>-4.6183614461660111E-2</v>
      </c>
      <c r="G22" s="48">
        <f>IF(OR(3771658.08092="",16068.49282="",15125.12157=""),"-",(16068.49282-15125.12157)/3771658.08092*100)</f>
        <v>2.5012109522130618E-2</v>
      </c>
    </row>
    <row r="23" spans="1:7" s="9" customFormat="1" x14ac:dyDescent="0.25">
      <c r="A23" s="47" t="s">
        <v>53</v>
      </c>
      <c r="B23" s="48">
        <f>IF(14710.52083="","-",14710.52083)</f>
        <v>14710.520829999999</v>
      </c>
      <c r="C23" s="48">
        <f>IF(OR(14324.72958="",14710.52083=""),"-",14710.52083/14324.72958*100)</f>
        <v>102.69318347578886</v>
      </c>
      <c r="D23" s="48">
        <f>IF(14324.72958="","-",14324.72958/3771658.08092*100)</f>
        <v>0.37979926262313379</v>
      </c>
      <c r="E23" s="48">
        <f>IF(14710.52083="","-",14710.52083/3323417.92643*100)</f>
        <v>0.44263228867523058</v>
      </c>
      <c r="F23" s="48">
        <f>IF(OR(3703581.02097="",14155.38721="",14324.72958=""),"-",(14324.72958-14155.38721)/3703581.02097*100)</f>
        <v>4.5723954475726915E-3</v>
      </c>
      <c r="G23" s="48">
        <f>IF(OR(3771658.08092="",14710.52083="",14324.72958=""),"-",(14710.52083-14324.72958)/3771658.08092*100)</f>
        <v>1.0228690982134209E-2</v>
      </c>
    </row>
    <row r="24" spans="1:7" s="9" customFormat="1" x14ac:dyDescent="0.25">
      <c r="A24" s="47" t="s">
        <v>51</v>
      </c>
      <c r="B24" s="48">
        <f>IF(13059.11415="","-",13059.11415)</f>
        <v>13059.114149999999</v>
      </c>
      <c r="C24" s="48">
        <f>IF(OR(16414.24994="",13059.11415=""),"-",13059.11415/16414.24994*100)</f>
        <v>79.559615564133395</v>
      </c>
      <c r="D24" s="48">
        <f>IF(16414.24994="","-",16414.24994/3771658.08092*100)</f>
        <v>0.43519984017204877</v>
      </c>
      <c r="E24" s="48">
        <f>IF(13059.11415="","-",13059.11415/3323417.92643*100)</f>
        <v>0.39294227927656511</v>
      </c>
      <c r="F24" s="48">
        <f>IF(OR(3703581.02097="",15564.09893="",16414.24994=""),"-",(16414.24994-15564.09893)/3703581.02097*100)</f>
        <v>2.2954837633802853E-2</v>
      </c>
      <c r="G24" s="48">
        <f>IF(OR(3771658.08092="",13059.11415="",16414.24994=""),"-",(13059.11415-16414.24994)/3771658.08092*100)</f>
        <v>-8.8956520395443744E-2</v>
      </c>
    </row>
    <row r="25" spans="1:7" s="9" customFormat="1" x14ac:dyDescent="0.25">
      <c r="A25" s="47" t="s">
        <v>52</v>
      </c>
      <c r="B25" s="48">
        <f>IF(11143.44216="","-",11143.44216)</f>
        <v>11143.442160000001</v>
      </c>
      <c r="C25" s="48">
        <f>IF(OR(12213.63472="",11143.44216=""),"-",11143.44216/12213.63472*100)</f>
        <v>91.237722557335502</v>
      </c>
      <c r="D25" s="48">
        <f>IF(12213.63472="","-",12213.63472/3771658.08092*100)</f>
        <v>0.32382666874778837</v>
      </c>
      <c r="E25" s="48">
        <f>IF(11143.44216="","-",11143.44216/3323417.92643*100)</f>
        <v>0.33530065753632837</v>
      </c>
      <c r="F25" s="48">
        <f>IF(OR(3703581.02097="",11212.71927="",12213.63472=""),"-",(12213.63472-11212.71927)/3703581.02097*100)</f>
        <v>2.7025612355521037E-2</v>
      </c>
      <c r="G25" s="48">
        <f>IF(OR(3771658.08092="",11143.44216="",12213.63472=""),"-",(11143.44216-12213.63472)/3771658.08092*100)</f>
        <v>-2.837459114901935E-2</v>
      </c>
    </row>
    <row r="26" spans="1:7" s="9" customFormat="1" x14ac:dyDescent="0.25">
      <c r="A26" s="47" t="s">
        <v>44</v>
      </c>
      <c r="B26" s="48">
        <f>IF(9217.34399="","-",9217.34399)</f>
        <v>9217.3439899999994</v>
      </c>
      <c r="C26" s="48">
        <f>IF(OR(11075.65312="",9217.34399=""),"-",9217.34399/11075.65312*100)</f>
        <v>83.221674515570228</v>
      </c>
      <c r="D26" s="48">
        <f>IF(11075.65312="","-",11075.65312/3771658.08092*100)</f>
        <v>0.29365475030807608</v>
      </c>
      <c r="E26" s="48">
        <f>IF(9217.34399="","-",9217.34399/3323417.92643*100)</f>
        <v>0.27734531720183708</v>
      </c>
      <c r="F26" s="48">
        <f>IF(OR(3703581.02097="",8300.62676="",11075.65312=""),"-",(11075.65312-8300.62676)/3703581.02097*100)</f>
        <v>7.4928193666820297E-2</v>
      </c>
      <c r="G26" s="48">
        <f>IF(OR(3771658.08092="",9217.34399="",11075.65312=""),"-",(9217.34399-11075.65312)/3771658.08092*100)</f>
        <v>-4.9270349807178544E-2</v>
      </c>
    </row>
    <row r="27" spans="1:7" s="9" customFormat="1" x14ac:dyDescent="0.25">
      <c r="A27" s="47" t="s">
        <v>49</v>
      </c>
      <c r="B27" s="48">
        <f>IF(8043.7896="","-",8043.7896)</f>
        <v>8043.7896000000001</v>
      </c>
      <c r="C27" s="48">
        <f>IF(OR(8182.56278="",8043.7896=""),"-",8043.7896/8182.56278*100)</f>
        <v>98.304037699054476</v>
      </c>
      <c r="D27" s="48">
        <f>IF(8182.56278="","-",8182.56278/3771658.08092*100)</f>
        <v>0.21694868952712892</v>
      </c>
      <c r="E27" s="48">
        <f>IF(8043.7896="","-",8043.7896/3323417.92643*100)</f>
        <v>0.24203364662718185</v>
      </c>
      <c r="F27" s="48">
        <f>IF(OR(3703581.02097="",10638.6668="",8182.56278=""),"-",(8182.56278-10638.6668)/3703581.02097*100)</f>
        <v>-6.6317005246903593E-2</v>
      </c>
      <c r="G27" s="48">
        <f>IF(OR(3771658.08092="",8043.7896="",8182.56278=""),"-",(8043.7896-8182.56278)/3771658.08092*100)</f>
        <v>-3.6793679867754593E-3</v>
      </c>
    </row>
    <row r="28" spans="1:7" s="9" customFormat="1" x14ac:dyDescent="0.25">
      <c r="A28" s="47" t="s">
        <v>50</v>
      </c>
      <c r="B28" s="48">
        <f>IF(7098.15604="","-",7098.15604)</f>
        <v>7098.1560399999998</v>
      </c>
      <c r="C28" s="48">
        <f>IF(OR(9372.94927="",7098.15604=""),"-",7098.15604/9372.94927*100)</f>
        <v>75.730230000487353</v>
      </c>
      <c r="D28" s="48">
        <f>IF(9372.94927="","-",9372.94927/3771658.08092*100)</f>
        <v>0.24851004701130561</v>
      </c>
      <c r="E28" s="48">
        <f>IF(7098.15604="","-",7098.15604/3323417.92643*100)</f>
        <v>0.21358000098485375</v>
      </c>
      <c r="F28" s="48">
        <f>IF(OR(3703581.02097="",8875.99749="",9372.94927=""),"-",(9372.94927-8875.99749)/3703581.02097*100)</f>
        <v>1.3418142527089725E-2</v>
      </c>
      <c r="G28" s="48">
        <f>IF(OR(3771658.08092="",7098.15604="",9372.94927=""),"-",(7098.15604-9372.94927)/3771658.08092*100)</f>
        <v>-6.0312816835324627E-2</v>
      </c>
    </row>
    <row r="29" spans="1:7" s="9" customFormat="1" x14ac:dyDescent="0.25">
      <c r="A29" s="47" t="s">
        <v>46</v>
      </c>
      <c r="B29" s="48">
        <f>IF(6725.75419="","-",6725.75419)</f>
        <v>6725.7541899999997</v>
      </c>
      <c r="C29" s="48">
        <f>IF(OR(6558.05512="",6725.75419=""),"-",6725.75419/6558.05512*100)</f>
        <v>102.55714639373143</v>
      </c>
      <c r="D29" s="48">
        <f>IF(6558.05512="","-",6558.05512/3771658.08092*100)</f>
        <v>0.17387724388845793</v>
      </c>
      <c r="E29" s="48">
        <f>IF(6725.75419="","-",6725.75419/3323417.92643*100)</f>
        <v>0.20237461369249982</v>
      </c>
      <c r="F29" s="48">
        <f>IF(OR(3703581.02097="",7417.71699="",6558.05512=""),"-",(6558.05512-7417.71699)/3703581.02097*100)</f>
        <v>-2.3211639360190019E-2</v>
      </c>
      <c r="G29" s="48">
        <f>IF(OR(3771658.08092="",6725.75419="",6558.05512=""),"-",(6725.75419-6558.05512)/3771658.08092*100)</f>
        <v>4.4462956716133113E-3</v>
      </c>
    </row>
    <row r="30" spans="1:7" s="9" customFormat="1" x14ac:dyDescent="0.25">
      <c r="A30" s="47" t="s">
        <v>54</v>
      </c>
      <c r="B30" s="48">
        <f>IF(4442.90173="","-",4442.90173)</f>
        <v>4442.9017299999996</v>
      </c>
      <c r="C30" s="48">
        <f>IF(OR(4717.00506="",4442.90173=""),"-",4442.90173/4717.00506*100)</f>
        <v>94.189038881378679</v>
      </c>
      <c r="D30" s="48">
        <f>IF(4717.00506="","-",4717.00506/3771658.08092*100)</f>
        <v>0.1250644930902487</v>
      </c>
      <c r="E30" s="48">
        <f>IF(4442.90173="","-",4442.90173/3323417.92643*100)</f>
        <v>0.13368471339903204</v>
      </c>
      <c r="F30" s="48">
        <f>IF(OR(3703581.02097="",4454.46026="",4717.00506=""),"-",(4717.00506-4454.46026)/3703581.02097*100)</f>
        <v>7.0889444165916429E-3</v>
      </c>
      <c r="G30" s="48">
        <f>IF(OR(3771658.08092="",4442.90173="",4717.00506=""),"-",(4442.90173-4717.00506)/3771658.08092*100)</f>
        <v>-7.2674490666752127E-3</v>
      </c>
    </row>
    <row r="31" spans="1:7" s="9" customFormat="1" x14ac:dyDescent="0.25">
      <c r="A31" s="47" t="s">
        <v>260</v>
      </c>
      <c r="B31" s="48">
        <f>IF(3641.32779="","-",3641.32779)</f>
        <v>3641.3277899999998</v>
      </c>
      <c r="C31" s="48">
        <f>IF(OR(3567.89405="",3641.32779=""),"-",3641.32779/3567.89405*100)</f>
        <v>102.05818163238338</v>
      </c>
      <c r="D31" s="48">
        <f>IF(3567.89405="","-",3567.89405/3771658.08092*100)</f>
        <v>9.4597494615145578E-2</v>
      </c>
      <c r="E31" s="48">
        <f>IF(3641.32779="","-",3641.32779/3323417.92643*100)</f>
        <v>0.10956575039936362</v>
      </c>
      <c r="F31" s="48">
        <f>IF(OR(3703581.02097="",2281.36452="",3567.89405=""),"-",(3567.89405-2281.36452)/3703581.02097*100)</f>
        <v>3.4737447964971122E-2</v>
      </c>
      <c r="G31" s="48">
        <f>IF(OR(3771658.08092="",3641.32779="",3567.89405=""),"-",(3641.32779-3567.89405)/3771658.08092*100)</f>
        <v>1.9469882588637952E-3</v>
      </c>
    </row>
    <row r="32" spans="1:7" s="9" customFormat="1" x14ac:dyDescent="0.25">
      <c r="A32" s="47" t="s">
        <v>47</v>
      </c>
      <c r="B32" s="48">
        <f>IF(2316.97388="","-",2316.97388)</f>
        <v>2316.97388</v>
      </c>
      <c r="C32" s="48">
        <f>IF(OR(3170.13047="",2316.97388=""),"-",2316.97388/3170.13047*100)</f>
        <v>73.087650553385586</v>
      </c>
      <c r="D32" s="48">
        <f>IF(3170.13047="","-",3170.13047/3771658.08092*100)</f>
        <v>8.4051374806136378E-2</v>
      </c>
      <c r="E32" s="48">
        <f>IF(2316.97388="","-",2316.97388/3323417.92643*100)</f>
        <v>6.9716596927936844E-2</v>
      </c>
      <c r="F32" s="48">
        <f>IF(OR(3703581.02097="",3219.13026="",3170.13047=""),"-",(3170.13047-3219.13026)/3703581.02097*100)</f>
        <v>-1.3230381547631534E-3</v>
      </c>
      <c r="G32" s="48">
        <f>IF(OR(3771658.08092="",2316.97388="",3170.13047=""),"-",(2316.97388-3170.13047)/3771658.08092*100)</f>
        <v>-2.2620199702511057E-2</v>
      </c>
    </row>
    <row r="33" spans="1:7" s="9" customFormat="1" x14ac:dyDescent="0.25">
      <c r="A33" s="47" t="s">
        <v>55</v>
      </c>
      <c r="B33" s="48">
        <f>IF(726.70551="","-",726.70551)</f>
        <v>726.70551</v>
      </c>
      <c r="C33" s="48">
        <f>IF(OR(1223.34193="",726.70551=""),"-",726.70551/1223.34193*100)</f>
        <v>59.403302721750087</v>
      </c>
      <c r="D33" s="48">
        <f>IF(1223.34193="","-",1223.34193/3771658.08092*100)</f>
        <v>3.2435122796221148E-2</v>
      </c>
      <c r="E33" s="48">
        <f>IF(726.70551="","-",726.70551/3323417.92643*100)</f>
        <v>2.1866209007924069E-2</v>
      </c>
      <c r="F33" s="48">
        <f>IF(OR(3703581.02097="",659.37376="",1223.34193=""),"-",(1223.34193-659.37376)/3703581.02097*100)</f>
        <v>1.5227644995661305E-2</v>
      </c>
      <c r="G33" s="48">
        <f>IF(OR(3771658.08092="",726.70551="",1223.34193=""),"-",(726.70551-1223.34193)/3771658.08092*100)</f>
        <v>-1.316758861341053E-2</v>
      </c>
    </row>
    <row r="34" spans="1:7" s="9" customFormat="1" x14ac:dyDescent="0.25">
      <c r="A34" s="47" t="s">
        <v>48</v>
      </c>
      <c r="B34" s="48">
        <f>IF(376.34907="","-",376.34907)</f>
        <v>376.34906999999998</v>
      </c>
      <c r="C34" s="48">
        <f>IF(OR(543.14859="",376.34907=""),"-",376.34907/543.14859*100)</f>
        <v>69.290259963668504</v>
      </c>
      <c r="D34" s="48">
        <f>IF(543.14859="","-",543.14859/3771658.08092*100)</f>
        <v>1.4400790801999547E-2</v>
      </c>
      <c r="E34" s="48">
        <f>IF(376.34907="","-",376.34907/3323417.92643*100)</f>
        <v>1.1324157187906619E-2</v>
      </c>
      <c r="F34" s="48">
        <f>IF(OR(3703581.02097="",651.83773="",543.14859=""),"-",(543.14859-651.83773)/3703581.02097*100)</f>
        <v>-2.9347039901271911E-3</v>
      </c>
      <c r="G34" s="48">
        <f>IF(OR(3771658.08092="",376.34907="",543.14859=""),"-",(376.34907-543.14859)/3771658.08092*100)</f>
        <v>-4.4224454184699988E-3</v>
      </c>
    </row>
    <row r="35" spans="1:7" s="9" customFormat="1" x14ac:dyDescent="0.25">
      <c r="A35" s="47" t="s">
        <v>56</v>
      </c>
      <c r="B35" s="48">
        <f>IF(108.73524="","-",108.73524)</f>
        <v>108.73524</v>
      </c>
      <c r="C35" s="48">
        <f>IF(OR(72.76779="",108.73524=""),"-",108.73524/72.76779*100)</f>
        <v>149.42770695660815</v>
      </c>
      <c r="D35" s="48">
        <f>IF(72.76779="","-",72.76779/3771658.08092*100)</f>
        <v>1.929331568206473E-3</v>
      </c>
      <c r="E35" s="48">
        <f>IF(108.73524="","-",108.73524/3323417.92643*100)</f>
        <v>3.2717895373695263E-3</v>
      </c>
      <c r="F35" s="48">
        <f>IF(OR(3703581.02097="",61.79401="",72.76779=""),"-",(72.76779-61.79401)/3703581.02097*100)</f>
        <v>2.963018748034808E-4</v>
      </c>
      <c r="G35" s="48">
        <f>IF(OR(3771658.08092="",108.73524="",72.76779=""),"-",(108.73524-72.76779)/3771658.08092*100)</f>
        <v>9.5362435375442769E-4</v>
      </c>
    </row>
    <row r="36" spans="1:7" s="9" customFormat="1" x14ac:dyDescent="0.25">
      <c r="A36" s="36" t="s">
        <v>261</v>
      </c>
      <c r="B36" s="46">
        <f>IF(842909.29902="","-",842909.29902)</f>
        <v>842909.29902000003</v>
      </c>
      <c r="C36" s="46">
        <f>IF(918245.14651="","-",842909.29902/918245.14651*100)</f>
        <v>91.795671583309641</v>
      </c>
      <c r="D36" s="46">
        <f>IF(918245.14651="","-",918245.14651/3771658.08092*100)</f>
        <v>24.345927621467144</v>
      </c>
      <c r="E36" s="46">
        <f>IF(842909.29902="","-",842909.29902/3323417.92643*100)</f>
        <v>25.36272348766709</v>
      </c>
      <c r="F36" s="46">
        <f>IF(3703581.02097="","-",(918245.14651-889800.26806)/3703581.02097*100)</f>
        <v>0.76803715887252277</v>
      </c>
      <c r="G36" s="46">
        <f>IF(3771658.08092="","-",(842909.29902-918245.14651)/3771658.08092*100)</f>
        <v>-1.9974198581548963</v>
      </c>
    </row>
    <row r="37" spans="1:7" s="9" customFormat="1" x14ac:dyDescent="0.25">
      <c r="A37" s="47" t="s">
        <v>262</v>
      </c>
      <c r="B37" s="48">
        <f>IF(382440.37506="","-",382440.37506)</f>
        <v>382440.37505999999</v>
      </c>
      <c r="C37" s="48">
        <f>IF(OR(443829.56742="",382440.37506=""),"-",382440.37506/443829.56742*100)</f>
        <v>86.168295925650483</v>
      </c>
      <c r="D37" s="48">
        <f>IF(443829.56742="","-",443829.56742/3771658.08092*100)</f>
        <v>11.767492118790871</v>
      </c>
      <c r="E37" s="48">
        <f>IF(382440.37506="","-",382440.37506/3323417.92643*100)</f>
        <v>11.50744154138976</v>
      </c>
      <c r="F37" s="48">
        <f>IF(OR(3703581.02097="",433895.49398="",443829.56742=""),"-",(443829.56742-433895.49398)/3703581.02097*100)</f>
        <v>0.26822886778370325</v>
      </c>
      <c r="G37" s="48">
        <f>IF(OR(3771658.08092="",382440.37506="",443829.56742=""),"-",(382440.37506-443829.56742)/3771658.08092*100)</f>
        <v>-1.6276446868435552</v>
      </c>
    </row>
    <row r="38" spans="1:7" s="9" customFormat="1" x14ac:dyDescent="0.25">
      <c r="A38" s="47" t="s">
        <v>12</v>
      </c>
      <c r="B38" s="48">
        <f>IF(326897.23001="","-",326897.23001)</f>
        <v>326897.23001</v>
      </c>
      <c r="C38" s="48">
        <f>IF(OR(374306.76398="",326897.23001=""),"-",326897.23001/374306.76398*100)</f>
        <v>87.334042947582645</v>
      </c>
      <c r="D38" s="48">
        <f>IF(374306.76398="","-",374306.76398/3771658.08092*100)</f>
        <v>9.9241966251802278</v>
      </c>
      <c r="E38" s="48">
        <f>IF(326897.23001="","-",326897.23001/3323417.92643*100)</f>
        <v>9.8361758059466045</v>
      </c>
      <c r="F38" s="48">
        <f>IF(OR(3703581.02097="",363323.74916="",374306.76398=""),"-",(374306.76398-363323.74916)/3703581.02097*100)</f>
        <v>0.29655122320298088</v>
      </c>
      <c r="G38" s="48">
        <f>IF(OR(3771658.08092="",326897.23001="",374306.76398=""),"-",(326897.23001-374306.76398)/3771658.08092*100)</f>
        <v>-1.2569944823427801</v>
      </c>
    </row>
    <row r="39" spans="1:7" s="9" customFormat="1" x14ac:dyDescent="0.25">
      <c r="A39" s="47" t="s">
        <v>11</v>
      </c>
      <c r="B39" s="48">
        <f>IF(68406.28666="","-",68406.28666)</f>
        <v>68406.286659999998</v>
      </c>
      <c r="C39" s="48">
        <f>IF(OR(85578.03408="",68406.28666=""),"-",68406.28666/85578.03408*100)</f>
        <v>79.934398348123409</v>
      </c>
      <c r="D39" s="48">
        <f>IF(85578.03408="","-",85578.03408/3771658.08092*100)</f>
        <v>2.2689764619152704</v>
      </c>
      <c r="E39" s="48">
        <f>IF(68406.28666="","-",68406.28666/3323417.92643*100)</f>
        <v>2.0583112980160672</v>
      </c>
      <c r="F39" s="48">
        <f>IF(OR(3703581.02097="",74691.1355="",85578.03408=""),"-",(85578.03408-74691.1355)/3703581.02097*100)</f>
        <v>0.29395599875788919</v>
      </c>
      <c r="G39" s="48">
        <f>IF(OR(3771658.08092="",68406.28666="",85578.03408=""),"-",(68406.28666-85578.03408)/3771658.08092*100)</f>
        <v>-0.45528377842276174</v>
      </c>
    </row>
    <row r="40" spans="1:7" s="9" customFormat="1" x14ac:dyDescent="0.25">
      <c r="A40" s="47" t="s">
        <v>13</v>
      </c>
      <c r="B40" s="48">
        <f>IF(54808.67086="","-",54808.67086)</f>
        <v>54808.670859999998</v>
      </c>
      <c r="C40" s="48" t="s">
        <v>279</v>
      </c>
      <c r="D40" s="48">
        <f>IF(6038.51523="","-",6038.51523/3771658.08092*100)</f>
        <v>0.16010240325196864</v>
      </c>
      <c r="E40" s="48">
        <f>IF(54808.67086="","-",54808.67086/3323417.92643*100)</f>
        <v>1.6491657707002627</v>
      </c>
      <c r="F40" s="48">
        <f>IF(OR(3703581.02097="",3203.16749="",6038.51523=""),"-",(6038.51523-3203.16749)/3703581.02097*100)</f>
        <v>7.6556924877463545E-2</v>
      </c>
      <c r="G40" s="48">
        <f>IF(OR(3771658.08092="",54808.67086="",6038.51523=""),"-",(54808.67086-6038.51523)/3771658.08092*100)</f>
        <v>1.2930693764823922</v>
      </c>
    </row>
    <row r="41" spans="1:7" s="9" customFormat="1" x14ac:dyDescent="0.25">
      <c r="A41" s="47" t="s">
        <v>15</v>
      </c>
      <c r="B41" s="48">
        <f>IF(4238.12187="","-",4238.12187)</f>
        <v>4238.1218699999999</v>
      </c>
      <c r="C41" s="48">
        <f>IF(OR(5175.87981="",4238.12187=""),"-",4238.12187/5175.87981*100)</f>
        <v>81.882153867092981</v>
      </c>
      <c r="D41" s="48">
        <f>IF(5175.87981="","-",5175.87981/3771658.08092*100)</f>
        <v>0.1372308862296838</v>
      </c>
      <c r="E41" s="48">
        <f>IF(4238.12187="","-",4238.12187/3323417.92643*100)</f>
        <v>0.12752298879703555</v>
      </c>
      <c r="F41" s="48">
        <f>IF(OR(3703581.02097="",2572.05355="",5175.87981=""),"-",(5175.87981-2572.05355)/3703581.02097*100)</f>
        <v>7.0305637847718414E-2</v>
      </c>
      <c r="G41" s="48">
        <f>IF(OR(3771658.08092="",4238.12187="",5175.87981=""),"-",(4238.12187-5175.87981)/3771658.08092*100)</f>
        <v>-2.4863280813918798E-2</v>
      </c>
    </row>
    <row r="42" spans="1:7" s="9" customFormat="1" x14ac:dyDescent="0.25">
      <c r="A42" s="47" t="s">
        <v>14</v>
      </c>
      <c r="B42" s="48">
        <f>IF(4066.02536="","-",4066.02536)</f>
        <v>4066.0253600000001</v>
      </c>
      <c r="C42" s="48" t="s">
        <v>280</v>
      </c>
      <c r="D42" s="48">
        <f>IF(429.8074="","-",429.8074/3771658.08092*100)</f>
        <v>1.1395714849506173E-2</v>
      </c>
      <c r="E42" s="48">
        <f>IF(4066.02536="","-",4066.02536/3323417.92643*100)</f>
        <v>0.12234469001518883</v>
      </c>
      <c r="F42" s="48">
        <f>IF(OR(3703581.02097="",371.81016="",429.8074=""),"-",(429.8074-371.81016)/3703581.02097*100)</f>
        <v>1.5659773519632627E-3</v>
      </c>
      <c r="G42" s="48">
        <f>IF(OR(3771658.08092="",4066.02536="",429.8074=""),"-",(4066.02536-429.8074)/3771658.08092*100)</f>
        <v>9.6409003201929619E-2</v>
      </c>
    </row>
    <row r="43" spans="1:7" s="9" customFormat="1" x14ac:dyDescent="0.25">
      <c r="A43" s="47" t="s">
        <v>16</v>
      </c>
      <c r="B43" s="48">
        <f>IF(1416.62823="","-",1416.62823)</f>
        <v>1416.62823</v>
      </c>
      <c r="C43" s="48">
        <f>IF(OR(1964.75369="",1416.62823=""),"-",1416.62823/1964.75369*100)</f>
        <v>72.102077589176076</v>
      </c>
      <c r="D43" s="48">
        <f>IF(1964.75369="","-",1964.75369/3771658.08092*100)</f>
        <v>5.2092571697823373E-2</v>
      </c>
      <c r="E43" s="48">
        <f>IF(1416.62823="","-",1416.62823/3323417.92643*100)</f>
        <v>4.2625642075708951E-2</v>
      </c>
      <c r="F43" s="48">
        <f>IF(OR(3703581.02097="",10947.54223="",1964.75369=""),"-",(1964.75369-10947.54223)/3703581.02097*100)</f>
        <v>-0.24254332466709014</v>
      </c>
      <c r="G43" s="48">
        <f>IF(OR(3771658.08092="",1416.62823="",1964.75369=""),"-",(1416.62823-1964.75369)/3771658.08092*100)</f>
        <v>-1.4532745234061586E-2</v>
      </c>
    </row>
    <row r="44" spans="1:7" s="9" customFormat="1" x14ac:dyDescent="0.25">
      <c r="A44" s="47" t="s">
        <v>17</v>
      </c>
      <c r="B44" s="48">
        <f>IF(560.20942="","-",560.20942)</f>
        <v>560.20942000000002</v>
      </c>
      <c r="C44" s="48">
        <f>IF(OR(780.90097="",560.20942=""),"-",560.20942/780.90097*100)</f>
        <v>71.738855696388754</v>
      </c>
      <c r="D44" s="48">
        <f>IF(780.90097="","-",780.90097/3771658.08092*100)</f>
        <v>2.0704447573082208E-2</v>
      </c>
      <c r="E44" s="48">
        <f>IF(560.20942="","-",560.20942/3323417.92643*100)</f>
        <v>1.6856424091139643E-2</v>
      </c>
      <c r="F44" s="48">
        <f>IF(OR(3703581.02097="",659.26395="",780.90097=""),"-",(780.90097-659.26395)/3703581.02097*100)</f>
        <v>3.2843083305395659E-3</v>
      </c>
      <c r="G44" s="48">
        <f>IF(OR(3771658.08092="",560.20942="",780.90097=""),"-",(560.20942-780.90097)/3771658.08092*100)</f>
        <v>-5.8513138058943004E-3</v>
      </c>
    </row>
    <row r="45" spans="1:7" s="9" customFormat="1" x14ac:dyDescent="0.25">
      <c r="A45" s="47" t="s">
        <v>129</v>
      </c>
      <c r="B45" s="48">
        <f>IF(75.56604="","-",75.56604)</f>
        <v>75.566040000000001</v>
      </c>
      <c r="C45" s="48">
        <f>IF(OR(140.82169="",75.56604=""),"-",75.56604/140.82169*100)</f>
        <v>53.66079614582101</v>
      </c>
      <c r="D45" s="48">
        <f>IF(140.82169="","-",140.82169/3771658.08092*100)</f>
        <v>3.733681234584502E-3</v>
      </c>
      <c r="E45" s="48">
        <f>IF(75.56604="","-",75.56604/3323417.92643*100)</f>
        <v>2.2737447312614302E-3</v>
      </c>
      <c r="F45" s="48">
        <f>IF(OR(3703581.02097="",135.81213="",140.82169=""),"-",(140.82169-135.81213)/3703581.02097*100)</f>
        <v>1.3526260048411055E-4</v>
      </c>
      <c r="G45" s="48">
        <f>IF(OR(3771658.08092="",75.56604="",140.82169=""),"-",(75.56604-140.82169)/3771658.08092*100)</f>
        <v>-1.7301581585593394E-3</v>
      </c>
    </row>
    <row r="46" spans="1:7" s="9" customFormat="1" x14ac:dyDescent="0.25">
      <c r="A46" s="47" t="s">
        <v>18</v>
      </c>
      <c r="B46" s="48">
        <f>IF(0.18551="","-",0.18551)</f>
        <v>0.18551000000000001</v>
      </c>
      <c r="C46" s="48" t="s">
        <v>249</v>
      </c>
      <c r="D46" s="48">
        <f>IF(0.10224="","-",0.10224/3771658.08092*100)</f>
        <v>2.7107441291460107E-6</v>
      </c>
      <c r="E46" s="48">
        <f>IF(0.18551="","-",0.18551/3323417.92643*100)</f>
        <v>5.5819040550002082E-6</v>
      </c>
      <c r="F46" s="48">
        <f>IF(OR(3703581.02097="",0.23991="",0.10224=""),"-",(0.10224-0.23991)/3703581.02097*100)</f>
        <v>-3.717213130224516E-6</v>
      </c>
      <c r="G46" s="48">
        <f>IF(OR(3771658.08092="",0.18551="",0.10224=""),"-",(0.18551-0.10224)/3771658.08092*100)</f>
        <v>2.2077823125390095E-6</v>
      </c>
    </row>
    <row r="47" spans="1:7" s="9" customFormat="1" x14ac:dyDescent="0.25">
      <c r="A47" s="36" t="s">
        <v>170</v>
      </c>
      <c r="B47" s="46">
        <f>IF(959614.18581="","-",959614.18581)</f>
        <v>959614.18581000005</v>
      </c>
      <c r="C47" s="46">
        <f>IF(1004616.13047="","-",959614.18581/1004616.13047*100)</f>
        <v>95.52048356630047</v>
      </c>
      <c r="D47" s="46">
        <f>IF(1004616.13047="","-",1004616.13047/3771658.08092*100)</f>
        <v>26.635927990189117</v>
      </c>
      <c r="E47" s="46">
        <f>IF(959614.18581="","-",959614.18581/3323417.92643*100)</f>
        <v>28.8743157512186</v>
      </c>
      <c r="F47" s="46">
        <f>IF(3703581.02097="","-",(1004616.13047-979541.14927)/3703581.02097*100)</f>
        <v>0.67704691913105675</v>
      </c>
      <c r="G47" s="46">
        <f>IF(3771658.08092="","-",(959614.18581-1004616.13047)/3771658.08092*100)</f>
        <v>-1.1931607715888934</v>
      </c>
    </row>
    <row r="48" spans="1:7" s="9" customFormat="1" x14ac:dyDescent="0.25">
      <c r="A48" s="47" t="s">
        <v>60</v>
      </c>
      <c r="B48" s="48">
        <f>IF(376463.66108="","-",376463.66108)</f>
        <v>376463.66107999999</v>
      </c>
      <c r="C48" s="48">
        <f>IF(OR(381128.14248="",376463.66108=""),"-",376463.66108/381128.14248*100)</f>
        <v>98.77613829048461</v>
      </c>
      <c r="D48" s="48">
        <f>IF(381128.14248="","-",381128.14248/3771658.08092*100)</f>
        <v>10.105055503520973</v>
      </c>
      <c r="E48" s="48">
        <f>IF(376463.66108="","-",376463.66108/3323417.92643*100)</f>
        <v>11.327605176770394</v>
      </c>
      <c r="F48" s="48">
        <f>IF(OR(3703581.02097="",387103.38786="",381128.14248=""),"-",(381128.14248-387103.38786)/3703581.02097*100)</f>
        <v>-0.16133696944032477</v>
      </c>
      <c r="G48" s="48">
        <f>IF(OR(3771658.08092="",376463.66108="",381128.14248=""),"-",(376463.66108-381128.14248)/3771658.08092*100)</f>
        <v>-0.12367190503287107</v>
      </c>
    </row>
    <row r="49" spans="1:7" s="9" customFormat="1" x14ac:dyDescent="0.25">
      <c r="A49" s="47" t="s">
        <v>57</v>
      </c>
      <c r="B49" s="48">
        <f>IF(225557.6718="","-",225557.6718)</f>
        <v>225557.67180000001</v>
      </c>
      <c r="C49" s="48">
        <f>IF(OR(241808.48912="",225557.6718=""),"-",225557.6718/241808.48912*100)</f>
        <v>93.279467822184131</v>
      </c>
      <c r="D49" s="48">
        <f>IF(241808.48912="","-",241808.48912/3771658.08092*100)</f>
        <v>6.4111985745276519</v>
      </c>
      <c r="E49" s="48">
        <f>IF(225557.6718="","-",225557.6718/3323417.92643*100)</f>
        <v>6.7869186720760393</v>
      </c>
      <c r="F49" s="48">
        <f>IF(OR(3703581.02097="",213880.3985="",241808.48912=""),"-",(241808.48912-213880.3985)/3703581.02097*100)</f>
        <v>0.75408342525433381</v>
      </c>
      <c r="G49" s="48">
        <f>IF(OR(3771658.08092="",225557.6718="",241808.48912=""),"-",(225557.6718-241808.48912)/3771658.08092*100)</f>
        <v>-0.4308666631848036</v>
      </c>
    </row>
    <row r="50" spans="1:7" s="9" customFormat="1" x14ac:dyDescent="0.25">
      <c r="A50" s="47" t="s">
        <v>19</v>
      </c>
      <c r="B50" s="48">
        <f>IF(42837.99863="","-",42837.99863)</f>
        <v>42837.998630000002</v>
      </c>
      <c r="C50" s="48">
        <f>IF(OR(49962.05479="",42837.99863=""),"-",42837.99863/49962.05479*100)</f>
        <v>85.741066515491084</v>
      </c>
      <c r="D50" s="48">
        <f>IF(49962.05479="","-",49962.05479/3771658.08092*100)</f>
        <v>1.3246708402001548</v>
      </c>
      <c r="E50" s="48">
        <f>IF(42837.99863="","-",42837.99863/3323417.92643*100)</f>
        <v>1.2889741699147774</v>
      </c>
      <c r="F50" s="48">
        <f>IF(OR(3703581.02097="",48982.73418="",49962.05479=""),"-",(49962.05479-48982.73418)/3703581.02097*100)</f>
        <v>2.6442532361382224E-2</v>
      </c>
      <c r="G50" s="48">
        <f>IF(OR(3771658.08092="",42837.99863="",49962.05479=""),"-",(42837.99863-49962.05479)/3771658.08092*100)</f>
        <v>-0.18888393399282546</v>
      </c>
    </row>
    <row r="51" spans="1:7" s="9" customFormat="1" x14ac:dyDescent="0.25">
      <c r="A51" s="47" t="s">
        <v>77</v>
      </c>
      <c r="B51" s="48">
        <f>IF(34108.87492="","-",34108.87492)</f>
        <v>34108.874920000002</v>
      </c>
      <c r="C51" s="48">
        <f>IF(OR(31872.3423="",34108.87492=""),"-",34108.87492/31872.3423*100)</f>
        <v>107.01715800786941</v>
      </c>
      <c r="D51" s="48">
        <f>IF(31872.3423="","-",31872.3423/3771658.08092*100)</f>
        <v>0.84504855997512773</v>
      </c>
      <c r="E51" s="48">
        <f>IF(34108.87492="","-",34108.87492/3323417.92643*100)</f>
        <v>1.0263191592229148</v>
      </c>
      <c r="F51" s="48">
        <f>IF(OR(3703581.02097="",36460.8159="",31872.3423=""),"-",(31872.3423-36460.8159)/3703581.02097*100)</f>
        <v>-0.12389289107001202</v>
      </c>
      <c r="G51" s="48">
        <f>IF(OR(3771658.08092="",34108.87492="",31872.3423=""),"-",(34108.87492-31872.3423)/3771658.08092*100)</f>
        <v>5.9298392696679872E-2</v>
      </c>
    </row>
    <row r="52" spans="1:7" s="9" customFormat="1" ht="25.5" x14ac:dyDescent="0.25">
      <c r="A52" s="47" t="s">
        <v>264</v>
      </c>
      <c r="B52" s="48">
        <f>IF(30109.87895="","-",30109.87895)</f>
        <v>30109.878949999998</v>
      </c>
      <c r="C52" s="48">
        <f>IF(OR(37945.88657="",30109.87895=""),"-",30109.87895/37945.88657*100)</f>
        <v>79.349520255523174</v>
      </c>
      <c r="D52" s="48">
        <f>IF(37945.88657="","-",37945.88657/3771658.08092*100)</f>
        <v>1.0060797070116194</v>
      </c>
      <c r="E52" s="48">
        <f>IF(30109.87895="","-",30109.87895/3323417.92643*100)</f>
        <v>0.90599135036693657</v>
      </c>
      <c r="F52" s="48">
        <f>IF(OR(3703581.02097="",39331.75804="",37945.88657=""),"-",(37945.88657-39331.75804)/3703581.02097*100)</f>
        <v>-3.7419769195086397E-2</v>
      </c>
      <c r="G52" s="48">
        <f>IF(OR(3771658.08092="",30109.87895="",37945.88657=""),"-",(30109.87895-37945.88657)/3771658.08092*100)</f>
        <v>-0.2077602861097263</v>
      </c>
    </row>
    <row r="53" spans="1:7" s="9" customFormat="1" x14ac:dyDescent="0.25">
      <c r="A53" s="47" t="s">
        <v>37</v>
      </c>
      <c r="B53" s="48">
        <f>IF(25769.89335="","-",25769.89335)</f>
        <v>25769.893349999998</v>
      </c>
      <c r="C53" s="48">
        <f>IF(OR(24582.21366="",25769.89335=""),"-",25769.89335/24582.21366*100)</f>
        <v>104.83145947076598</v>
      </c>
      <c r="D53" s="48">
        <f>IF(24582.21366="","-",24582.21366/3771658.08092*100)</f>
        <v>0.65176145696652854</v>
      </c>
      <c r="E53" s="48">
        <f>IF(25769.89335="","-",25769.89335/3323417.92643*100)</f>
        <v>0.77540333236638392</v>
      </c>
      <c r="F53" s="48">
        <f>IF(OR(3703581.02097="",25128.52919="",24582.21366=""),"-",(24582.21366-25128.52919)/3703581.02097*100)</f>
        <v>-1.47510079273739E-2</v>
      </c>
      <c r="G53" s="48">
        <f>IF(OR(3771658.08092="",25769.89335="",24582.21366=""),"-",(25769.89335-24582.21366)/3771658.08092*100)</f>
        <v>3.1489590639411646E-2</v>
      </c>
    </row>
    <row r="54" spans="1:7" s="9" customFormat="1" x14ac:dyDescent="0.25">
      <c r="A54" s="47" t="s">
        <v>70</v>
      </c>
      <c r="B54" s="48">
        <f>IF(25641.28642="","-",25641.28642)</f>
        <v>25641.28642</v>
      </c>
      <c r="C54" s="48">
        <f>IF(OR(24311.40689="",25641.28642=""),"-",25641.28642/24311.40689*100)</f>
        <v>105.47018745569603</v>
      </c>
      <c r="D54" s="48">
        <f>IF(24311.40689="","-",24311.40689/3771658.08092*100)</f>
        <v>0.64458141136881231</v>
      </c>
      <c r="E54" s="48">
        <f>IF(25641.28642="","-",25641.28642/3323417.92643*100)</f>
        <v>0.77153361351528094</v>
      </c>
      <c r="F54" s="48">
        <f>IF(OR(3703581.02097="",19690.16938="",24311.40689=""),"-",(24311.40689-19690.16938)/3703581.02097*100)</f>
        <v>0.12477754594361909</v>
      </c>
      <c r="G54" s="48">
        <f>IF(OR(3771658.08092="",25641.28642="",24311.40689=""),"-",(25641.28642-24311.40689)/3771658.08092*100)</f>
        <v>3.5259811506445242E-2</v>
      </c>
    </row>
    <row r="55" spans="1:7" s="9" customFormat="1" x14ac:dyDescent="0.25">
      <c r="A55" s="47" t="s">
        <v>73</v>
      </c>
      <c r="B55" s="48">
        <f>IF(24887.95918="","-",24887.95918)</f>
        <v>24887.959180000002</v>
      </c>
      <c r="C55" s="48">
        <f>IF(OR(31378.53188="",24887.95918=""),"-",24887.95918/31378.53188*100)</f>
        <v>79.3152441777018</v>
      </c>
      <c r="D55" s="48">
        <f>IF(31378.53188="","-",31378.53188/3771658.08092*100)</f>
        <v>0.83195589862021646</v>
      </c>
      <c r="E55" s="48">
        <f>IF(24887.95918="","-",24887.95918/3323417.92643*100)</f>
        <v>0.74886636983193178</v>
      </c>
      <c r="F55" s="48">
        <f>IF(OR(3703581.02097="",23670.90264="",31378.53188=""),"-",(31378.53188-23670.90264)/3703581.02097*100)</f>
        <v>0.20811288308150211</v>
      </c>
      <c r="G55" s="48">
        <f>IF(OR(3771658.08092="",24887.95918="",31378.53188=""),"-",(24887.95918-31378.53188)/3771658.08092*100)</f>
        <v>-0.17208804617879855</v>
      </c>
    </row>
    <row r="56" spans="1:7" s="9" customFormat="1" x14ac:dyDescent="0.25">
      <c r="A56" s="47" t="s">
        <v>67</v>
      </c>
      <c r="B56" s="48">
        <f>IF(19238.56001="","-",19238.56001)</f>
        <v>19238.560010000001</v>
      </c>
      <c r="C56" s="48">
        <f>IF(OR(14244.07303="",19238.56001=""),"-",19238.56001/14244.07303*100)</f>
        <v>135.06361536816692</v>
      </c>
      <c r="D56" s="48">
        <f>IF(14244.07303="","-",14244.07303/3771658.08092*100)</f>
        <v>0.37766077211658378</v>
      </c>
      <c r="E56" s="48">
        <f>IF(19238.56001="","-",19238.56001/3323417.92643*100)</f>
        <v>0.57887874579367071</v>
      </c>
      <c r="F56" s="48">
        <f>IF(OR(3703581.02097="",19108.74108="",14244.07303=""),"-",(14244.07303-19108.74108)/3703581.02097*100)</f>
        <v>-0.1313503882446698</v>
      </c>
      <c r="G56" s="48">
        <f>IF(OR(3771658.08092="",19238.56001="",14244.07303=""),"-",(19238.56001-14244.07303)/3771658.08092*100)</f>
        <v>0.13242152053140838</v>
      </c>
    </row>
    <row r="57" spans="1:7" s="9" customFormat="1" x14ac:dyDescent="0.25">
      <c r="A57" s="47" t="s">
        <v>263</v>
      </c>
      <c r="B57" s="48">
        <f>IF(18655.77055="","-",18655.77055)</f>
        <v>18655.770550000001</v>
      </c>
      <c r="C57" s="48">
        <f>IF(OR(23336.80116="",18655.77055=""),"-",18655.77055/23336.80116*100)</f>
        <v>79.941421371736979</v>
      </c>
      <c r="D57" s="48">
        <f>IF(23336.80116="","-",23336.80116/3771658.08092*100)</f>
        <v>0.61874116527306156</v>
      </c>
      <c r="E57" s="48">
        <f>IF(18655.77055="","-",18655.77055/3323417.92643*100)</f>
        <v>0.56134289947818694</v>
      </c>
      <c r="F57" s="48">
        <f>IF(OR(3703581.02097="",20482.11571="",23336.80116=""),"-",(23336.80116-20482.11571)/3703581.02097*100)</f>
        <v>7.7079060342855249E-2</v>
      </c>
      <c r="G57" s="48">
        <f>IF(OR(3771658.08092="",18655.77055="",23336.80116=""),"-",(18655.77055-23336.80116)/3771658.08092*100)</f>
        <v>-0.12411068314172793</v>
      </c>
    </row>
    <row r="58" spans="1:7" s="9" customFormat="1" x14ac:dyDescent="0.25">
      <c r="A58" s="47" t="s">
        <v>80</v>
      </c>
      <c r="B58" s="48">
        <f>IF(12874.82226="","-",12874.82226)</f>
        <v>12874.822260000001</v>
      </c>
      <c r="C58" s="48">
        <f>IF(OR(11063.87491="",12874.82226=""),"-",12874.82226/11063.87491*100)</f>
        <v>116.36811121538611</v>
      </c>
      <c r="D58" s="48">
        <f>IF(11063.87491="","-",11063.87491/3771658.08092*100)</f>
        <v>0.29334246828920529</v>
      </c>
      <c r="E58" s="48">
        <f>IF(12874.82226="","-",12874.82226/3323417.92643*100)</f>
        <v>0.38739702754838523</v>
      </c>
      <c r="F58" s="48">
        <f>IF(OR(3703581.02097="",9795.06453="",11063.87491=""),"-",(11063.87491-9795.06453)/3703581.02097*100)</f>
        <v>3.4259015067198077E-2</v>
      </c>
      <c r="G58" s="48">
        <f>IF(OR(3771658.08092="",12874.82226="",11063.87491=""),"-",(12874.82226-11063.87491)/3771658.08092*100)</f>
        <v>4.8014621451535872E-2</v>
      </c>
    </row>
    <row r="59" spans="1:7" s="9" customFormat="1" x14ac:dyDescent="0.25">
      <c r="A59" s="47" t="s">
        <v>71</v>
      </c>
      <c r="B59" s="48">
        <f>IF(10772.66672="","-",10772.66672)</f>
        <v>10772.666719999999</v>
      </c>
      <c r="C59" s="48">
        <f>IF(OR(15019.74268="",10772.66672=""),"-",10772.66672/15019.74268*100)</f>
        <v>71.723377354158501</v>
      </c>
      <c r="D59" s="48">
        <f>IF(15019.74268="","-",15019.74268/3771658.08092*100)</f>
        <v>0.39822651888784982</v>
      </c>
      <c r="E59" s="48">
        <f>IF(10772.66672="","-",10772.66672/3323417.92643*100)</f>
        <v>0.32414420811564759</v>
      </c>
      <c r="F59" s="48">
        <f>IF(OR(3703581.02097="",13725.33415="",15019.74268=""),"-",(15019.74268-13725.33415)/3703581.02097*100)</f>
        <v>3.4950188011844331E-2</v>
      </c>
      <c r="G59" s="48">
        <f>IF(OR(3771658.08092="",10772.66672="",15019.74268=""),"-",(10772.66672-15019.74268)/3771658.08092*100)</f>
        <v>-0.112605010021588</v>
      </c>
    </row>
    <row r="60" spans="1:7" s="9" customFormat="1" x14ac:dyDescent="0.25">
      <c r="A60" s="47" t="s">
        <v>62</v>
      </c>
      <c r="B60" s="48">
        <f>IF(7328.65604="","-",7328.65604)</f>
        <v>7328.6560399999998</v>
      </c>
      <c r="C60" s="48">
        <f>IF(OR(7759.66112="",7328.65604=""),"-",7328.65604/7759.66112*100)</f>
        <v>94.445568262135666</v>
      </c>
      <c r="D60" s="48">
        <f>IF(7759.66112="","-",7759.66112/3771658.08092*100)</f>
        <v>0.20573607027780277</v>
      </c>
      <c r="E60" s="48">
        <f>IF(7328.65604="","-",7328.65604/3323417.92643*100)</f>
        <v>0.22051563186554776</v>
      </c>
      <c r="F60" s="48">
        <f>IF(OR(3703581.02097="",6451.53299="",7759.66112=""),"-",(7759.66112-6451.53299)/3703581.02097*100)</f>
        <v>3.532062948247288E-2</v>
      </c>
      <c r="G60" s="48">
        <f>IF(OR(3771658.08092="",7328.65604="",7759.66112=""),"-",(7328.65604-7759.66112)/3771658.08092*100)</f>
        <v>-1.1427469583745173E-2</v>
      </c>
    </row>
    <row r="61" spans="1:7" s="9" customFormat="1" x14ac:dyDescent="0.25">
      <c r="A61" s="47" t="s">
        <v>63</v>
      </c>
      <c r="B61" s="48">
        <f>IF(6663.25286="","-",6663.25286)</f>
        <v>6663.2528599999996</v>
      </c>
      <c r="C61" s="48">
        <f>IF(OR(7439.02551="",6663.25286=""),"-",6663.25286/7439.02551*100)</f>
        <v>89.571582340225092</v>
      </c>
      <c r="D61" s="48">
        <f>IF(7439.02551="","-",7439.02551/3771658.08092*100)</f>
        <v>0.19723488583528861</v>
      </c>
      <c r="E61" s="48">
        <f>IF(6663.25286="","-",6663.25286/3323417.92643*100)</f>
        <v>0.20049397961687093</v>
      </c>
      <c r="F61" s="48">
        <f>IF(OR(3703581.02097="",10003.21444="",7439.02551=""),"-",(7439.02551-10003.21444)/3703581.02097*100)</f>
        <v>-6.9235394486615448E-2</v>
      </c>
      <c r="G61" s="48">
        <f>IF(OR(3771658.08092="",6663.25286="",7439.02551=""),"-",(6663.25286-7439.02551)/3771658.08092*100)</f>
        <v>-2.0568477665684128E-2</v>
      </c>
    </row>
    <row r="62" spans="1:7" s="9" customFormat="1" x14ac:dyDescent="0.25">
      <c r="A62" s="47" t="s">
        <v>84</v>
      </c>
      <c r="B62" s="48">
        <f>IF(6168.98294="","-",6168.98294)</f>
        <v>6168.9829399999999</v>
      </c>
      <c r="C62" s="48">
        <f>IF(OR(6347.08745="",6168.98294=""),"-",6168.98294/6347.08745*100)</f>
        <v>97.193917503058827</v>
      </c>
      <c r="D62" s="48">
        <f>IF(6347.08745="","-",6347.08745/3771658.08092*100)</f>
        <v>0.16828374454483397</v>
      </c>
      <c r="E62" s="48">
        <f>IF(6168.98294="","-",6168.98294/3323417.92643*100)</f>
        <v>0.18562164243444076</v>
      </c>
      <c r="F62" s="48">
        <f>IF(OR(3703581.02097="",7571.91086="",6347.08745=""),"-",(6347.08745-7571.91086)/3703581.02097*100)</f>
        <v>-3.3071327535834714E-2</v>
      </c>
      <c r="G62" s="48">
        <f>IF(OR(3771658.08092="",6168.98294="",6347.08745=""),"-",(6168.98294-6347.08745)/3771658.08092*100)</f>
        <v>-4.7221807008697896E-3</v>
      </c>
    </row>
    <row r="63" spans="1:7" s="9" customFormat="1" x14ac:dyDescent="0.25">
      <c r="A63" s="47" t="s">
        <v>83</v>
      </c>
      <c r="B63" s="48">
        <f>IF(6067.00022="","-",6067.00022)</f>
        <v>6067.0002199999999</v>
      </c>
      <c r="C63" s="48">
        <f>IF(OR(6510.12773="",6067.00022=""),"-",6067.00022/6510.12773*100)</f>
        <v>93.193259358676201</v>
      </c>
      <c r="D63" s="48">
        <f>IF(6510.12773="","-",6510.12773/3771658.08092*100)</f>
        <v>0.17260651921056483</v>
      </c>
      <c r="E63" s="48">
        <f>IF(6067.00022="","-",6067.00022/3323417.92643*100)</f>
        <v>0.18255303288073502</v>
      </c>
      <c r="F63" s="48">
        <f>IF(OR(3703581.02097="",6070.92789="",6510.12773=""),"-",(6510.12773-6070.92789)/3703581.02097*100)</f>
        <v>1.1858788494519556E-2</v>
      </c>
      <c r="G63" s="48">
        <f>IF(OR(3771658.08092="",6067.00022="",6510.12773=""),"-",(6067.00022-6510.12773)/3771658.08092*100)</f>
        <v>-1.174887809267988E-2</v>
      </c>
    </row>
    <row r="64" spans="1:7" s="9" customFormat="1" x14ac:dyDescent="0.25">
      <c r="A64" s="47" t="s">
        <v>72</v>
      </c>
      <c r="B64" s="48">
        <f>IF(6060.77539="","-",6060.77539)</f>
        <v>6060.7753899999998</v>
      </c>
      <c r="C64" s="48">
        <f>IF(OR(6701.6266="",6060.77539=""),"-",6060.77539/6701.6266*100)</f>
        <v>90.43737814338985</v>
      </c>
      <c r="D64" s="48">
        <f>IF(6701.6266="","-",6701.6266/3771658.08092*100)</f>
        <v>0.17768383178480771</v>
      </c>
      <c r="E64" s="48">
        <f>IF(6060.77539="","-",6060.77539/3323417.92643*100)</f>
        <v>0.18236573082791474</v>
      </c>
      <c r="F64" s="48">
        <f>IF(OR(3703581.02097="",7678.89798="",6701.6266=""),"-",(6701.6266-7678.89798)/3703581.02097*100)</f>
        <v>-2.6387201318577996E-2</v>
      </c>
      <c r="G64" s="48">
        <f>IF(OR(3771658.08092="",6060.77539="",6701.6266=""),"-",(6060.77539-6701.6266)/3771658.08092*100)</f>
        <v>-1.6991232933916439E-2</v>
      </c>
    </row>
    <row r="65" spans="1:7" s="9" customFormat="1" x14ac:dyDescent="0.25">
      <c r="A65" s="47" t="s">
        <v>75</v>
      </c>
      <c r="B65" s="48">
        <f>IF(5936.88192="","-",5936.88192)</f>
        <v>5936.8819199999998</v>
      </c>
      <c r="C65" s="48">
        <f>IF(OR(4210.00879="",5936.88192=""),"-",5936.88192/4210.00879*100)</f>
        <v>141.01827849152781</v>
      </c>
      <c r="D65" s="48">
        <f>IF(4210.00879="","-",4210.00879/3771658.08092*100)</f>
        <v>0.1116222281997809</v>
      </c>
      <c r="E65" s="48">
        <f>IF(5936.88192="","-",5936.88192/3323417.92643*100)</f>
        <v>0.17863783765460309</v>
      </c>
      <c r="F65" s="48">
        <f>IF(OR(3703581.02097="",3288.22645="",4210.00879=""),"-",(4210.00879-3288.22645)/3703581.02097*100)</f>
        <v>2.4888947609915578E-2</v>
      </c>
      <c r="G65" s="48">
        <f>IF(OR(3771658.08092="",5936.88192="",4210.00879=""),"-",(5936.88192-4210.00879)/3771658.08092*100)</f>
        <v>4.5785516421434816E-2</v>
      </c>
    </row>
    <row r="66" spans="1:7" s="9" customFormat="1" x14ac:dyDescent="0.25">
      <c r="A66" s="47" t="s">
        <v>79</v>
      </c>
      <c r="B66" s="48">
        <f>IF(5223.24493="","-",5223.24493)</f>
        <v>5223.2449299999998</v>
      </c>
      <c r="C66" s="48">
        <f>IF(OR(5548.07765="",5223.24493=""),"-",5223.24493/5548.07765*100)</f>
        <v>94.14513025065537</v>
      </c>
      <c r="D66" s="48">
        <f>IF(5548.07765="","-",5548.07765/3771658.08092*100)</f>
        <v>0.14709916781869811</v>
      </c>
      <c r="E66" s="48">
        <f>IF(5223.24493="","-",5223.24493/3323417.92643*100)</f>
        <v>0.1571648539433253</v>
      </c>
      <c r="F66" s="48">
        <f>IF(OR(3703581.02097="",5227.39939="",5548.07765=""),"-",(5548.07765-5227.39939)/3703581.02097*100)</f>
        <v>8.6585998303882698E-3</v>
      </c>
      <c r="G66" s="48">
        <f>IF(OR(3771658.08092="",5223.24493="",5548.07765=""),"-",(5223.24493-5548.07765)/3771658.08092*100)</f>
        <v>-8.6124646781546438E-3</v>
      </c>
    </row>
    <row r="67" spans="1:7" s="9" customFormat="1" x14ac:dyDescent="0.25">
      <c r="A67" s="47" t="s">
        <v>64</v>
      </c>
      <c r="B67" s="48">
        <f>IF(5064.81254="","-",5064.81254)</f>
        <v>5064.8125399999999</v>
      </c>
      <c r="C67" s="48">
        <f>IF(OR(6125.59124="",5064.81254=""),"-",5064.81254/6125.59124*100)</f>
        <v>82.682835689832928</v>
      </c>
      <c r="D67" s="48">
        <f>IF(6125.59124="","-",6125.59124/3771658.08092*100)</f>
        <v>0.16241109635542089</v>
      </c>
      <c r="E67" s="48">
        <f>IF(5064.81254="","-",5064.81254/3323417.92643*100)</f>
        <v>0.15239770176724651</v>
      </c>
      <c r="F67" s="48">
        <f>IF(OR(3703581.02097="",5497.69979="",6125.59124=""),"-",(6125.59124-5497.69979)/3703581.02097*100)</f>
        <v>1.6953630727796251E-2</v>
      </c>
      <c r="G67" s="48">
        <f>IF(OR(3771658.08092="",5064.81254="",6125.59124=""),"-",(5064.81254-6125.59124)/3771658.08092*100)</f>
        <v>-2.8124996413811984E-2</v>
      </c>
    </row>
    <row r="68" spans="1:7" s="9" customFormat="1" x14ac:dyDescent="0.25">
      <c r="A68" s="47" t="s">
        <v>85</v>
      </c>
      <c r="B68" s="48">
        <f>IF(4188.89487="","-",4188.89487)</f>
        <v>4188.8948700000001</v>
      </c>
      <c r="C68" s="48">
        <f>IF(OR(4825.42098="",4188.89487=""),"-",4188.89487/4825.42098*100)</f>
        <v>86.808899935607272</v>
      </c>
      <c r="D68" s="48">
        <f>IF(4825.42098="","-",4825.42098/3771658.08092*100)</f>
        <v>0.12793898270924287</v>
      </c>
      <c r="E68" s="48">
        <f>IF(4188.89487="","-",4188.89487/3323417.92643*100)</f>
        <v>0.12604177273905756</v>
      </c>
      <c r="F68" s="48">
        <f>IF(OR(3703581.02097="",3895.3735="",4825.42098=""),"-",(4825.42098-3895.3735)/3703581.02097*100)</f>
        <v>2.5112113782147318E-2</v>
      </c>
      <c r="G68" s="48">
        <f>IF(OR(3771658.08092="",4188.89487="",4825.42098=""),"-",(4188.89487-4825.42098)/3771658.08092*100)</f>
        <v>-1.6876559230542324E-2</v>
      </c>
    </row>
    <row r="69" spans="1:7" s="9" customFormat="1" x14ac:dyDescent="0.25">
      <c r="A69" s="47" t="s">
        <v>66</v>
      </c>
      <c r="B69" s="48">
        <f>IF(3958.33342="","-",3958.33342)</f>
        <v>3958.3334199999999</v>
      </c>
      <c r="C69" s="48">
        <f>IF(OR(3566.59283="",3958.33342=""),"-",3958.33342/3566.59283*100)</f>
        <v>110.98360840926156</v>
      </c>
      <c r="D69" s="48">
        <f>IF(3566.59283="","-",3566.59283/3771658.08092*100)</f>
        <v>9.4562994669177974E-2</v>
      </c>
      <c r="E69" s="48">
        <f>IF(3958.33342="","-",3958.33342/3323417.92643*100)</f>
        <v>0.11910429285828709</v>
      </c>
      <c r="F69" s="48">
        <f>IF(OR(3703581.02097="",3450.22351="",3566.59283=""),"-",(3566.59283-3450.22351)/3703581.02097*100)</f>
        <v>3.1420757191784644E-3</v>
      </c>
      <c r="G69" s="48">
        <f>IF(OR(3771658.08092="",3958.33342="",3566.59283=""),"-",(3958.33342-3566.59283)/3771658.08092*100)</f>
        <v>1.0386429034533394E-2</v>
      </c>
    </row>
    <row r="70" spans="1:7" s="9" customFormat="1" x14ac:dyDescent="0.25">
      <c r="A70" s="47" t="s">
        <v>76</v>
      </c>
      <c r="B70" s="48">
        <f>IF(3519.44902="","-",3519.44902)</f>
        <v>3519.44902</v>
      </c>
      <c r="C70" s="48">
        <f>IF(OR(3299.54404="",3519.44902=""),"-",3519.44902/3299.54404*100)</f>
        <v>106.66470813343045</v>
      </c>
      <c r="D70" s="48">
        <f>IF(3299.54404="","-",3299.54404/3771658.08092*100)</f>
        <v>8.7482586417143099E-2</v>
      </c>
      <c r="E70" s="48">
        <f>IF(3519.44902="","-",3519.44902/3323417.92643*100)</f>
        <v>0.10589847855158485</v>
      </c>
      <c r="F70" s="48">
        <f>IF(OR(3703581.02097="",3303.22254="",3299.54404=""),"-",(3299.54404-3303.22254)/3703581.02097*100)</f>
        <v>-9.9322790001676661E-5</v>
      </c>
      <c r="G70" s="48">
        <f>IF(OR(3771658.08092="",3519.44902="",3299.54404=""),"-",(3519.44902-3299.54404)/3771658.08092*100)</f>
        <v>5.8304590522786619E-3</v>
      </c>
    </row>
    <row r="71" spans="1:7" s="9" customFormat="1" x14ac:dyDescent="0.25">
      <c r="A71" s="47" t="s">
        <v>59</v>
      </c>
      <c r="B71" s="48">
        <f>IF(3474.77384="","-",3474.77384)</f>
        <v>3474.7738399999998</v>
      </c>
      <c r="C71" s="48" t="s">
        <v>105</v>
      </c>
      <c r="D71" s="48">
        <f>IF(2107.08386="","-",2107.08386/3771658.08092*100)</f>
        <v>5.5866248074269514E-2</v>
      </c>
      <c r="E71" s="48">
        <f>IF(3474.77384="","-",3474.77384/3323417.92643*100)</f>
        <v>0.10455422450382536</v>
      </c>
      <c r="F71" s="48">
        <f>IF(OR(3703581.02097="",2105.93029="",2107.08386=""),"-",(2107.08386-2105.93029)/3703581.02097*100)</f>
        <v>3.1147421737739382E-5</v>
      </c>
      <c r="G71" s="48">
        <f>IF(OR(3771658.08092="",3474.77384="",2107.08386=""),"-",(3474.77384-2107.08386)/3771658.08092*100)</f>
        <v>3.6262300310806184E-2</v>
      </c>
    </row>
    <row r="72" spans="1:7" s="9" customFormat="1" x14ac:dyDescent="0.25">
      <c r="A72" s="47" t="s">
        <v>69</v>
      </c>
      <c r="B72" s="48">
        <f>IF(3296.23349="","-",3296.23349)</f>
        <v>3296.2334900000001</v>
      </c>
      <c r="C72" s="48">
        <f>IF(OR(3643.89452="",3296.23349=""),"-",3296.23349/3643.89452*100)</f>
        <v>90.459080851769556</v>
      </c>
      <c r="D72" s="48">
        <f>IF(3643.89452="","-",3643.89452/3771658.08092*100)</f>
        <v>9.6612535967501176E-2</v>
      </c>
      <c r="E72" s="48">
        <f>IF(3296.23349="","-",3296.23349/3323417.92643*100)</f>
        <v>9.9182033766689062E-2</v>
      </c>
      <c r="F72" s="48">
        <f>IF(OR(3703581.02097="",5556.42349="",3643.89452=""),"-",(3643.89452-5556.42349)/3703581.02097*100)</f>
        <v>-5.1639992730578704E-2</v>
      </c>
      <c r="G72" s="48">
        <f>IF(OR(3771658.08092="",3296.23349="",3643.89452=""),"-",(3296.23349-3643.89452)/3771658.08092*100)</f>
        <v>-9.2177239437143434E-3</v>
      </c>
    </row>
    <row r="73" spans="1:7" s="9" customFormat="1" x14ac:dyDescent="0.25">
      <c r="A73" s="47" t="s">
        <v>82</v>
      </c>
      <c r="B73" s="48">
        <f>IF(3263.9514="","-",3263.9514)</f>
        <v>3263.9513999999999</v>
      </c>
      <c r="C73" s="48">
        <f>IF(OR(2780.8287="",3263.9514=""),"-",3263.9514/2780.8287*100)</f>
        <v>117.37333550966301</v>
      </c>
      <c r="D73" s="48">
        <f>IF(2780.8287="","-",2780.8287/3771658.08092*100)</f>
        <v>7.3729607518444179E-2</v>
      </c>
      <c r="E73" s="48">
        <f>IF(3263.9514="","-",3263.9514/3323417.92643*100)</f>
        <v>9.8210681661277582E-2</v>
      </c>
      <c r="F73" s="48">
        <f>IF(OR(3703581.02097="",3534.10433="",2780.8287=""),"-",(2780.8287-3534.10433)/3703581.02097*100)</f>
        <v>-2.0339115729746088E-2</v>
      </c>
      <c r="G73" s="48">
        <f>IF(OR(3771658.08092="",3263.9514="",2780.8287=""),"-",(3263.9514-2780.8287)/3771658.08092*100)</f>
        <v>1.2809292084137024E-2</v>
      </c>
    </row>
    <row r="74" spans="1:7" s="9" customFormat="1" x14ac:dyDescent="0.25">
      <c r="A74" s="47" t="s">
        <v>143</v>
      </c>
      <c r="B74" s="48">
        <f>IF(2903.95378="","-",2903.95378)</f>
        <v>2903.9537799999998</v>
      </c>
      <c r="C74" s="48">
        <f>IF(OR(3360.64661="",2903.95378=""),"-",2903.95378/3360.64661*100)</f>
        <v>86.410566685558166</v>
      </c>
      <c r="D74" s="48">
        <f>IF(3360.64661="","-",3360.64661/3771658.08092*100)</f>
        <v>8.9102631731141857E-2</v>
      </c>
      <c r="E74" s="48">
        <f>IF(2903.95378="","-",2903.95378/3323417.92643*100)</f>
        <v>8.7378531508356311E-2</v>
      </c>
      <c r="F74" s="48">
        <f>IF(OR(3703581.02097="",3448.45744="",3360.64661=""),"-",(3360.64661-3448.45744)/3703581.02097*100)</f>
        <v>-2.3709709468432778E-3</v>
      </c>
      <c r="G74" s="48">
        <f>IF(OR(3771658.08092="",2903.95378="",3360.64661=""),"-",(2903.95378-3360.64661)/3771658.08092*100)</f>
        <v>-1.2108542720516207E-2</v>
      </c>
    </row>
    <row r="75" spans="1:7" s="9" customFormat="1" x14ac:dyDescent="0.25">
      <c r="A75" s="47" t="s">
        <v>40</v>
      </c>
      <c r="B75" s="48">
        <f>IF(2876.20468="","-",2876.20468)</f>
        <v>2876.2046799999998</v>
      </c>
      <c r="C75" s="48">
        <f>IF(OR(2427.16401="",2876.20468=""),"-",2876.20468/2427.16401*100)</f>
        <v>118.50063152510242</v>
      </c>
      <c r="D75" s="48">
        <f>IF(2427.16401="","-",2427.16401/3771658.08092*100)</f>
        <v>6.4352705306944341E-2</v>
      </c>
      <c r="E75" s="48">
        <f>IF(2876.20468="","-",2876.20468/3323417.92643*100)</f>
        <v>8.6543574827785977E-2</v>
      </c>
      <c r="F75" s="48">
        <f>IF(OR(3703581.02097="",3237.87586="",2427.16401=""),"-",(2427.16401-3237.87586)/3703581.02097*100)</f>
        <v>-2.1889945039940496E-2</v>
      </c>
      <c r="G75" s="48">
        <f>IF(OR(3771658.08092="",2876.20468="",2427.16401=""),"-",(2876.20468-2427.16401)/3771658.08092*100)</f>
        <v>1.1905656885272798E-2</v>
      </c>
    </row>
    <row r="76" spans="1:7" s="9" customFormat="1" x14ac:dyDescent="0.25">
      <c r="A76" s="47" t="s">
        <v>81</v>
      </c>
      <c r="B76" s="48">
        <f>IF(2860.01932="","-",2860.01932)</f>
        <v>2860.0193199999999</v>
      </c>
      <c r="C76" s="48">
        <f>IF(OR(3031.7161="",2860.01932=""),"-",2860.01932/3031.7161*100)</f>
        <v>94.336647155055175</v>
      </c>
      <c r="D76" s="48">
        <f>IF(3031.7161="","-",3031.7161/3771658.08092*100)</f>
        <v>8.0381520141944843E-2</v>
      </c>
      <c r="E76" s="48">
        <f>IF(2860.01932="","-",2860.01932/3323417.92643*100)</f>
        <v>8.6056565358670345E-2</v>
      </c>
      <c r="F76" s="48">
        <f>IF(OR(3703581.02097="",4131.11247="",3031.7161=""),"-",(3031.7161-4131.11247)/3703581.02097*100)</f>
        <v>-2.9684685275551456E-2</v>
      </c>
      <c r="G76" s="48">
        <f>IF(OR(3771658.08092="",2860.01932="",3031.7161=""),"-",(2860.01932-3031.7161)/3771658.08092*100)</f>
        <v>-4.552289107768729E-3</v>
      </c>
    </row>
    <row r="77" spans="1:7" s="9" customFormat="1" x14ac:dyDescent="0.25">
      <c r="A77" s="47" t="s">
        <v>87</v>
      </c>
      <c r="B77" s="48">
        <f>IF(2829.37928="","-",2829.37928)</f>
        <v>2829.3792800000001</v>
      </c>
      <c r="C77" s="48">
        <f>IF(OR(2309.67168="",2829.37928=""),"-",2829.37928/2309.67168*100)</f>
        <v>122.50136261791114</v>
      </c>
      <c r="D77" s="48">
        <f>IF(2309.67168="","-",2309.67168/3771658.08092*100)</f>
        <v>6.1237567946154176E-2</v>
      </c>
      <c r="E77" s="48">
        <f>IF(2829.37928="","-",2829.37928/3323417.92643*100)</f>
        <v>8.5134621724788792E-2</v>
      </c>
      <c r="F77" s="48">
        <f>IF(OR(3703581.02097="",1152.93236="",2309.67168=""),"-",(2309.67168-1152.93236)/3703581.02097*100)</f>
        <v>3.1232996212326412E-2</v>
      </c>
      <c r="G77" s="48">
        <f>IF(OR(3771658.08092="",2829.37928="",2309.67168=""),"-",(2829.37928-2309.67168)/3771658.08092*100)</f>
        <v>1.3779287221953873E-2</v>
      </c>
    </row>
    <row r="78" spans="1:7" s="9" customFormat="1" x14ac:dyDescent="0.25">
      <c r="A78" s="47" t="s">
        <v>86</v>
      </c>
      <c r="B78" s="48">
        <f>IF(2820.32908="","-",2820.32908)</f>
        <v>2820.32908</v>
      </c>
      <c r="C78" s="48">
        <f>IF(OR(5535.46193="",2820.32908=""),"-",2820.32908/5535.46193*100)</f>
        <v>50.95020281351659</v>
      </c>
      <c r="D78" s="48">
        <f>IF(5535.46193="","-",5535.46193/3771658.08092*100)</f>
        <v>0.14676468044658397</v>
      </c>
      <c r="E78" s="48">
        <f>IF(2820.32908="","-",2820.32908/3323417.92643*100)</f>
        <v>8.4862305687493977E-2</v>
      </c>
      <c r="F78" s="48">
        <f>IF(OR(3703581.02097="",3849.76864="",5535.46193=""),"-",(5535.46193-3849.76864)/3703581.02097*100)</f>
        <v>4.5515226491751028E-2</v>
      </c>
      <c r="G78" s="48">
        <f>IF(OR(3771658.08092="",2820.32908="",5535.46193=""),"-",(2820.32908-5535.46193)/3771658.08092*100)</f>
        <v>-7.1987778100439923E-2</v>
      </c>
    </row>
    <row r="79" spans="1:7" s="9" customFormat="1" x14ac:dyDescent="0.25">
      <c r="A79" s="47" t="s">
        <v>38</v>
      </c>
      <c r="B79" s="48">
        <f>IF(2511.68634="","-",2511.68634)</f>
        <v>2511.6863400000002</v>
      </c>
      <c r="C79" s="48" t="s">
        <v>128</v>
      </c>
      <c r="D79" s="48">
        <f>IF(1641.65914="","-",1641.65914/3771658.08092*100)</f>
        <v>4.3526192056082637E-2</v>
      </c>
      <c r="E79" s="48">
        <f>IF(2511.68634="","-",2511.68634/3323417.92643*100)</f>
        <v>7.5575398448248787E-2</v>
      </c>
      <c r="F79" s="48">
        <f>IF(OR(3703581.02097="",1001.71952="",1641.65914=""),"-",(1641.65914-1001.71952)/3703581.02097*100)</f>
        <v>1.7278942093519916E-2</v>
      </c>
      <c r="G79" s="48">
        <f>IF(OR(3771658.08092="",2511.68634="",1641.65914=""),"-",(2511.68634-1641.65914)/3771658.08092*100)</f>
        <v>2.306749926249357E-2</v>
      </c>
    </row>
    <row r="80" spans="1:7" s="9" customFormat="1" x14ac:dyDescent="0.25">
      <c r="A80" s="47" t="s">
        <v>39</v>
      </c>
      <c r="B80" s="48">
        <f>IF(1634.13936="","-",1634.13936)</f>
        <v>1634.1393599999999</v>
      </c>
      <c r="C80" s="48">
        <f>IF(OR(1929.75033="",1634.13936=""),"-",1634.13936/1929.75033*100)</f>
        <v>84.681387773101193</v>
      </c>
      <c r="D80" s="48">
        <f>IF(1929.75033="","-",1929.75033/3771658.08092*100)</f>
        <v>5.1164508780957324E-2</v>
      </c>
      <c r="E80" s="48">
        <f>IF(1634.13936="","-",1634.13936/3323417.92643*100)</f>
        <v>4.9170444288822404E-2</v>
      </c>
      <c r="F80" s="48">
        <f>IF(OR(3703581.02097="",1341.84906="",1929.75033=""),"-",(1929.75033-1341.84906)/3703581.02097*100)</f>
        <v>1.5873860101108944E-2</v>
      </c>
      <c r="G80" s="48">
        <f>IF(OR(3771658.08092="",1634.13936="",1929.75033=""),"-",(1634.13936-1929.75033)/3771658.08092*100)</f>
        <v>-7.8376926979524461E-3</v>
      </c>
    </row>
    <row r="81" spans="1:7" s="9" customFormat="1" x14ac:dyDescent="0.25">
      <c r="A81" s="47" t="s">
        <v>88</v>
      </c>
      <c r="B81" s="48">
        <f>IF(1550.82516="","-",1550.82516)</f>
        <v>1550.8251600000001</v>
      </c>
      <c r="C81" s="48">
        <f>IF(OR(1888.47527="",1550.82516=""),"-",1550.82516/1888.47527*100)</f>
        <v>82.120490780903907</v>
      </c>
      <c r="D81" s="48">
        <f>IF(1888.47527="","-",1888.47527/3771658.08092*100)</f>
        <v>5.0070160907569709E-2</v>
      </c>
      <c r="E81" s="48">
        <f>IF(1550.82516="","-",1550.82516/3323417.92643*100)</f>
        <v>4.6663561259233183E-2</v>
      </c>
      <c r="F81" s="48">
        <f>IF(OR(3703581.02097="",1807.3851="",1888.47527=""),"-",(1888.47527-1807.3851)/3703581.02097*100)</f>
        <v>2.1895071159739802E-3</v>
      </c>
      <c r="G81" s="48">
        <f>IF(OR(3771658.08092="",1550.82516="",1888.47527=""),"-",(1550.82516-1888.47527)/3771658.08092*100)</f>
        <v>-8.9522990354851742E-3</v>
      </c>
    </row>
    <row r="82" spans="1:7" s="9" customFormat="1" x14ac:dyDescent="0.25">
      <c r="A82" s="47" t="s">
        <v>89</v>
      </c>
      <c r="B82" s="48">
        <f>IF(1320.71398="","-",1320.71398)</f>
        <v>1320.71398</v>
      </c>
      <c r="C82" s="48">
        <f>IF(OR(1925.23501="",1320.71398=""),"-",1320.71398/1925.23501*100)</f>
        <v>68.600143522218616</v>
      </c>
      <c r="D82" s="48">
        <f>IF(1925.23501="","-",1925.23501/3771658.08092*100)</f>
        <v>5.1044791672377361E-2</v>
      </c>
      <c r="E82" s="48">
        <f>IF(1320.71398="","-",1320.71398/3323417.92643*100)</f>
        <v>3.9739629779836472E-2</v>
      </c>
      <c r="F82" s="48">
        <f>IF(OR(3703581.02097="",3223.2364="",1925.23501=""),"-",(1925.23501-3223.2364)/3703581.02097*100)</f>
        <v>-3.5047198445250748E-2</v>
      </c>
      <c r="G82" s="48">
        <f>IF(OR(3771658.08092="",1320.71398="",1925.23501=""),"-",(1320.71398-1925.23501)/3771658.08092*100)</f>
        <v>-1.6027991324508998E-2</v>
      </c>
    </row>
    <row r="83" spans="1:7" s="9" customFormat="1" x14ac:dyDescent="0.25">
      <c r="A83" s="47" t="s">
        <v>92</v>
      </c>
      <c r="B83" s="48">
        <f>IF(1298.15153="","-",1298.15153)</f>
        <v>1298.1515300000001</v>
      </c>
      <c r="C83" s="48">
        <f>IF(OR(1809.42854="",1298.15153=""),"-",1298.15153/1809.42854*100)</f>
        <v>71.743730205559814</v>
      </c>
      <c r="D83" s="48">
        <f>IF(1809.42854="","-",1809.42854/3771658.08092*100)</f>
        <v>4.7974352424826269E-2</v>
      </c>
      <c r="E83" s="48">
        <f>IF(1298.15153="","-",1298.15153/3323417.92643*100)</f>
        <v>3.9060736829883695E-2</v>
      </c>
      <c r="F83" s="48">
        <f>IF(OR(3703581.02097="",1307.20084="",1809.42854=""),"-",(1809.42854-1307.20084)/3703581.02097*100)</f>
        <v>1.3560597085802713E-2</v>
      </c>
      <c r="G83" s="48">
        <f>IF(OR(3771658.08092="",1298.15153="",1809.42854=""),"-",(1298.15153-1809.42854)/3771658.08092*100)</f>
        <v>-1.3555762453294467E-2</v>
      </c>
    </row>
    <row r="84" spans="1:7" s="9" customFormat="1" x14ac:dyDescent="0.25">
      <c r="A84" s="47" t="s">
        <v>74</v>
      </c>
      <c r="B84" s="48">
        <f>IF(1261.1162="","-",1261.1162)</f>
        <v>1261.1161999999999</v>
      </c>
      <c r="C84" s="48">
        <f>IF(OR(1019.22986="",1261.1162=""),"-",1261.1162/1019.22986*100)</f>
        <v>123.73226585021753</v>
      </c>
      <c r="D84" s="48">
        <f>IF(1019.22986="","-",1019.22986/3771658.08092*100)</f>
        <v>2.7023389663979956E-2</v>
      </c>
      <c r="E84" s="48">
        <f>IF(1261.1162="","-",1261.1162/3323417.92643*100)</f>
        <v>3.7946362086175696E-2</v>
      </c>
      <c r="F84" s="48">
        <f>IF(OR(3703581.02097="",1424.45718="",1019.22986=""),"-",(1019.22986-1424.45718)/3703581.02097*100)</f>
        <v>-1.094150006994764E-2</v>
      </c>
      <c r="G84" s="48">
        <f>IF(OR(3771658.08092="",1261.1162="",1019.22986=""),"-",(1261.1162-1019.22986)/3771658.08092*100)</f>
        <v>6.4132626767959269E-3</v>
      </c>
    </row>
    <row r="85" spans="1:7" s="9" customFormat="1" x14ac:dyDescent="0.25">
      <c r="A85" s="47" t="s">
        <v>265</v>
      </c>
      <c r="B85" s="48">
        <f>IF(1186.64293="","-",1186.64293)</f>
        <v>1186.64293</v>
      </c>
      <c r="C85" s="48">
        <f>IF(OR(1418.03688="",1186.64293=""),"-",1186.64293/1418.03688*100)</f>
        <v>83.682092245724931</v>
      </c>
      <c r="D85" s="48">
        <f>IF(1418.03688="","-",1418.03688/3771658.08092*100)</f>
        <v>3.7597174759120958E-2</v>
      </c>
      <c r="E85" s="48">
        <f>IF(1186.64293="","-",1186.64293/3323417.92643*100)</f>
        <v>3.5705498263189736E-2</v>
      </c>
      <c r="F85" s="48">
        <f>IF(OR(3703581.02097="",1320.03167="",1418.03688=""),"-",(1418.03688-1320.03167)/3703581.02097*100)</f>
        <v>2.6462283245617135E-3</v>
      </c>
      <c r="G85" s="48">
        <f>IF(OR(3771658.08092="",1186.64293="",1418.03688=""),"-",(1186.64293-1418.03688)/3771658.08092*100)</f>
        <v>-6.1350722954069438E-3</v>
      </c>
    </row>
    <row r="86" spans="1:7" s="9" customFormat="1" x14ac:dyDescent="0.25">
      <c r="A86" s="47" t="s">
        <v>145</v>
      </c>
      <c r="B86" s="48">
        <f>IF(1021.28896="","-",1021.28896)</f>
        <v>1021.28896</v>
      </c>
      <c r="C86" s="48" t="s">
        <v>281</v>
      </c>
      <c r="D86" s="48">
        <f>IF(99.96311="","-",99.96311/3771658.08092*100)</f>
        <v>2.6503757195195316E-3</v>
      </c>
      <c r="E86" s="48">
        <f>IF(1021.28896="","-",1021.28896/3323417.92643*100)</f>
        <v>3.0730079171747856E-2</v>
      </c>
      <c r="F86" s="48">
        <f>IF(OR(3703581.02097="",138.13696="",99.96311=""),"-",(99.96311-138.13696)/3703581.02097*100)</f>
        <v>-1.0307280921858144E-3</v>
      </c>
      <c r="G86" s="48">
        <f>IF(OR(3771658.08092="",1021.28896="",99.96311=""),"-",(1021.28896-99.96311)/3771658.08092*100)</f>
        <v>2.4427607970637304E-2</v>
      </c>
    </row>
    <row r="87" spans="1:7" s="9" customFormat="1" x14ac:dyDescent="0.25">
      <c r="A87" s="47" t="s">
        <v>146</v>
      </c>
      <c r="B87" s="48">
        <f>IF(1020.32201="","-",1020.32201)</f>
        <v>1020.32201</v>
      </c>
      <c r="C87" s="48">
        <f>IF(OR(2022.03647="",1020.32201=""),"-",1020.32201/2022.03647*100)</f>
        <v>50.460119050177163</v>
      </c>
      <c r="D87" s="48">
        <f>IF(2022.03647="","-",2022.03647/3771658.08092*100)</f>
        <v>5.3611340864354692E-2</v>
      </c>
      <c r="E87" s="48">
        <f>IF(1020.32201="","-",1020.32201/3323417.92643*100)</f>
        <v>3.0700984124979586E-2</v>
      </c>
      <c r="F87" s="48">
        <f>IF(OR(3703581.02097="",658.62223="",2022.03647=""),"-",(2022.03647-658.62223)/3703581.02097*100)</f>
        <v>3.6813403899637387E-2</v>
      </c>
      <c r="G87" s="48">
        <f>IF(OR(3771658.08092="",1020.32201="",2022.03647=""),"-",(1020.32201-2022.03647)/3771658.08092*100)</f>
        <v>-2.6558994439805032E-2</v>
      </c>
    </row>
    <row r="88" spans="1:7" s="9" customFormat="1" x14ac:dyDescent="0.25">
      <c r="A88" s="47" t="s">
        <v>98</v>
      </c>
      <c r="B88" s="48">
        <f>IF(952.45877="","-",952.45877)</f>
        <v>952.45876999999996</v>
      </c>
      <c r="C88" s="48">
        <f>IF(OR(788.23691="",952.45877=""),"-",952.45877/788.23691*100)</f>
        <v>120.83407385731277</v>
      </c>
      <c r="D88" s="48">
        <f>IF(788.23691="","-",788.23691/3771658.08092*100)</f>
        <v>2.0898949297326802E-2</v>
      </c>
      <c r="E88" s="48">
        <f>IF(952.45877="","-",952.45877/3323417.92643*100)</f>
        <v>2.8659012832103443E-2</v>
      </c>
      <c r="F88" s="48">
        <f>IF(OR(3703581.02097="",818.35621="",788.23691=""),"-",(788.23691-818.35621)/3703581.02097*100)</f>
        <v>-8.1324803830298169E-4</v>
      </c>
      <c r="G88" s="48">
        <f>IF(OR(3771658.08092="",952.45877="",788.23691=""),"-",(952.45877-788.23691)/3771658.08092*100)</f>
        <v>4.354102532007415E-3</v>
      </c>
    </row>
    <row r="89" spans="1:7" x14ac:dyDescent="0.25">
      <c r="A89" s="47" t="s">
        <v>68</v>
      </c>
      <c r="B89" s="48">
        <f>IF(901.21785="","-",901.21785)</f>
        <v>901.21785</v>
      </c>
      <c r="C89" s="48">
        <f>IF(OR(1261.89534="",901.21785=""),"-",901.21785/1261.89534*100)</f>
        <v>71.417796819821845</v>
      </c>
      <c r="D89" s="48">
        <f>IF(1261.89534="","-",1261.89534/3771658.08092*100)</f>
        <v>3.3457310098803886E-2</v>
      </c>
      <c r="E89" s="48">
        <f>IF(901.21785="","-",901.21785/3323417.92643*100)</f>
        <v>2.7117198918406388E-2</v>
      </c>
      <c r="F89" s="48">
        <f>IF(OR(3703581.02097="",1302.43895="",1261.89534=""),"-",(1261.89534-1302.43895)/3703581.02097*100)</f>
        <v>-1.0947137316677689E-3</v>
      </c>
      <c r="G89" s="48">
        <f>IF(OR(3771658.08092="",901.21785="",1261.89534=""),"-",(901.21785-1261.89534)/3771658.08092*100)</f>
        <v>-9.5628363510623926E-3</v>
      </c>
    </row>
    <row r="90" spans="1:7" x14ac:dyDescent="0.25">
      <c r="A90" s="47" t="s">
        <v>175</v>
      </c>
      <c r="B90" s="48">
        <f>IF(712.94595="","-",712.94595)</f>
        <v>712.94595000000004</v>
      </c>
      <c r="C90" s="48">
        <f>IF(OR(742.36264="",712.94595=""),"-",712.94595/742.36264*100)</f>
        <v>96.037423165583874</v>
      </c>
      <c r="D90" s="48">
        <f>IF(742.36264="","-",742.36264/3771658.08092*100)</f>
        <v>1.9682660094653109E-2</v>
      </c>
      <c r="E90" s="48">
        <f>IF(712.94595="","-",712.94595/3323417.92643*100)</f>
        <v>2.1452190659807968E-2</v>
      </c>
      <c r="F90" s="48">
        <f>IF(OR(3703581.02097="",662.98541="",742.36264=""),"-",(742.36264-662.98541)/3703581.02097*100)</f>
        <v>2.1432562039431359E-3</v>
      </c>
      <c r="G90" s="48">
        <f>IF(OR(3771658.08092="",712.94595="",742.36264=""),"-",(712.94595-742.36264)/3771658.08092*100)</f>
        <v>-7.7994052930759213E-4</v>
      </c>
    </row>
    <row r="91" spans="1:7" x14ac:dyDescent="0.25">
      <c r="A91" s="47" t="s">
        <v>90</v>
      </c>
      <c r="B91" s="48">
        <f>IF(690.02977="","-",690.02977)</f>
        <v>690.02976999999998</v>
      </c>
      <c r="C91" s="48">
        <f>IF(OR(871.14162="",690.02977=""),"-",690.02977/871.14162*100)</f>
        <v>79.209826985421728</v>
      </c>
      <c r="D91" s="48">
        <f>IF(871.14162="","-",871.14162/3771658.08092*100)</f>
        <v>2.3097046479555409E-2</v>
      </c>
      <c r="E91" s="48">
        <f>IF(690.02977="","-",690.02977/3323417.92643*100)</f>
        <v>2.0762654149285003E-2</v>
      </c>
      <c r="F91" s="48">
        <f>IF(OR(3703581.02097="",919.70882="",871.14162=""),"-",(871.14162-919.70882)/3703581.02097*100)</f>
        <v>-1.3113578378603902E-3</v>
      </c>
      <c r="G91" s="48">
        <f>IF(OR(3771658.08092="",690.02977="",871.14162=""),"-",(690.02977-871.14162)/3771658.08092*100)</f>
        <v>-4.8019159243571303E-3</v>
      </c>
    </row>
    <row r="92" spans="1:7" x14ac:dyDescent="0.25">
      <c r="A92" s="47" t="s">
        <v>65</v>
      </c>
      <c r="B92" s="48">
        <f>IF(630.7751="","-",630.7751)</f>
        <v>630.77509999999995</v>
      </c>
      <c r="C92" s="48" t="s">
        <v>104</v>
      </c>
      <c r="D92" s="48">
        <f>IF(362.93697="","-",362.93697/3771658.08092*100)</f>
        <v>9.6227431599916063E-3</v>
      </c>
      <c r="E92" s="48">
        <f>IF(630.7751="","-",630.7751/3323417.92643*100)</f>
        <v>1.8979710465652319E-2</v>
      </c>
      <c r="F92" s="48">
        <f>IF(OR(3703581.02097="",240.47866="",362.93697=""),"-",(362.93697-240.47866)/3703581.02097*100)</f>
        <v>3.3064838950904629E-3</v>
      </c>
      <c r="G92" s="48">
        <f>IF(OR(3771658.08092="",630.7751="",362.93697=""),"-",(630.7751-362.93697)/3771658.08092*100)</f>
        <v>7.1013364481508799E-3</v>
      </c>
    </row>
    <row r="93" spans="1:7" x14ac:dyDescent="0.25">
      <c r="A93" s="47" t="s">
        <v>276</v>
      </c>
      <c r="B93" s="48">
        <f>IF(625.2805="","-",625.2805)</f>
        <v>625.28049999999996</v>
      </c>
      <c r="C93" s="48" t="str">
        <f>IF(OR(""="",625.2805=""),"-",625.2805/""*100)</f>
        <v>-</v>
      </c>
      <c r="D93" s="48" t="str">
        <f>IF(""="","-",""/3771658.08092*100)</f>
        <v>-</v>
      </c>
      <c r="E93" s="48">
        <f>IF(625.2805="","-",625.2805/3323417.92643*100)</f>
        <v>1.8814380671999122E-2</v>
      </c>
      <c r="F93" s="48" t="str">
        <f>IF(OR(3703581.02097="",""="",""=""),"-",(""-"")/3703581.02097*100)</f>
        <v>-</v>
      </c>
      <c r="G93" s="48" t="str">
        <f>IF(OR(3771658.08092="",625.2805="",""=""),"-",(625.2805-"")/3771658.08092*100)</f>
        <v>-</v>
      </c>
    </row>
    <row r="94" spans="1:7" x14ac:dyDescent="0.25">
      <c r="A94" s="47" t="s">
        <v>94</v>
      </c>
      <c r="B94" s="48">
        <f>IF(605.79079="","-",605.79079)</f>
        <v>605.79079000000002</v>
      </c>
      <c r="C94" s="48">
        <f>IF(OR(633.0139="",605.79079=""),"-",605.79079/633.0139*100)</f>
        <v>95.699445146465195</v>
      </c>
      <c r="D94" s="48">
        <f>IF(633.0139="","-",633.0139/3771658.08092*100)</f>
        <v>1.6783438117105049E-2</v>
      </c>
      <c r="E94" s="48">
        <f>IF(605.79079="","-",605.79079/3323417.92643*100)</f>
        <v>1.8227944947349358E-2</v>
      </c>
      <c r="F94" s="48">
        <f>IF(OR(3703581.02097="",481.04754="",633.0139=""),"-",(633.0139-481.04754)/3703581.02097*100)</f>
        <v>4.1032276366995395E-3</v>
      </c>
      <c r="G94" s="48">
        <f>IF(OR(3771658.08092="",605.79079="",633.0139=""),"-",(605.79079-633.0139)/3771658.08092*100)</f>
        <v>-7.2178096253517319E-4</v>
      </c>
    </row>
    <row r="95" spans="1:7" x14ac:dyDescent="0.25">
      <c r="A95" s="47" t="s">
        <v>95</v>
      </c>
      <c r="B95" s="48">
        <f>IF(491.63379="","-",491.63379)</f>
        <v>491.63378999999998</v>
      </c>
      <c r="C95" s="48" t="s">
        <v>105</v>
      </c>
      <c r="D95" s="48">
        <f>IF(302.53222="","-",302.53222/3771658.08092*100)</f>
        <v>8.0211995231074858E-3</v>
      </c>
      <c r="E95" s="48">
        <f>IF(491.63379="","-",491.63379/3323417.92643*100)</f>
        <v>1.4793017335863946E-2</v>
      </c>
      <c r="F95" s="48">
        <f>IF(OR(3703581.02097="",392.17804="",302.53222=""),"-",(302.53222-392.17804)/3703581.02097*100)</f>
        <v>-2.4205173180340198E-3</v>
      </c>
      <c r="G95" s="48">
        <f>IF(OR(3771658.08092="",491.63379="",302.53222=""),"-",(491.63379-302.53222)/3771658.08092*100)</f>
        <v>5.0137516695011085E-3</v>
      </c>
    </row>
    <row r="96" spans="1:7" x14ac:dyDescent="0.25">
      <c r="A96" s="47" t="s">
        <v>112</v>
      </c>
      <c r="B96" s="48">
        <f>IF(471.90765="","-",471.90765)</f>
        <v>471.90764999999999</v>
      </c>
      <c r="C96" s="48">
        <f>IF(OR(407.93866="",471.90765=""),"-",471.90765/407.93866*100)</f>
        <v>115.68103155508722</v>
      </c>
      <c r="D96" s="48">
        <f>IF(407.93866="","-",407.93866/3771658.08092*100)</f>
        <v>1.0815897179642906E-2</v>
      </c>
      <c r="E96" s="48">
        <f>IF(471.90765="","-",471.90765/3323417.92643*100)</f>
        <v>1.4199467549569396E-2</v>
      </c>
      <c r="F96" s="48">
        <f>IF(OR(3703581.02097="",41.85625="",407.93866=""),"-",(407.93866-41.85625)/3703581.02097*100)</f>
        <v>9.8845524892586228E-3</v>
      </c>
      <c r="G96" s="48">
        <f>IF(OR(3771658.08092="",471.90765="",407.93866=""),"-",(471.90765-407.93866)/3771658.08092*100)</f>
        <v>1.6960442497055924E-3</v>
      </c>
    </row>
    <row r="97" spans="1:7" x14ac:dyDescent="0.25">
      <c r="A97" s="47" t="s">
        <v>103</v>
      </c>
      <c r="B97" s="48">
        <f>IF(467.98757="","-",467.98757)</f>
        <v>467.98757000000001</v>
      </c>
      <c r="C97" s="48" t="s">
        <v>249</v>
      </c>
      <c r="D97" s="48">
        <f>IF(260.26326="","-",260.26326/3771658.08092*100)</f>
        <v>6.9004998442625375E-3</v>
      </c>
      <c r="E97" s="48">
        <f>IF(467.98757="","-",467.98757/3323417.92643*100)</f>
        <v>1.4081514283179849E-2</v>
      </c>
      <c r="F97" s="48">
        <f>IF(OR(3703581.02097="",472.45919="",260.26326=""),"-",(260.26326-472.45919)/3703581.02097*100)</f>
        <v>-5.7294798952291859E-3</v>
      </c>
      <c r="G97" s="48">
        <f>IF(OR(3771658.08092="",467.98757="",260.26326=""),"-",(467.98757-260.26326)/3771658.08092*100)</f>
        <v>5.5075063948885564E-3</v>
      </c>
    </row>
    <row r="98" spans="1:7" x14ac:dyDescent="0.25">
      <c r="A98" s="47" t="s">
        <v>174</v>
      </c>
      <c r="B98" s="48">
        <f>IF(455.05078="","-",455.05078)</f>
        <v>455.05077999999997</v>
      </c>
      <c r="C98" s="48">
        <f>IF(OR(625.41813="",455.05078=""),"-",455.05078/625.41813*100)</f>
        <v>72.759448147113986</v>
      </c>
      <c r="D98" s="48">
        <f>IF(625.41813="","-",625.41813/3771658.08092*100)</f>
        <v>1.6582047380271678E-2</v>
      </c>
      <c r="E98" s="48">
        <f>IF(455.05078="","-",455.05078/3323417.92643*100)</f>
        <v>1.3692252677014757E-2</v>
      </c>
      <c r="F98" s="48">
        <f>IF(OR(3703581.02097="",411.05289="",625.41813=""),"-",(625.41813-411.05289)/3703581.02097*100)</f>
        <v>5.7880532054313183E-3</v>
      </c>
      <c r="G98" s="48">
        <f>IF(OR(3771658.08092="",455.05078="",625.41813=""),"-",(455.05078-625.41813)/3771658.08092*100)</f>
        <v>-4.5170412148930333E-3</v>
      </c>
    </row>
    <row r="99" spans="1:7" x14ac:dyDescent="0.25">
      <c r="A99" s="47" t="s">
        <v>93</v>
      </c>
      <c r="B99" s="48">
        <f>IF(447.14259="","-",447.14259)</f>
        <v>447.14258999999998</v>
      </c>
      <c r="C99" s="48">
        <f>IF(OR(389.01676="",447.14259=""),"-",447.14259/389.01676*100)</f>
        <v>114.94172898874588</v>
      </c>
      <c r="D99" s="48">
        <f>IF(389.01676="","-",389.01676/3771658.08092*100)</f>
        <v>1.0314210664215596E-2</v>
      </c>
      <c r="E99" s="48">
        <f>IF(447.14259="","-",447.14259/3323417.92643*100)</f>
        <v>1.3454299155216945E-2</v>
      </c>
      <c r="F99" s="48">
        <f>IF(OR(3703581.02097="",826.19052="",389.01676=""),"-",(389.01676-826.19052)/3703581.02097*100)</f>
        <v>-1.1804082522420434E-2</v>
      </c>
      <c r="G99" s="48">
        <f>IF(OR(3771658.08092="",447.14259="",389.01676=""),"-",(447.14259-389.01676)/3771658.08092*100)</f>
        <v>1.5411214047754214E-3</v>
      </c>
    </row>
    <row r="100" spans="1:7" x14ac:dyDescent="0.25">
      <c r="A100" s="47" t="s">
        <v>134</v>
      </c>
      <c r="B100" s="48">
        <f>IF(338.16136="","-",338.16136)</f>
        <v>338.16136</v>
      </c>
      <c r="C100" s="48">
        <f>IF(OR(353.61115="",338.16136=""),"-",338.16136/353.61115*100)</f>
        <v>95.630853269191306</v>
      </c>
      <c r="D100" s="48">
        <f>IF(353.61115="","-",353.61115/3771658.08092*100)</f>
        <v>9.3754826766732132E-3</v>
      </c>
      <c r="E100" s="48">
        <f>IF(338.16136="","-",338.16136/3323417.92643*100)</f>
        <v>1.0175107900535741E-2</v>
      </c>
      <c r="F100" s="48">
        <f>IF(OR(3703581.02097="",975.74485="",353.61115=""),"-",(353.61115-975.74485)/3703581.02097*100)</f>
        <v>-1.6798166328140917E-2</v>
      </c>
      <c r="G100" s="48">
        <f>IF(OR(3771658.08092="",338.16136="",353.61115=""),"-",(338.16136-353.61115)/3771658.08092*100)</f>
        <v>-4.0962859486540269E-4</v>
      </c>
    </row>
    <row r="101" spans="1:7" x14ac:dyDescent="0.25">
      <c r="A101" s="47" t="s">
        <v>99</v>
      </c>
      <c r="B101" s="48">
        <f>IF(261.68333="","-",261.68333)</f>
        <v>261.68333000000001</v>
      </c>
      <c r="C101" s="48">
        <f>IF(OR(587.01339="",261.68333=""),"-",261.68333/587.01339*100)</f>
        <v>44.578766763736006</v>
      </c>
      <c r="D101" s="48">
        <f>IF(587.01339="","-",587.01339/3771658.08092*100)</f>
        <v>1.5563801845389257E-2</v>
      </c>
      <c r="E101" s="48">
        <f>IF(261.68333="","-",261.68333/3323417.92643*100)</f>
        <v>7.8739218416956375E-3</v>
      </c>
      <c r="F101" s="48">
        <f>IF(OR(3703581.02097="",527.62566="",587.01339=""),"-",(587.01339-527.62566)/3703581.02097*100)</f>
        <v>1.6035218255990996E-3</v>
      </c>
      <c r="G101" s="48">
        <f>IF(OR(3771658.08092="",261.68333="",587.01339=""),"-",(261.68333-587.01339)/3771658.08092*100)</f>
        <v>-8.6256509211631392E-3</v>
      </c>
    </row>
    <row r="102" spans="1:7" x14ac:dyDescent="0.25">
      <c r="A102" s="47" t="s">
        <v>102</v>
      </c>
      <c r="B102" s="48">
        <f>IF(220.1529="","-",220.1529)</f>
        <v>220.15289999999999</v>
      </c>
      <c r="C102" s="48">
        <f>IF(OR(912.82402="",220.1529=""),"-",220.1529/912.82402*100)</f>
        <v>24.117781212637237</v>
      </c>
      <c r="D102" s="48">
        <f>IF(912.82402="","-",912.82402/3771658.08092*100)</f>
        <v>2.4202194377527981E-2</v>
      </c>
      <c r="E102" s="48">
        <f>IF(220.1529="","-",220.1529/3323417.92643*100)</f>
        <v>6.6242917644873875E-3</v>
      </c>
      <c r="F102" s="48">
        <f>IF(OR(3703581.02097="",874.95651="",912.82402=""),"-",(912.82402-874.95651)/3703581.02097*100)</f>
        <v>1.0224566381993774E-3</v>
      </c>
      <c r="G102" s="48">
        <f>IF(OR(3771658.08092="",220.1529="",912.82402=""),"-",(220.1529-912.82402)/3771658.08092*100)</f>
        <v>-1.8365162088898591E-2</v>
      </c>
    </row>
    <row r="103" spans="1:7" x14ac:dyDescent="0.25">
      <c r="A103" s="47" t="s">
        <v>91</v>
      </c>
      <c r="B103" s="48">
        <f>IF(217.43132="","-",217.43132)</f>
        <v>217.43132</v>
      </c>
      <c r="C103" s="48">
        <f>IF(OR(456.59416="",217.43132=""),"-",217.43132/456.59416*100)</f>
        <v>47.620258655958281</v>
      </c>
      <c r="D103" s="48">
        <f>IF(456.59416="","-",456.59416/3771658.08092*100)</f>
        <v>1.2105926629717862E-2</v>
      </c>
      <c r="E103" s="48">
        <f>IF(217.43132="","-",217.43132/3323417.92643*100)</f>
        <v>6.542400769726957E-3</v>
      </c>
      <c r="F103" s="48">
        <f>IF(OR(3703581.02097="",980.28577="",456.59416=""),"-",(456.59416-980.28577)/3703581.02097*100)</f>
        <v>-1.4140141852839514E-2</v>
      </c>
      <c r="G103" s="48">
        <f>IF(OR(3771658.08092="",217.43132="",456.59416=""),"-",(217.43132-456.59416)/3771658.08092*100)</f>
        <v>-6.3410530559456831E-3</v>
      </c>
    </row>
    <row r="104" spans="1:7" x14ac:dyDescent="0.25">
      <c r="A104" s="47" t="s">
        <v>148</v>
      </c>
      <c r="B104" s="48">
        <f>IF(205.14183="","-",205.14183)</f>
        <v>205.14183</v>
      </c>
      <c r="C104" s="48" t="s">
        <v>104</v>
      </c>
      <c r="D104" s="48">
        <f>IF(122.74016="","-",122.74016/3771658.08092*100)</f>
        <v>3.2542759011193472E-3</v>
      </c>
      <c r="E104" s="48">
        <f>IF(205.14183="","-",205.14183/3323417.92643*100)</f>
        <v>6.1726161000871301E-3</v>
      </c>
      <c r="F104" s="48">
        <f>IF(OR(3703581.02097="",314.62829="",122.74016=""),"-",(122.74016-314.62829)/3703581.02097*100)</f>
        <v>-5.1811511322018503E-3</v>
      </c>
      <c r="G104" s="48">
        <f>IF(OR(3771658.08092="",205.14183="",122.74016=""),"-",(205.14183-122.74016)/3771658.08092*100)</f>
        <v>2.1847598120532758E-3</v>
      </c>
    </row>
    <row r="105" spans="1:7" x14ac:dyDescent="0.25">
      <c r="A105" s="47" t="s">
        <v>108</v>
      </c>
      <c r="B105" s="48">
        <f>IF(176.85317="","-",176.85317)</f>
        <v>176.85317000000001</v>
      </c>
      <c r="C105" s="48">
        <f>IF(OR(192.31928="",176.85317=""),"-",176.85317/192.31928*100)</f>
        <v>91.958107372282186</v>
      </c>
      <c r="D105" s="48">
        <f>IF(192.31928="","-",192.31928/3771658.08092*100)</f>
        <v>5.099064545985796E-3</v>
      </c>
      <c r="E105" s="48">
        <f>IF(176.85317="","-",176.85317/3323417.92643*100)</f>
        <v>5.32142432625002E-3</v>
      </c>
      <c r="F105" s="48">
        <f>IF(OR(3703581.02097="",56.53527="",192.31928=""),"-",(192.31928-56.53527)/3703581.02097*100)</f>
        <v>3.6662897134200402E-3</v>
      </c>
      <c r="G105" s="48">
        <f>IF(OR(3771658.08092="",176.85317="",192.31928=""),"-",(176.85317-192.31928)/3771658.08092*100)</f>
        <v>-4.1006129580620476E-4</v>
      </c>
    </row>
    <row r="106" spans="1:7" x14ac:dyDescent="0.25">
      <c r="A106" s="47" t="s">
        <v>135</v>
      </c>
      <c r="B106" s="48">
        <f>IF(165.61132="","-",165.61132)</f>
        <v>165.61132000000001</v>
      </c>
      <c r="C106" s="48">
        <f>IF(OR(145.57731="",165.61132=""),"-",165.61132/145.57731*100)</f>
        <v>113.761766857761</v>
      </c>
      <c r="D106" s="48">
        <f>IF(145.57731="","-",145.57731/3771658.08092*100)</f>
        <v>3.8597695463553293E-3</v>
      </c>
      <c r="E106" s="48">
        <f>IF(165.61132="","-",165.61132/3323417.92643*100)</f>
        <v>4.9831626255292822E-3</v>
      </c>
      <c r="F106" s="48">
        <f>IF(OR(3703581.02097="",118.30146="",145.57731=""),"-",(145.57731-118.30146)/3703581.02097*100)</f>
        <v>7.3647234515896256E-4</v>
      </c>
      <c r="G106" s="48">
        <f>IF(OR(3771658.08092="",165.61132="",145.57731=""),"-",(165.61132-145.57731)/3771658.08092*100)</f>
        <v>5.3117248621627991E-4</v>
      </c>
    </row>
    <row r="107" spans="1:7" x14ac:dyDescent="0.25">
      <c r="A107" s="47" t="s">
        <v>153</v>
      </c>
      <c r="B107" s="48">
        <f>IF(157.75198="","-",157.75198)</f>
        <v>157.75198</v>
      </c>
      <c r="C107" s="48">
        <f>IF(OR(117.76482="",157.75198=""),"-",157.75198/117.76482*100)</f>
        <v>133.95509796558937</v>
      </c>
      <c r="D107" s="48">
        <f>IF(117.76482="","-",117.76482/3771658.08092*100)</f>
        <v>3.1223620347705077E-3</v>
      </c>
      <c r="E107" s="48">
        <f>IF(157.75198="","-",157.75198/3323417.92643*100)</f>
        <v>4.7466789760460979E-3</v>
      </c>
      <c r="F107" s="48">
        <f>IF(OR(3703581.02097="",29.92275="",117.76482=""),"-",(117.76482-29.92275)/3703581.02097*100)</f>
        <v>2.3718144547839109E-3</v>
      </c>
      <c r="G107" s="48">
        <f>IF(OR(3771658.08092="",157.75198="",117.76482=""),"-",(157.75198-117.76482)/3771658.08092*100)</f>
        <v>1.060201087746696E-3</v>
      </c>
    </row>
    <row r="108" spans="1:7" x14ac:dyDescent="0.25">
      <c r="A108" s="47" t="s">
        <v>181</v>
      </c>
      <c r="B108" s="48">
        <f>IF(140.87692="","-",140.87692)</f>
        <v>140.87692000000001</v>
      </c>
      <c r="C108" s="48" t="s">
        <v>282</v>
      </c>
      <c r="D108" s="48">
        <f>IF(20.50843="","-",20.50843/3771658.08092*100)</f>
        <v>5.4375103893292186E-4</v>
      </c>
      <c r="E108" s="48">
        <f>IF(140.87692="","-",140.87692/3323417.92643*100)</f>
        <v>4.2389167753972288E-3</v>
      </c>
      <c r="F108" s="48">
        <f>IF(OR(3703581.02097="",7.71532="",20.50843=""),"-",(20.50843-7.71532)/3703581.02097*100)</f>
        <v>3.4542541198813502E-4</v>
      </c>
      <c r="G108" s="48">
        <f>IF(OR(3771658.08092="",140.87692="",20.50843=""),"-",(140.87692-20.50843)/3771658.08092*100)</f>
        <v>3.1913945383574955E-3</v>
      </c>
    </row>
    <row r="109" spans="1:7" x14ac:dyDescent="0.25">
      <c r="A109" s="47" t="s">
        <v>155</v>
      </c>
      <c r="B109" s="48">
        <f>IF(137.13504="","-",137.13504)</f>
        <v>137.13504</v>
      </c>
      <c r="C109" s="48" t="s">
        <v>106</v>
      </c>
      <c r="D109" s="48">
        <f>IF(72.40079="","-",72.40079/3771658.08092*100)</f>
        <v>1.9196010997460213E-3</v>
      </c>
      <c r="E109" s="48">
        <f>IF(137.13504="","-",137.13504/3323417.92643*100)</f>
        <v>4.1263254587818217E-3</v>
      </c>
      <c r="F109" s="48">
        <f>IF(OR(3703581.02097="",1.42737="",72.40079=""),"-",(72.40079-1.42737)/3703581.02097*100)</f>
        <v>1.9163458176867816E-3</v>
      </c>
      <c r="G109" s="48">
        <f>IF(OR(3771658.08092="",137.13504="",72.40079=""),"-",(137.13504-72.40079)/3771658.08092*100)</f>
        <v>1.7163339998256079E-3</v>
      </c>
    </row>
    <row r="110" spans="1:7" x14ac:dyDescent="0.25">
      <c r="A110" s="47" t="s">
        <v>164</v>
      </c>
      <c r="B110" s="48">
        <f>IF(119.23986="","-",119.23986)</f>
        <v>119.23985999999999</v>
      </c>
      <c r="C110" s="48">
        <f>IF(OR(143.74689="",119.23986=""),"-",119.23986/143.74689*100)</f>
        <v>82.951262458617364</v>
      </c>
      <c r="D110" s="48">
        <f>IF(143.74689="","-",143.74689/3771658.08092*100)</f>
        <v>3.8112386360572913E-3</v>
      </c>
      <c r="E110" s="48">
        <f>IF(119.23986="","-",119.23986/3323417.92643*100)</f>
        <v>3.5878683523888582E-3</v>
      </c>
      <c r="F110" s="48">
        <f>IF(OR(3703581.02097="",17.6066="",143.74689=""),"-",(143.74689-17.6066)/3703581.02097*100)</f>
        <v>3.4059006482046062E-3</v>
      </c>
      <c r="G110" s="48">
        <f>IF(OR(3771658.08092="",119.23986="",143.74689=""),"-",(119.23986-143.74689)/3771658.08092*100)</f>
        <v>-6.4976807213717915E-4</v>
      </c>
    </row>
    <row r="111" spans="1:7" x14ac:dyDescent="0.25">
      <c r="A111" s="47" t="s">
        <v>61</v>
      </c>
      <c r="B111" s="48">
        <f>IF(108.62021="","-",108.62021)</f>
        <v>108.62021</v>
      </c>
      <c r="C111" s="48">
        <f>IF(OR(305.84723="",108.62021=""),"-",108.62021/305.84723*100)</f>
        <v>35.514531225278709</v>
      </c>
      <c r="D111" s="48">
        <f>IF(305.84723="","-",305.84723/3771658.08092*100)</f>
        <v>8.1090921668434054E-3</v>
      </c>
      <c r="E111" s="48">
        <f>IF(108.62021="","-",108.62021/3323417.92643*100)</f>
        <v>3.2683283416202586E-3</v>
      </c>
      <c r="F111" s="48">
        <f>IF(OR(3703581.02097="",387.82032="",305.84723=""),"-",(305.84723-387.82032)/3703581.02097*100)</f>
        <v>-2.213346745645934E-3</v>
      </c>
      <c r="G111" s="48">
        <f>IF(OR(3771658.08092="",108.62021="",305.84723=""),"-",(108.62021-305.84723)/3771658.08092*100)</f>
        <v>-5.2291860971631745E-3</v>
      </c>
    </row>
    <row r="112" spans="1:7" x14ac:dyDescent="0.25">
      <c r="A112" s="47" t="s">
        <v>277</v>
      </c>
      <c r="B112" s="48">
        <f>IF(94.51098="","-",94.51098)</f>
        <v>94.510980000000004</v>
      </c>
      <c r="C112" s="48" t="s">
        <v>182</v>
      </c>
      <c r="D112" s="48">
        <f>IF(32.60353="","-",32.60353/3771658.08092*100)</f>
        <v>8.644349328730031E-4</v>
      </c>
      <c r="E112" s="48">
        <f>IF(94.51098="","-",94.51098/3323417.92643*100)</f>
        <v>2.8437885963238834E-3</v>
      </c>
      <c r="F112" s="48">
        <f>IF(OR(3703581.02097="",17.04929="",32.60353=""),"-",(32.60353-17.04929)/3703581.02097*100)</f>
        <v>4.1997839150623493E-4</v>
      </c>
      <c r="G112" s="48">
        <f>IF(OR(3771658.08092="",94.51098="",32.60353=""),"-",(94.51098-32.60353)/3771658.08092*100)</f>
        <v>1.6413855304958942E-3</v>
      </c>
    </row>
    <row r="113" spans="1:7" x14ac:dyDescent="0.25">
      <c r="A113" s="47" t="s">
        <v>154</v>
      </c>
      <c r="B113" s="48">
        <f>IF(82.27946="","-",82.27946)</f>
        <v>82.27946</v>
      </c>
      <c r="C113" s="48">
        <f>IF(OR(139.07698="",82.27946=""),"-",82.27946/139.07698*100)</f>
        <v>59.161091936278744</v>
      </c>
      <c r="D113" s="48">
        <f>IF(139.07698="","-",139.07698/3771658.08092*100)</f>
        <v>3.6874227996318188E-3</v>
      </c>
      <c r="E113" s="48">
        <f>IF(82.27946="","-",82.27946/3323417.92643*100)</f>
        <v>2.4757482152834207E-3</v>
      </c>
      <c r="F113" s="48">
        <f>IF(OR(3703581.02097="",92.09193="",139.07698=""),"-",(139.07698-92.09193)/3703581.02097*100)</f>
        <v>1.2686383728063872E-3</v>
      </c>
      <c r="G113" s="48">
        <f>IF(OR(3771658.08092="",82.27946="",139.07698=""),"-",(82.27946-139.07698)/3771658.08092*100)</f>
        <v>-1.5059032070623348E-3</v>
      </c>
    </row>
    <row r="114" spans="1:7" x14ac:dyDescent="0.25">
      <c r="A114" s="47" t="s">
        <v>149</v>
      </c>
      <c r="B114" s="48">
        <f>IF(81.89183="","-",81.89183)</f>
        <v>81.891829999999999</v>
      </c>
      <c r="C114" s="48" t="s">
        <v>105</v>
      </c>
      <c r="D114" s="48">
        <f>IF(52.21883="","-",52.21883/3771658.08092*100)</f>
        <v>1.3845059355768151E-3</v>
      </c>
      <c r="E114" s="48">
        <f>IF(81.89183="","-",81.89183/3323417.92643*100)</f>
        <v>2.4640846204969421E-3</v>
      </c>
      <c r="F114" s="48">
        <f>IF(OR(3703581.02097="",29.97089="",52.21883=""),"-",(52.21883-29.97089)/3703581.02097*100)</f>
        <v>6.0071427826285462E-4</v>
      </c>
      <c r="G114" s="48">
        <f>IF(OR(3771658.08092="",81.89183="",52.21883=""),"-",(81.89183-52.21883)/3771658.08092*100)</f>
        <v>7.867362142424646E-4</v>
      </c>
    </row>
    <row r="115" spans="1:7" x14ac:dyDescent="0.25">
      <c r="A115" s="47" t="s">
        <v>244</v>
      </c>
      <c r="B115" s="48">
        <f>IF(76.76582="","-",76.76582)</f>
        <v>76.765820000000005</v>
      </c>
      <c r="C115" s="48">
        <f>IF(OR(53.80411="",76.76582=""),"-",76.76582/53.80411*100)</f>
        <v>142.67649813369277</v>
      </c>
      <c r="D115" s="48">
        <f>IF(53.80411="","-",53.80411/3771658.08092*100)</f>
        <v>1.4265373171598805E-3</v>
      </c>
      <c r="E115" s="48">
        <f>IF(76.76582="","-",76.76582/3323417.92643*100)</f>
        <v>2.3098455174568274E-3</v>
      </c>
      <c r="F115" s="48">
        <f>IF(OR(3703581.02097="",29.64183="",53.80411=""),"-",(53.80411-29.64183)/3703581.02097*100)</f>
        <v>6.5240317042319473E-4</v>
      </c>
      <c r="G115" s="48">
        <f>IF(OR(3771658.08092="",76.76582="",53.80411=""),"-",(76.76582-53.80411)/3771658.08092*100)</f>
        <v>6.0879617153416718E-4</v>
      </c>
    </row>
    <row r="116" spans="1:7" x14ac:dyDescent="0.25">
      <c r="A116" s="47" t="s">
        <v>163</v>
      </c>
      <c r="B116" s="48">
        <f>IF(73.41574="","-",73.41574)</f>
        <v>73.41574</v>
      </c>
      <c r="C116" s="48">
        <f>IF(OR(88.83409="",73.41574=""),"-",73.41574/88.83409*100)</f>
        <v>82.643656281051562</v>
      </c>
      <c r="D116" s="48">
        <f>IF(88.83409="","-",88.83409/3771658.08092*100)</f>
        <v>2.3553060244085322E-3</v>
      </c>
      <c r="E116" s="48">
        <f>IF(73.41574="","-",73.41574/3323417.92643*100)</f>
        <v>2.2090432688633551E-3</v>
      </c>
      <c r="F116" s="48">
        <f>IF(OR(3703581.02097="",60.6802="",88.83409=""),"-",(88.83409-60.6802)/3703581.02097*100)</f>
        <v>7.601802104663085E-4</v>
      </c>
      <c r="G116" s="48">
        <f>IF(OR(3771658.08092="",73.41574="",88.83409=""),"-",(73.41574-88.83409)/3771658.08092*100)</f>
        <v>-4.0879500922944451E-4</v>
      </c>
    </row>
    <row r="117" spans="1:7" x14ac:dyDescent="0.25">
      <c r="A117" s="47" t="s">
        <v>176</v>
      </c>
      <c r="B117" s="48">
        <f>IF(72.09923="","-",72.09923)</f>
        <v>72.099230000000006</v>
      </c>
      <c r="C117" s="48">
        <f>IF(OR(88.87126="",72.09923=""),"-",72.09923/88.87126*100)</f>
        <v>81.127723405744447</v>
      </c>
      <c r="D117" s="48">
        <f>IF(88.87126="","-",88.87126/3771658.08092*100)</f>
        <v>2.3562915326174562E-3</v>
      </c>
      <c r="E117" s="48">
        <f>IF(72.09923="","-",72.09923/3323417.92643*100)</f>
        <v>2.1694301347603509E-3</v>
      </c>
      <c r="F117" s="48">
        <f>IF(OR(3703581.02097="",54.59364="",88.87126=""),"-",(88.87126-54.59364)/3703581.02097*100)</f>
        <v>9.2552639744930977E-4</v>
      </c>
      <c r="G117" s="48">
        <f>IF(OR(3771658.08092="",72.09923="",88.87126=""),"-",(72.09923-88.87126)/3771658.08092*100)</f>
        <v>-4.4468585540258969E-4</v>
      </c>
    </row>
    <row r="118" spans="1:7" x14ac:dyDescent="0.25">
      <c r="A118" s="47" t="s">
        <v>278</v>
      </c>
      <c r="B118" s="48">
        <f>IF(51.94094="","-",51.94094)</f>
        <v>51.940939999999998</v>
      </c>
      <c r="C118" s="48">
        <f>IF(OR(44.57042="",51.94094=""),"-",51.94094/44.57042*100)</f>
        <v>116.53679727496397</v>
      </c>
      <c r="D118" s="48">
        <f>IF(44.57042="","-",44.57042/3771658.08092*100)</f>
        <v>1.1817195261010556E-3</v>
      </c>
      <c r="E118" s="48">
        <f>IF(51.94094="","-",51.94094/3323417.92643*100)</f>
        <v>1.5628771689209344E-3</v>
      </c>
      <c r="F118" s="48">
        <f>IF(OR(3703581.02097="",70.54167="",44.57042=""),"-",(44.57042-70.54167)/3703581.02097*100)</f>
        <v>-7.0124697834200213E-4</v>
      </c>
      <c r="G118" s="48">
        <f>IF(OR(3771658.08092="",51.94094="",44.57042=""),"-",(51.94094-44.57042)/3771658.08092*100)</f>
        <v>1.954185623899966E-4</v>
      </c>
    </row>
    <row r="119" spans="1:7" x14ac:dyDescent="0.25">
      <c r="A119" s="51" t="s">
        <v>184</v>
      </c>
      <c r="B119" s="52">
        <f>IF(51.41463="","-",51.41463)</f>
        <v>51.414630000000002</v>
      </c>
      <c r="C119" s="52">
        <f>IF(OR(91.79719="",51.41463=""),"-",51.41463/91.79719*100)</f>
        <v>56.008936656993534</v>
      </c>
      <c r="D119" s="52">
        <f>IF(91.79719="","-",91.79719/3771658.08092*100)</f>
        <v>2.4338682889730135E-3</v>
      </c>
      <c r="E119" s="52">
        <f>IF(51.41463="","-",51.41463/3323417.92643*100)</f>
        <v>1.5470407615941748E-3</v>
      </c>
      <c r="F119" s="52">
        <f>IF(OR(3703581.02097="",80.34004="",91.79719=""),"-",(91.79719-80.34004)/3703581.02097*100)</f>
        <v>3.0935329712320625E-4</v>
      </c>
      <c r="G119" s="52">
        <f>IF(OR(3771658.08092="",51.41463="",91.79719=""),"-",(51.41463-91.79719)/3771658.08092*100)</f>
        <v>-1.0706845406874661E-3</v>
      </c>
    </row>
    <row r="120" spans="1:7" x14ac:dyDescent="0.25">
      <c r="A120" s="53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5"/>
  <sheetViews>
    <sheetView workbookViewId="0">
      <selection activeCell="A7" sqref="A7"/>
    </sheetView>
  </sheetViews>
  <sheetFormatPr defaultRowHeight="15.75" x14ac:dyDescent="0.25"/>
  <cols>
    <col min="1" max="1" width="43" customWidth="1"/>
    <col min="2" max="2" width="14.625" customWidth="1"/>
    <col min="3" max="3" width="15" customWidth="1"/>
    <col min="4" max="4" width="17.125" customWidth="1"/>
  </cols>
  <sheetData>
    <row r="1" spans="1:5" x14ac:dyDescent="0.25">
      <c r="A1" s="98" t="s">
        <v>159</v>
      </c>
      <c r="B1" s="98"/>
      <c r="C1" s="98"/>
      <c r="D1" s="98"/>
    </row>
    <row r="2" spans="1:5" x14ac:dyDescent="0.25">
      <c r="A2" s="4"/>
    </row>
    <row r="3" spans="1:5" ht="21" customHeight="1" x14ac:dyDescent="0.25">
      <c r="A3" s="99"/>
      <c r="B3" s="103" t="s">
        <v>256</v>
      </c>
      <c r="C3" s="104"/>
      <c r="D3" s="101" t="s">
        <v>257</v>
      </c>
      <c r="E3" s="1"/>
    </row>
    <row r="4" spans="1:5" ht="18" customHeight="1" x14ac:dyDescent="0.25">
      <c r="A4" s="100"/>
      <c r="B4" s="21">
        <v>2019</v>
      </c>
      <c r="C4" s="20">
        <v>2020</v>
      </c>
      <c r="D4" s="102"/>
      <c r="E4" s="1"/>
    </row>
    <row r="5" spans="1:5" ht="17.25" customHeight="1" x14ac:dyDescent="0.25">
      <c r="A5" s="38" t="s">
        <v>302</v>
      </c>
      <c r="B5" s="44">
        <f>IF(-1984474.66172="","-",-1984474.66172)</f>
        <v>-1984474.66172</v>
      </c>
      <c r="C5" s="44">
        <f>IF(-1778469.94324="","-",-1778469.94324)</f>
        <v>-1778469.9432399999</v>
      </c>
      <c r="D5" s="59">
        <f>IF(-1984474.66172="","-",-1778469.94324/-1984474.66172*100)</f>
        <v>89.619181214364815</v>
      </c>
    </row>
    <row r="6" spans="1:5" x14ac:dyDescent="0.25">
      <c r="A6" s="39" t="s">
        <v>151</v>
      </c>
      <c r="B6" s="78"/>
      <c r="C6" s="78"/>
      <c r="D6" s="79"/>
    </row>
    <row r="7" spans="1:5" x14ac:dyDescent="0.25">
      <c r="A7" s="36" t="s">
        <v>167</v>
      </c>
      <c r="B7" s="46">
        <f>IF(-710724.33895="","-",-710724.33895)</f>
        <v>-710724.33895</v>
      </c>
      <c r="C7" s="46">
        <f>IF(-511767.6081="","-",-511767.6081)</f>
        <v>-511767.60810000001</v>
      </c>
      <c r="D7" s="63">
        <f>IF(-710724.33895="","-",-511767.6081/-710724.33895*100)</f>
        <v>72.0064840970647</v>
      </c>
    </row>
    <row r="8" spans="1:5" x14ac:dyDescent="0.25">
      <c r="A8" s="47" t="s">
        <v>4</v>
      </c>
      <c r="B8" s="48">
        <f>IF(-157665.12164="","-",-157665.12164)</f>
        <v>-157665.12164</v>
      </c>
      <c r="C8" s="48">
        <f>IF(-134633.30606="","-",-134633.30606)</f>
        <v>-134633.30606</v>
      </c>
      <c r="D8" s="80">
        <f>IF(OR(-157665.12164="",-134633.30606="",-157665.12164=0),"-",-134633.30606/-157665.12164*100)</f>
        <v>85.391939992543811</v>
      </c>
    </row>
    <row r="9" spans="1:5" x14ac:dyDescent="0.25">
      <c r="A9" s="47" t="s">
        <v>3</v>
      </c>
      <c r="B9" s="48">
        <f>IF(-79087.01309="","-",-79087.01309)</f>
        <v>-79087.013089999993</v>
      </c>
      <c r="C9" s="48">
        <f>IF(-80021.02551="","-",-80021.02551)</f>
        <v>-80021.025510000007</v>
      </c>
      <c r="D9" s="80">
        <f>IF(OR(-79087.01309="",-80021.02551="",-79087.01309=0),"-",-80021.02551/-79087.01309*100)</f>
        <v>101.1809934191561</v>
      </c>
    </row>
    <row r="10" spans="1:5" x14ac:dyDescent="0.25">
      <c r="A10" s="47" t="s">
        <v>5</v>
      </c>
      <c r="B10" s="48">
        <f>IF(-57978.10616="","-",-57978.10616)</f>
        <v>-57978.106160000003</v>
      </c>
      <c r="C10" s="48">
        <f>IF(-67452.58339="","-",-67452.58339)</f>
        <v>-67452.58339</v>
      </c>
      <c r="D10" s="80">
        <f>IF(OR(-57978.10616="",-67452.58339="",-57978.10616=0),"-",-67452.58339/-57978.10616*100)</f>
        <v>116.34147414862714</v>
      </c>
    </row>
    <row r="11" spans="1:5" x14ac:dyDescent="0.25">
      <c r="A11" s="47" t="s">
        <v>125</v>
      </c>
      <c r="B11" s="48">
        <f>IF(-73566.7776="","-",-73566.7776)</f>
        <v>-73566.777600000001</v>
      </c>
      <c r="C11" s="48">
        <f>IF(-59958.02578="","-",-59958.02578)</f>
        <v>-59958.025780000004</v>
      </c>
      <c r="D11" s="80">
        <f>IF(OR(-73566.7776="",-59958.02578="",-73566.7776=0),"-",-59958.02578/-73566.7776*100)</f>
        <v>81.501498007709401</v>
      </c>
    </row>
    <row r="12" spans="1:5" x14ac:dyDescent="0.25">
      <c r="A12" s="47" t="s">
        <v>43</v>
      </c>
      <c r="B12" s="48">
        <f>IF(-69623.27702="","-",-69623.27702)</f>
        <v>-69623.277019999994</v>
      </c>
      <c r="C12" s="48">
        <f>IF(-52123.18092="","-",-52123.18092)</f>
        <v>-52123.180919999999</v>
      </c>
      <c r="D12" s="80">
        <f>IF(OR(-69623.27702="",-52123.18092="",-69623.27702=0),"-",-52123.18092/-69623.27702*100)</f>
        <v>74.864590049427122</v>
      </c>
    </row>
    <row r="13" spans="1:5" x14ac:dyDescent="0.25">
      <c r="A13" s="47" t="s">
        <v>41</v>
      </c>
      <c r="B13" s="48">
        <f>IF(-33253.66146="","-",-33253.66146)</f>
        <v>-33253.661460000003</v>
      </c>
      <c r="C13" s="48">
        <f>IF(-26673.28215="","-",-26673.28215)</f>
        <v>-26673.282149999999</v>
      </c>
      <c r="D13" s="80">
        <f>IF(OR(-33253.66146="",-26673.28215="",-33253.66146=0),"-",-26673.28215/-33253.66146*100)</f>
        <v>80.211564618484559</v>
      </c>
    </row>
    <row r="14" spans="1:5" x14ac:dyDescent="0.25">
      <c r="A14" s="47" t="s">
        <v>8</v>
      </c>
      <c r="B14" s="48">
        <f>IF(-44347.82193="","-",-44347.82193)</f>
        <v>-44347.821929999998</v>
      </c>
      <c r="C14" s="48">
        <f>IF(-24730.49788="","-",-24730.49788)</f>
        <v>-24730.497879999999</v>
      </c>
      <c r="D14" s="80">
        <f>IF(OR(-44347.82193="",-24730.49788="",-44347.82193=0),"-",-24730.49788/-44347.82193*100)</f>
        <v>55.764853387919246</v>
      </c>
    </row>
    <row r="15" spans="1:5" x14ac:dyDescent="0.25">
      <c r="A15" s="47" t="s">
        <v>42</v>
      </c>
      <c r="B15" s="48">
        <f>IF(-18249.10694="","-",-18249.10694)</f>
        <v>-18249.106940000001</v>
      </c>
      <c r="C15" s="48">
        <f>IF(-17562.5272="","-",-17562.5272)</f>
        <v>-17562.5272</v>
      </c>
      <c r="D15" s="80">
        <f>IF(OR(-18249.10694="",-17562.5272="",-18249.10694=0),"-",-17562.5272/-18249.10694*100)</f>
        <v>96.23773512721823</v>
      </c>
    </row>
    <row r="16" spans="1:5" x14ac:dyDescent="0.25">
      <c r="A16" s="47" t="s">
        <v>6</v>
      </c>
      <c r="B16" s="48">
        <f>IF(-7037.47531="","-",-7037.47531)</f>
        <v>-7037.4753099999998</v>
      </c>
      <c r="C16" s="48">
        <f>IF(-15181.64563="","-",-15181.64563)</f>
        <v>-15181.645630000001</v>
      </c>
      <c r="D16" s="80" t="s">
        <v>248</v>
      </c>
    </row>
    <row r="17" spans="1:4" x14ac:dyDescent="0.25">
      <c r="A17" s="47" t="s">
        <v>53</v>
      </c>
      <c r="B17" s="48">
        <f>IF(-14280.75967="","-",-14280.75967)</f>
        <v>-14280.759669999999</v>
      </c>
      <c r="C17" s="48">
        <f>IF(-14569.63511="","-",-14569.63511)</f>
        <v>-14569.635109999999</v>
      </c>
      <c r="D17" s="80">
        <f>IF(OR(-14280.75967="",-14569.63511="",-14280.75967=0),"-",-14569.63511/-14280.75967*100)</f>
        <v>102.02282964404792</v>
      </c>
    </row>
    <row r="18" spans="1:4" x14ac:dyDescent="0.25">
      <c r="A18" s="47" t="s">
        <v>51</v>
      </c>
      <c r="B18" s="48">
        <f>IF(-15894.3785="","-",-15894.3785)</f>
        <v>-15894.378500000001</v>
      </c>
      <c r="C18" s="48">
        <f>IF(-12748.00691="","-",-12748.00691)</f>
        <v>-12748.00691</v>
      </c>
      <c r="D18" s="80">
        <f>IF(OR(-15894.3785="",-12748.00691="",-15894.3785=0),"-",-12748.00691/-15894.3785*100)</f>
        <v>80.204500666697982</v>
      </c>
    </row>
    <row r="19" spans="1:4" x14ac:dyDescent="0.25">
      <c r="A19" s="47" t="s">
        <v>45</v>
      </c>
      <c r="B19" s="48">
        <f>IF(-13189.90949="","-",-13189.90949)</f>
        <v>-13189.90949</v>
      </c>
      <c r="C19" s="48">
        <f>IF(-12180.95019="","-",-12180.95019)</f>
        <v>-12180.95019</v>
      </c>
      <c r="D19" s="80">
        <f>IF(OR(-13189.90949="",-12180.95019="",-13189.90949=0),"-",-12180.95019/-13189.90949*100)</f>
        <v>92.350521428786536</v>
      </c>
    </row>
    <row r="20" spans="1:4" x14ac:dyDescent="0.25">
      <c r="A20" s="47" t="s">
        <v>49</v>
      </c>
      <c r="B20" s="48">
        <f>IF(-7688.10397="","-",-7688.10397)</f>
        <v>-7688.1039700000001</v>
      </c>
      <c r="C20" s="48">
        <f>IF(-7559.01307="","-",-7559.01307)</f>
        <v>-7559.01307</v>
      </c>
      <c r="D20" s="80">
        <f>IF(OR(-7688.10397="",-7559.01307="",-7688.10397=0),"-",-7559.01307/-7688.10397*100)</f>
        <v>98.32090069926565</v>
      </c>
    </row>
    <row r="21" spans="1:4" x14ac:dyDescent="0.25">
      <c r="A21" s="47" t="s">
        <v>50</v>
      </c>
      <c r="B21" s="48">
        <f>IF(-8655.95986="","-",-8655.95986)</f>
        <v>-8655.9598600000008</v>
      </c>
      <c r="C21" s="48">
        <f>IF(-6178.8667="","-",-6178.8667)</f>
        <v>-6178.8666999999996</v>
      </c>
      <c r="D21" s="80">
        <f>IF(OR(-8655.95986="",-6178.8667="",-8655.95986=0),"-",-6178.8667/-8655.95986*100)</f>
        <v>71.382802137901763</v>
      </c>
    </row>
    <row r="22" spans="1:4" x14ac:dyDescent="0.25">
      <c r="A22" s="47" t="s">
        <v>44</v>
      </c>
      <c r="B22" s="48">
        <f>IF(-5737.24375="","-",-5737.24375)</f>
        <v>-5737.2437499999996</v>
      </c>
      <c r="C22" s="48">
        <f>IF(-4878.03733="","-",-4878.03733)</f>
        <v>-4878.0373300000001</v>
      </c>
      <c r="D22" s="80">
        <f>IF(OR(-5737.24375="",-4878.03733="",-5737.24375=0),"-",-4878.03733/-5737.24375*100)</f>
        <v>85.024055845631452</v>
      </c>
    </row>
    <row r="23" spans="1:4" x14ac:dyDescent="0.25">
      <c r="A23" s="47" t="s">
        <v>54</v>
      </c>
      <c r="B23" s="48">
        <f>IF(-4677.17054="","-",-4677.17054)</f>
        <v>-4677.1705400000001</v>
      </c>
      <c r="C23" s="48">
        <f>IF(-4231.20131="","-",-4231.20131)</f>
        <v>-4231.2013100000004</v>
      </c>
      <c r="D23" s="80">
        <f>IF(OR(-4677.17054="",-4231.20131="",-4677.17054=0),"-",-4231.20131/-4677.17054*100)</f>
        <v>90.464978213088642</v>
      </c>
    </row>
    <row r="24" spans="1:4" x14ac:dyDescent="0.25">
      <c r="A24" s="47" t="s">
        <v>126</v>
      </c>
      <c r="B24" s="48">
        <f>IF(-3018.35619="","-",-3018.35619)</f>
        <v>-3018.35619</v>
      </c>
      <c r="C24" s="48">
        <f>IF(-2834.4236="","-",-2834.4236)</f>
        <v>-2834.4236000000001</v>
      </c>
      <c r="D24" s="80">
        <f>IF(OR(-3018.35619="",-2834.4236="",-3018.35619=0),"-",-2834.4236/-3018.35619*100)</f>
        <v>93.906199983640775</v>
      </c>
    </row>
    <row r="25" spans="1:4" x14ac:dyDescent="0.25">
      <c r="A25" s="47" t="s">
        <v>7</v>
      </c>
      <c r="B25" s="48">
        <f>IF(-37950.3707799999="","-",-37950.3707799999)</f>
        <v>-37950.370779999903</v>
      </c>
      <c r="C25" s="48">
        <f>IF(-2627.38266="","-",-2627.38266)</f>
        <v>-2627.3826600000002</v>
      </c>
      <c r="D25" s="80">
        <f>IF(OR(-37950.3707799999="",-2627.38266="",-37950.3707799999=0),"-",-2627.38266/-37950.3707799999*100)</f>
        <v>6.9232068251218468</v>
      </c>
    </row>
    <row r="26" spans="1:4" x14ac:dyDescent="0.25">
      <c r="A26" s="47" t="s">
        <v>52</v>
      </c>
      <c r="B26" s="48">
        <f>IF(-12124.28735="","-",-12124.28735)</f>
        <v>-12124.287350000001</v>
      </c>
      <c r="C26" s="48">
        <f>IF(-2094.04424="","-",-2094.04424)</f>
        <v>-2094.0442400000002</v>
      </c>
      <c r="D26" s="80">
        <f>IF(OR(-12124.28735="",-2094.04424="",-12124.28735=0),"-",-2094.04424/-12124.28735*100)</f>
        <v>17.27148309463319</v>
      </c>
    </row>
    <row r="27" spans="1:4" x14ac:dyDescent="0.25">
      <c r="A27" s="47" t="s">
        <v>46</v>
      </c>
      <c r="B27" s="48">
        <f>IF(-1347.09657="","-",-1347.09657)</f>
        <v>-1347.0965699999999</v>
      </c>
      <c r="C27" s="48">
        <f>IF(-2010.2914="","-",-2010.2914)</f>
        <v>-2010.2914000000001</v>
      </c>
      <c r="D27" s="80">
        <f>IF(OR(-1347.09657="",-2010.2914="",-1347.09657=0),"-",-2010.2914/-1347.09657*100)</f>
        <v>149.23142444049131</v>
      </c>
    </row>
    <row r="28" spans="1:4" x14ac:dyDescent="0.25">
      <c r="A28" s="47" t="s">
        <v>55</v>
      </c>
      <c r="B28" s="48">
        <f>IF(-1161.65726="","-",-1161.65726)</f>
        <v>-1161.65726</v>
      </c>
      <c r="C28" s="48">
        <f>IF(-697.99892="","-",-697.99892)</f>
        <v>-697.99892</v>
      </c>
      <c r="D28" s="80">
        <f>IF(OR(-1161.65726="",-697.99892="",-1161.65726=0),"-",-697.99892/-1161.65726*100)</f>
        <v>60.086476797812118</v>
      </c>
    </row>
    <row r="29" spans="1:4" x14ac:dyDescent="0.25">
      <c r="A29" s="47" t="s">
        <v>56</v>
      </c>
      <c r="B29" s="48">
        <f>IF(388.3214="","-",388.3214)</f>
        <v>388.32139999999998</v>
      </c>
      <c r="C29" s="48">
        <f>IF(-106.3656="","-",-106.3656)</f>
        <v>-106.3656</v>
      </c>
      <c r="D29" s="80" t="s">
        <v>22</v>
      </c>
    </row>
    <row r="30" spans="1:4" x14ac:dyDescent="0.25">
      <c r="A30" s="47" t="s">
        <v>47</v>
      </c>
      <c r="B30" s="48">
        <f>IF(-792.53376="","-",-792.53376)</f>
        <v>-792.53376000000003</v>
      </c>
      <c r="C30" s="48">
        <f>IF(1277.58363="","-",1277.58363)</f>
        <v>1277.5836300000001</v>
      </c>
      <c r="D30" s="80" t="s">
        <v>22</v>
      </c>
    </row>
    <row r="31" spans="1:4" x14ac:dyDescent="0.25">
      <c r="A31" s="47" t="s">
        <v>10</v>
      </c>
      <c r="B31" s="48">
        <f>IF(-15019.31934="","-",-15019.31934)</f>
        <v>-15019.31934</v>
      </c>
      <c r="C31" s="48">
        <f>IF(5817.43567="","-",5817.43567)</f>
        <v>5817.4356699999998</v>
      </c>
      <c r="D31" s="80" t="s">
        <v>22</v>
      </c>
    </row>
    <row r="32" spans="1:4" x14ac:dyDescent="0.25">
      <c r="A32" s="47" t="s">
        <v>9</v>
      </c>
      <c r="B32" s="48">
        <f>IF(3326.61746="","-",3326.61746)</f>
        <v>3326.6174599999999</v>
      </c>
      <c r="C32" s="48">
        <f>IF(7011.99763="","-",7011.99763)</f>
        <v>7011.9976299999998</v>
      </c>
      <c r="D32" s="80" t="s">
        <v>96</v>
      </c>
    </row>
    <row r="33" spans="1:4" x14ac:dyDescent="0.25">
      <c r="A33" s="47" t="s">
        <v>48</v>
      </c>
      <c r="B33" s="48">
        <f>IF(7730.02228="","-",7730.02228)</f>
        <v>7730.0222800000001</v>
      </c>
      <c r="C33" s="48">
        <f>IF(9618.54915="","-",9618.54915)</f>
        <v>9618.5491500000007</v>
      </c>
      <c r="D33" s="80">
        <f>IF(OR(7730.02228="",9618.54915="",7730.02228=0),"-",9618.54915/7730.02228*100)</f>
        <v>124.43106632287741</v>
      </c>
    </row>
    <row r="34" spans="1:4" x14ac:dyDescent="0.25">
      <c r="A34" s="47" t="s">
        <v>2</v>
      </c>
      <c r="B34" s="48">
        <f>IF(-39823.79191="","-",-39823.79191)</f>
        <v>-39823.79191</v>
      </c>
      <c r="C34" s="48">
        <f>IF(15559.11738="","-",15559.11738)</f>
        <v>15559.11738</v>
      </c>
      <c r="D34" s="80" t="s">
        <v>22</v>
      </c>
    </row>
    <row r="35" spans="1:4" x14ac:dyDescent="0.25">
      <c r="A35" s="36" t="s">
        <v>171</v>
      </c>
      <c r="B35" s="46">
        <f>IF(-656669.64657="","-",-656669.64657)</f>
        <v>-656669.64656999998</v>
      </c>
      <c r="C35" s="46">
        <f>IF(-595872.21718="","-",-595872.21718)</f>
        <v>-595872.21718000004</v>
      </c>
      <c r="D35" s="63">
        <f>IF(-656669.64657="","-",-595872.21718/-656669.64657*100)</f>
        <v>90.741550228860916</v>
      </c>
    </row>
    <row r="36" spans="1:4" x14ac:dyDescent="0.25">
      <c r="A36" s="47" t="s">
        <v>12</v>
      </c>
      <c r="B36" s="48">
        <f>IF(-327796.94151="","-",-327796.94151)</f>
        <v>-327796.94150999998</v>
      </c>
      <c r="C36" s="48">
        <f>IF(-288030.57362="","-",-288030.57362)</f>
        <v>-288030.57361999998</v>
      </c>
      <c r="D36" s="80">
        <f>IF(OR(-327796.94151="",-288030.57362="",-327796.94151=0),"-",-288030.57362/-327796.94151*100)</f>
        <v>87.868597032414087</v>
      </c>
    </row>
    <row r="37" spans="1:4" x14ac:dyDescent="0.25">
      <c r="A37" s="47" t="s">
        <v>127</v>
      </c>
      <c r="B37" s="48">
        <f>IF(-296033.45338="","-",-296033.45338)</f>
        <v>-296033.45338000002</v>
      </c>
      <c r="C37" s="48">
        <f>IF(-231825.69319="","-",-231825.69319)</f>
        <v>-231825.69318999999</v>
      </c>
      <c r="D37" s="80">
        <f>IF(OR(-296033.45338="",-231825.69319="",-296033.45338=0),"-",-231825.69319/-296033.45338*100)</f>
        <v>78.310640416851655</v>
      </c>
    </row>
    <row r="38" spans="1:4" x14ac:dyDescent="0.25">
      <c r="A38" s="47" t="s">
        <v>13</v>
      </c>
      <c r="B38" s="48">
        <f>IF(-388.14203="","-",-388.14203)</f>
        <v>-388.14202999999998</v>
      </c>
      <c r="C38" s="48">
        <f>IF(-45045.5506="","-",-45045.5506)</f>
        <v>-45045.550600000002</v>
      </c>
      <c r="D38" s="80" t="s">
        <v>303</v>
      </c>
    </row>
    <row r="39" spans="1:4" x14ac:dyDescent="0.25">
      <c r="A39" s="47" t="s">
        <v>11</v>
      </c>
      <c r="B39" s="48">
        <f>IF(-31833.2229="","-",-31833.2229)</f>
        <v>-31833.222900000001</v>
      </c>
      <c r="C39" s="48">
        <f>IF(-25924.06164="","-",-25924.06164)</f>
        <v>-25924.06164</v>
      </c>
      <c r="D39" s="80">
        <f>IF(OR(-31833.2229="",-25924.06164="",-31833.2229=0),"-",-25924.06164/-31833.2229*100)</f>
        <v>81.437125362509249</v>
      </c>
    </row>
    <row r="40" spans="1:4" x14ac:dyDescent="0.25">
      <c r="A40" s="47" t="s">
        <v>14</v>
      </c>
      <c r="B40" s="48">
        <f>IF(2734.48563="","-",2734.48563)</f>
        <v>2734.4856300000001</v>
      </c>
      <c r="C40" s="48">
        <f>IF(-2592.89991="","-",-2592.89991)</f>
        <v>-2592.8999100000001</v>
      </c>
      <c r="D40" s="80" t="s">
        <v>22</v>
      </c>
    </row>
    <row r="41" spans="1:4" x14ac:dyDescent="0.25">
      <c r="A41" s="47" t="s">
        <v>15</v>
      </c>
      <c r="B41" s="48">
        <f>IF(-3282.30446="","-",-3282.30446)</f>
        <v>-3282.3044599999998</v>
      </c>
      <c r="C41" s="48">
        <f>IF(-2076.15078="","-",-2076.15078)</f>
        <v>-2076.1507799999999</v>
      </c>
      <c r="D41" s="80">
        <f>IF(OR(-3282.30446="",-2076.15078="",-3282.30446=0),"-",-2076.15078/-3282.30446*100)</f>
        <v>63.252839744183873</v>
      </c>
    </row>
    <row r="42" spans="1:4" x14ac:dyDescent="0.25">
      <c r="A42" s="47" t="s">
        <v>16</v>
      </c>
      <c r="B42" s="48">
        <f>IF(-1626.53506="","-",-1626.53506)</f>
        <v>-1626.5350599999999</v>
      </c>
      <c r="C42" s="48">
        <f>IF(-1090.0375="","-",-1090.0375)</f>
        <v>-1090.0374999999999</v>
      </c>
      <c r="D42" s="80">
        <f>IF(OR(-1626.53506="",-1090.0375="",-1626.53506=0),"-",-1090.0375/-1626.53506*100)</f>
        <v>67.015924021951307</v>
      </c>
    </row>
    <row r="43" spans="1:4" x14ac:dyDescent="0.25">
      <c r="A43" s="47" t="s">
        <v>18</v>
      </c>
      <c r="B43" s="48">
        <f>IF(123.79277="","-",123.79277)</f>
        <v>123.79277</v>
      </c>
      <c r="C43" s="48">
        <f>IF(180.89285="","-",180.89285)</f>
        <v>180.89285000000001</v>
      </c>
      <c r="D43" s="80">
        <f>IF(OR(123.79277="",180.89285="",123.79277=0),"-",180.89285/123.79277*100)</f>
        <v>146.12553705680872</v>
      </c>
    </row>
    <row r="44" spans="1:4" x14ac:dyDescent="0.25">
      <c r="A44" s="47" t="s">
        <v>17</v>
      </c>
      <c r="B44" s="48">
        <f>IF(940.08014="","-",940.08014)</f>
        <v>940.08014000000003</v>
      </c>
      <c r="C44" s="48">
        <f>IF(220.5171="","-",220.5171)</f>
        <v>220.5171</v>
      </c>
      <c r="D44" s="80">
        <f>IF(OR(940.08014="",220.5171="",940.08014=0),"-",220.5171/940.08014*100)</f>
        <v>23.457266100739027</v>
      </c>
    </row>
    <row r="45" spans="1:4" x14ac:dyDescent="0.25">
      <c r="A45" s="47" t="s">
        <v>129</v>
      </c>
      <c r="B45" s="48">
        <f>IF(492.59423="","-",492.59423)</f>
        <v>492.59422999999998</v>
      </c>
      <c r="C45" s="48">
        <f>IF(311.34011="","-",311.34011)</f>
        <v>311.34010999999998</v>
      </c>
      <c r="D45" s="80">
        <f>IF(OR(492.59423="",311.34011="",492.59423=0),"-",311.34011/492.59423*100)</f>
        <v>63.204173138609441</v>
      </c>
    </row>
    <row r="46" spans="1:4" x14ac:dyDescent="0.25">
      <c r="A46" s="36" t="s">
        <v>172</v>
      </c>
      <c r="B46" s="46">
        <f>IF(-617080.6762="","-",-617080.6762)</f>
        <v>-617080.67619999999</v>
      </c>
      <c r="C46" s="46">
        <f>IF(-670830.11796="","-",-670830.11796)</f>
        <v>-670830.11795999995</v>
      </c>
      <c r="D46" s="63">
        <f>IF(-617080.6762="","-",-670830.11796/-617080.6762*100)</f>
        <v>108.71027789931627</v>
      </c>
    </row>
    <row r="47" spans="1:4" x14ac:dyDescent="0.25">
      <c r="A47" s="47" t="s">
        <v>60</v>
      </c>
      <c r="B47" s="48">
        <f>IF(-370408.04961="","-",-370408.04961)</f>
        <v>-370408.04960999999</v>
      </c>
      <c r="C47" s="48">
        <f>IF(-370010.84414="","-",-370010.84414)</f>
        <v>-370010.84414</v>
      </c>
      <c r="D47" s="80">
        <f>IF(OR(-370408.04961="",-370010.84414="",-370408.04961=0),"-",-370010.84414/-370408.04961*100)</f>
        <v>99.892765432495807</v>
      </c>
    </row>
    <row r="48" spans="1:4" x14ac:dyDescent="0.25">
      <c r="A48" s="47" t="s">
        <v>57</v>
      </c>
      <c r="B48" s="48">
        <f>IF(-108977.45573="","-",-108977.45573)</f>
        <v>-108977.45573</v>
      </c>
      <c r="C48" s="48">
        <f>IF(-122495.47729="","-",-122495.47729)</f>
        <v>-122495.47729</v>
      </c>
      <c r="D48" s="80">
        <f>IF(OR(-108977.45573="",-122495.47729="",-108977.45573=0),"-",-122495.47729/-108977.45573*100)</f>
        <v>112.40442022567669</v>
      </c>
    </row>
    <row r="49" spans="1:5" x14ac:dyDescent="0.25">
      <c r="A49" s="47" t="s">
        <v>77</v>
      </c>
      <c r="B49" s="48">
        <f>IF(-30690.54769="","-",-30690.54769)</f>
        <v>-30690.547689999999</v>
      </c>
      <c r="C49" s="48">
        <f>IF(-32752.88999="","-",-32752.88999)</f>
        <v>-32752.88999</v>
      </c>
      <c r="D49" s="80">
        <f>IF(OR(-30690.54769="",-32752.88999="",-30690.54769=0),"-",-32752.88999/-30690.54769*100)</f>
        <v>106.71979633870133</v>
      </c>
    </row>
    <row r="50" spans="1:5" x14ac:dyDescent="0.25">
      <c r="A50" s="47" t="s">
        <v>70</v>
      </c>
      <c r="B50" s="48">
        <f>IF(-24075.56881="","-",-24075.56881)</f>
        <v>-24075.568810000001</v>
      </c>
      <c r="C50" s="48">
        <f>IF(-25620.83218="","-",-25620.83218)</f>
        <v>-25620.832180000001</v>
      </c>
      <c r="D50" s="80">
        <f>IF(OR(-24075.56881="",-25620.83218="",-24075.56881=0),"-",-25620.83218/-24075.56881*100)</f>
        <v>106.41838779467659</v>
      </c>
    </row>
    <row r="51" spans="1:5" x14ac:dyDescent="0.25">
      <c r="A51" s="47" t="s">
        <v>37</v>
      </c>
      <c r="B51" s="48">
        <f>IF(-24401.631="","-",-24401.631)</f>
        <v>-24401.631000000001</v>
      </c>
      <c r="C51" s="48">
        <f>IF(-25332.30506="","-",-25332.30506)</f>
        <v>-25332.305059999999</v>
      </c>
      <c r="D51" s="80">
        <f>IF(OR(-24401.631="",-25332.30506="",-24401.631=0),"-",-25332.30506/-24401.631*100)</f>
        <v>103.81398300793909</v>
      </c>
    </row>
    <row r="52" spans="1:5" x14ac:dyDescent="0.25">
      <c r="A52" s="47" t="s">
        <v>19</v>
      </c>
      <c r="B52" s="48">
        <f>IF(-35431.2533="","-",-35431.2533)</f>
        <v>-35431.253299999997</v>
      </c>
      <c r="C52" s="48">
        <f>IF(-24343.393="","-",-24343.393)</f>
        <v>-24343.393</v>
      </c>
      <c r="D52" s="80">
        <f>IF(OR(-35431.2533="",-24343.393="",-35431.2533=0),"-",-24343.393/-35431.2533*100)</f>
        <v>68.705989014506585</v>
      </c>
    </row>
    <row r="53" spans="1:5" x14ac:dyDescent="0.25">
      <c r="A53" s="47" t="s">
        <v>73</v>
      </c>
      <c r="B53" s="48">
        <f>IF(-30411.2925="","-",-30411.2925)</f>
        <v>-30411.2925</v>
      </c>
      <c r="C53" s="48">
        <f>IF(-24275.77997="","-",-24275.77997)</f>
        <v>-24275.77997</v>
      </c>
      <c r="D53" s="80">
        <f>IF(OR(-30411.2925="",-24275.77997="",-30411.2925=0),"-",-24275.77997/-30411.2925*100)</f>
        <v>79.824887317761977</v>
      </c>
    </row>
    <row r="54" spans="1:5" x14ac:dyDescent="0.25">
      <c r="A54" s="47" t="s">
        <v>67</v>
      </c>
      <c r="B54" s="48">
        <f>IF(-7986.31619="","-",-7986.31619)</f>
        <v>-7986.3161899999996</v>
      </c>
      <c r="C54" s="48">
        <f>IF(-13585.9622="","-",-13585.9622)</f>
        <v>-13585.9622</v>
      </c>
      <c r="D54" s="80" t="s">
        <v>104</v>
      </c>
    </row>
    <row r="55" spans="1:5" x14ac:dyDescent="0.25">
      <c r="A55" s="47" t="s">
        <v>80</v>
      </c>
      <c r="B55" s="48">
        <f>IF(-11063.87491="","-",-11063.87491)</f>
        <v>-11063.87491</v>
      </c>
      <c r="C55" s="48">
        <f>IF(-12857.57066="","-",-12857.57066)</f>
        <v>-12857.570659999999</v>
      </c>
      <c r="D55" s="80">
        <f>IF(OR(-11063.87491="",-12857.57066="",-11063.87491=0),"-",-12857.57066/-11063.87491*100)</f>
        <v>116.21218392824362</v>
      </c>
    </row>
    <row r="56" spans="1:5" x14ac:dyDescent="0.25">
      <c r="A56" s="47" t="s">
        <v>71</v>
      </c>
      <c r="B56" s="48">
        <f>IF(-13018.59701="","-",-13018.59701)</f>
        <v>-13018.597009999999</v>
      </c>
      <c r="C56" s="48">
        <f>IF(-9937.29534="","-",-9937.29534)</f>
        <v>-9937.2953400000006</v>
      </c>
      <c r="D56" s="80">
        <f>IF(OR(-13018.59701="",-9937.29534="",-13018.59701=0),"-",-9937.29534/-13018.59701*100)</f>
        <v>76.331538124782938</v>
      </c>
    </row>
    <row r="57" spans="1:5" x14ac:dyDescent="0.25">
      <c r="A57" s="47" t="s">
        <v>84</v>
      </c>
      <c r="B57" s="48">
        <f>IF(-5676.38067="","-",-5676.38067)</f>
        <v>-5676.3806699999996</v>
      </c>
      <c r="C57" s="48">
        <f>IF(-6022.6022="","-",-6022.6022)</f>
        <v>-6022.6022000000003</v>
      </c>
      <c r="D57" s="80">
        <f>IF(OR(-5676.38067="",-6022.6022="",-5676.38067=0),"-",-6022.6022/-5676.38067*100)</f>
        <v>106.09933600524366</v>
      </c>
    </row>
    <row r="58" spans="1:5" x14ac:dyDescent="0.25">
      <c r="A58" s="47" t="s">
        <v>72</v>
      </c>
      <c r="B58" s="48">
        <f>IF(-5791.82239="","-",-5791.82239)</f>
        <v>-5791.8223900000003</v>
      </c>
      <c r="C58" s="48">
        <f>IF(-5748.39922="","-",-5748.39922)</f>
        <v>-5748.3992200000002</v>
      </c>
      <c r="D58" s="80">
        <f>IF(OR(-5791.82239="",-5748.39922="",-5791.82239=0),"-",-5748.39922/-5791.82239*100)</f>
        <v>99.250267582877314</v>
      </c>
    </row>
    <row r="59" spans="1:5" x14ac:dyDescent="0.25">
      <c r="A59" s="47" t="s">
        <v>75</v>
      </c>
      <c r="B59" s="48">
        <f>IF(-3724.93893="","-",-3724.93893)</f>
        <v>-3724.9389299999998</v>
      </c>
      <c r="C59" s="48">
        <f>IF(-5721.05063="","-",-5721.05063)</f>
        <v>-5721.0506299999997</v>
      </c>
      <c r="D59" s="80" t="s">
        <v>128</v>
      </c>
    </row>
    <row r="60" spans="1:5" x14ac:dyDescent="0.25">
      <c r="A60" s="47" t="s">
        <v>83</v>
      </c>
      <c r="B60" s="48">
        <f>IF(-6093.46083="","-",-6093.46083)</f>
        <v>-6093.46083</v>
      </c>
      <c r="C60" s="48">
        <f>IF(-5686.44513="","-",-5686.44513)</f>
        <v>-5686.4451300000001</v>
      </c>
      <c r="D60" s="80">
        <f>IF(OR(-6093.46083="",-5686.44513="",-6093.46083=0),"-",-5686.44513/-6093.46083*100)</f>
        <v>93.320451031766126</v>
      </c>
    </row>
    <row r="61" spans="1:5" x14ac:dyDescent="0.25">
      <c r="A61" s="47" t="s">
        <v>79</v>
      </c>
      <c r="B61" s="48">
        <f>IF(-5450.605="","-",-5450.605)</f>
        <v>-5450.6049999999996</v>
      </c>
      <c r="C61" s="48">
        <f>IF(-5054.58781="","-",-5054.58781)</f>
        <v>-5054.58781</v>
      </c>
      <c r="D61" s="80">
        <f>IF(OR(-5450.605="",-5054.58781="",-5450.605=0),"-",-5054.58781/-5450.605*100)</f>
        <v>92.734436085535464</v>
      </c>
      <c r="E61" s="1"/>
    </row>
    <row r="62" spans="1:5" x14ac:dyDescent="0.25">
      <c r="A62" s="47" t="s">
        <v>62</v>
      </c>
      <c r="B62" s="48">
        <f>IF(-2805.95068="","-",-2805.95068)</f>
        <v>-2805.9506799999999</v>
      </c>
      <c r="C62" s="48">
        <f>IF(-4910.56196="","-",-4910.56196)</f>
        <v>-4910.56196</v>
      </c>
      <c r="D62" s="80" t="s">
        <v>249</v>
      </c>
    </row>
    <row r="63" spans="1:5" x14ac:dyDescent="0.25">
      <c r="A63" s="47" t="s">
        <v>64</v>
      </c>
      <c r="B63" s="48">
        <f>IF(-4132.08176="","-",-4132.08176)</f>
        <v>-4132.08176</v>
      </c>
      <c r="C63" s="48">
        <f>IF(-4871.37212="","-",-4871.37212)</f>
        <v>-4871.37212</v>
      </c>
      <c r="D63" s="80">
        <f>IF(OR(-4132.08176="",-4871.37212="",-4132.08176=0),"-",-4871.37212/-4132.08176*100)</f>
        <v>117.89147463529378</v>
      </c>
    </row>
    <row r="64" spans="1:5" x14ac:dyDescent="0.25">
      <c r="A64" s="47" t="s">
        <v>85</v>
      </c>
      <c r="B64" s="48">
        <f>IF(-4821.10632="","-",-4821.10632)</f>
        <v>-4821.1063199999999</v>
      </c>
      <c r="C64" s="48">
        <f>IF(-4169.23846="","-",-4169.23846)</f>
        <v>-4169.2384599999996</v>
      </c>
      <c r="D64" s="80">
        <f>IF(OR(-4821.10632="",-4169.23846="",-4821.10632=0),"-",-4169.23846/-4821.10632*100)</f>
        <v>86.47887400251318</v>
      </c>
    </row>
    <row r="65" spans="1:5" x14ac:dyDescent="0.25">
      <c r="A65" s="47" t="s">
        <v>124</v>
      </c>
      <c r="B65" s="48">
        <f>IF(-2334.69319="","-",-2334.69319)</f>
        <v>-2334.69319</v>
      </c>
      <c r="C65" s="48">
        <f>IF(-3834.01262="","-",-3834.01262)</f>
        <v>-3834.01262</v>
      </c>
      <c r="D65" s="80" t="s">
        <v>105</v>
      </c>
    </row>
    <row r="66" spans="1:5" x14ac:dyDescent="0.25">
      <c r="A66" s="47" t="s">
        <v>63</v>
      </c>
      <c r="B66" s="48">
        <f>IF(-2394.30193="","-",-2394.30193)</f>
        <v>-2394.3019300000001</v>
      </c>
      <c r="C66" s="48">
        <f>IF(-3623.98171="","-",-3623.98171)</f>
        <v>-3623.98171</v>
      </c>
      <c r="D66" s="80" t="s">
        <v>128</v>
      </c>
    </row>
    <row r="67" spans="1:5" x14ac:dyDescent="0.25">
      <c r="A67" s="47" t="s">
        <v>82</v>
      </c>
      <c r="B67" s="48">
        <f>IF(-2780.8287="","-",-2780.8287)</f>
        <v>-2780.8287</v>
      </c>
      <c r="C67" s="48">
        <f>IF(-3259.0414="","-",-3259.0414)</f>
        <v>-3259.0414000000001</v>
      </c>
      <c r="D67" s="80">
        <f>IF(OR(-2780.8287="",-3259.0414="",-2780.8287=0),"-",-3259.0414/-2780.8287*100)</f>
        <v>117.19676943782981</v>
      </c>
    </row>
    <row r="68" spans="1:5" x14ac:dyDescent="0.25">
      <c r="A68" s="47" t="s">
        <v>76</v>
      </c>
      <c r="B68" s="48">
        <f>IF(-1695.23543="","-",-1695.23543)</f>
        <v>-1695.23543</v>
      </c>
      <c r="C68" s="48">
        <f>IF(-3043.26942="","-",-3043.26942)</f>
        <v>-3043.2694200000001</v>
      </c>
      <c r="D68" s="80" t="s">
        <v>249</v>
      </c>
      <c r="E68" s="1"/>
    </row>
    <row r="69" spans="1:5" x14ac:dyDescent="0.25">
      <c r="A69" s="47" t="s">
        <v>81</v>
      </c>
      <c r="B69" s="48">
        <f>IF(-3031.7161="","-",-3031.7161)</f>
        <v>-3031.7161000000001</v>
      </c>
      <c r="C69" s="48">
        <f>IF(-2839.51616="","-",-2839.51616)</f>
        <v>-2839.5161600000001</v>
      </c>
      <c r="D69" s="80">
        <f>IF(OR(-3031.7161="",-2839.51616="",-3031.7161=0),"-",-2839.51616/-3031.7161*100)</f>
        <v>93.660358237369252</v>
      </c>
    </row>
    <row r="70" spans="1:5" x14ac:dyDescent="0.25">
      <c r="A70" s="47" t="s">
        <v>87</v>
      </c>
      <c r="B70" s="48">
        <f>IF(-2179.86804="","-",-2179.86804)</f>
        <v>-2179.8680399999998</v>
      </c>
      <c r="C70" s="48">
        <f>IF(-2539.30364="","-",-2539.30364)</f>
        <v>-2539.3036400000001</v>
      </c>
      <c r="D70" s="80">
        <f>IF(OR(-2179.86804="",-2539.30364="",-2179.86804=0),"-",-2539.30364/-2179.86804*100)</f>
        <v>116.48886966570693</v>
      </c>
    </row>
    <row r="71" spans="1:5" x14ac:dyDescent="0.25">
      <c r="A71" s="47" t="s">
        <v>86</v>
      </c>
      <c r="B71" s="48">
        <f>IF(-3679.56094="","-",-3679.56094)</f>
        <v>-3679.5609399999998</v>
      </c>
      <c r="C71" s="48">
        <f>IF(-1893.16482="","-",-1893.16482)</f>
        <v>-1893.16482</v>
      </c>
      <c r="D71" s="80">
        <f>IF(OR(-3679.56094="",-1893.16482="",-3679.56094=0),"-",-1893.16482/-3679.56094*100)</f>
        <v>51.450834783565234</v>
      </c>
    </row>
    <row r="72" spans="1:5" x14ac:dyDescent="0.25">
      <c r="A72" s="47" t="s">
        <v>143</v>
      </c>
      <c r="B72" s="48">
        <f>IF(-2550.28628="","-",-2550.28628)</f>
        <v>-2550.2862799999998</v>
      </c>
      <c r="C72" s="48">
        <f>IF(-1876.57365="","-",-1876.57365)</f>
        <v>-1876.57365</v>
      </c>
      <c r="D72" s="80">
        <f>IF(OR(-2550.28628="",-1876.57365="",-2550.28628=0),"-",-1876.57365/-2550.28628*100)</f>
        <v>73.582862626700887</v>
      </c>
    </row>
    <row r="73" spans="1:5" x14ac:dyDescent="0.25">
      <c r="A73" s="47" t="s">
        <v>40</v>
      </c>
      <c r="B73" s="48">
        <f>IF(-1124.40603="","-",-1124.40603)</f>
        <v>-1124.4060300000001</v>
      </c>
      <c r="C73" s="48">
        <f>IF(-1506.43296="","-",-1506.43296)</f>
        <v>-1506.4329600000001</v>
      </c>
      <c r="D73" s="80">
        <f>IF(OR(-1124.40603="",-1506.43296="",-1124.40603=0),"-",-1506.43296/-1124.40603*100)</f>
        <v>133.97588769601316</v>
      </c>
    </row>
    <row r="74" spans="1:5" x14ac:dyDescent="0.25">
      <c r="A74" s="47" t="s">
        <v>89</v>
      </c>
      <c r="B74" s="48">
        <f>IF(-1921.23865="","-",-1921.23865)</f>
        <v>-1921.23865</v>
      </c>
      <c r="C74" s="48">
        <f>IF(-1280.52658="","-",-1280.52658)</f>
        <v>-1280.52658</v>
      </c>
      <c r="D74" s="80">
        <f>IF(OR(-1921.23865="",-1280.52658="",-1921.23865=0),"-",-1280.52658/-1921.23865*100)</f>
        <v>66.651094074127641</v>
      </c>
    </row>
    <row r="75" spans="1:5" x14ac:dyDescent="0.25">
      <c r="A75" s="47" t="s">
        <v>74</v>
      </c>
      <c r="B75" s="48">
        <f>IF(-1019.22986="","-",-1019.22986)</f>
        <v>-1019.22986</v>
      </c>
      <c r="C75" s="48">
        <f>IF(-1191.06383="","-",-1191.06383)</f>
        <v>-1191.0638300000001</v>
      </c>
      <c r="D75" s="80">
        <f>IF(OR(-1019.22986="",-1191.06383="",-1019.22986=0),"-",-1191.06383/-1019.22986*100)</f>
        <v>116.85919700194027</v>
      </c>
    </row>
    <row r="76" spans="1:5" x14ac:dyDescent="0.25">
      <c r="A76" s="47" t="s">
        <v>39</v>
      </c>
      <c r="B76" s="48">
        <f>IF(-1261.89274="","-",-1261.89274)</f>
        <v>-1261.89274</v>
      </c>
      <c r="C76" s="48">
        <f>IF(-1064.48991="","-",-1064.48991)</f>
        <v>-1064.48991</v>
      </c>
      <c r="D76" s="80">
        <f>IF(OR(-1261.89274="",-1064.48991="",-1261.89274=0),"-",-1064.48991/-1261.89274*100)</f>
        <v>84.356607836574128</v>
      </c>
      <c r="E76" s="12"/>
    </row>
    <row r="77" spans="1:5" x14ac:dyDescent="0.25">
      <c r="A77" s="47" t="s">
        <v>146</v>
      </c>
      <c r="B77" s="48">
        <f>IF(-2022.03647="","-",-2022.03647)</f>
        <v>-2022.03647</v>
      </c>
      <c r="C77" s="48">
        <f>IF(-1020.32201="","-",-1020.32201)</f>
        <v>-1020.32201</v>
      </c>
      <c r="D77" s="80">
        <f>IF(OR(-2022.03647="",-1020.32201="",-2022.03647=0),"-",-1020.32201/-2022.03647*100)</f>
        <v>50.460119050177163</v>
      </c>
    </row>
    <row r="78" spans="1:5" x14ac:dyDescent="0.25">
      <c r="A78" s="47" t="s">
        <v>92</v>
      </c>
      <c r="B78" s="48">
        <f>IF(-633.89178="","-",-633.89178)</f>
        <v>-633.89178000000004</v>
      </c>
      <c r="C78" s="48">
        <f>IF(-1019.49744="","-",-1019.49744)</f>
        <v>-1019.49744</v>
      </c>
      <c r="D78" s="80" t="s">
        <v>105</v>
      </c>
    </row>
    <row r="79" spans="1:5" x14ac:dyDescent="0.25">
      <c r="A79" s="47" t="s">
        <v>145</v>
      </c>
      <c r="B79" s="48">
        <f>IF(33.51149="","-",33.51149)</f>
        <v>33.511490000000002</v>
      </c>
      <c r="C79" s="48">
        <f>IF(-957.49385="","-",-957.49385)</f>
        <v>-957.49384999999995</v>
      </c>
      <c r="D79" s="80" t="s">
        <v>22</v>
      </c>
    </row>
    <row r="80" spans="1:5" x14ac:dyDescent="0.25">
      <c r="A80" s="47" t="s">
        <v>98</v>
      </c>
      <c r="B80" s="48">
        <f>IF(-788.23691="","-",-788.23691)</f>
        <v>-788.23690999999997</v>
      </c>
      <c r="C80" s="48">
        <f>IF(-952.45877="","-",-952.45877)</f>
        <v>-952.45876999999996</v>
      </c>
      <c r="D80" s="80">
        <f>IF(OR(-788.23691="",-952.45877="",-788.23691=0),"-",-952.45877/-788.23691*100)</f>
        <v>120.83407385731277</v>
      </c>
    </row>
    <row r="81" spans="1:5" x14ac:dyDescent="0.25">
      <c r="A81" s="47" t="s">
        <v>175</v>
      </c>
      <c r="B81" s="48">
        <f>IF(-480.15635="","-",-480.15635)</f>
        <v>-480.15634999999997</v>
      </c>
      <c r="C81" s="48">
        <f>IF(-705.26995="","-",-705.26995)</f>
        <v>-705.26994999999999</v>
      </c>
      <c r="D81" s="80">
        <f>IF(OR(-480.15635="",-705.26995="",-480.15635=0),"-",-705.26995/-480.15635*100)</f>
        <v>146.8833953773599</v>
      </c>
    </row>
    <row r="82" spans="1:5" x14ac:dyDescent="0.25">
      <c r="A82" s="47" t="s">
        <v>90</v>
      </c>
      <c r="B82" s="48">
        <f>IF(-870.04398="","-",-870.04398)</f>
        <v>-870.04398000000003</v>
      </c>
      <c r="C82" s="48">
        <f>IF(-680.91482="","-",-680.91482)</f>
        <v>-680.91481999999996</v>
      </c>
      <c r="D82" s="80">
        <f>IF(OR(-870.04398="",-680.91482="",-870.04398=0),"-",-680.91482/-870.04398*100)</f>
        <v>78.262114979520916</v>
      </c>
    </row>
    <row r="83" spans="1:5" x14ac:dyDescent="0.25">
      <c r="A83" s="47" t="s">
        <v>180</v>
      </c>
      <c r="B83" s="48">
        <f>IF(3="","-",3)</f>
        <v>3</v>
      </c>
      <c r="C83" s="48">
        <f>IF(-625.2805="","-",-625.2805)</f>
        <v>-625.28049999999996</v>
      </c>
      <c r="D83" s="80" t="s">
        <v>22</v>
      </c>
    </row>
    <row r="84" spans="1:5" x14ac:dyDescent="0.25">
      <c r="A84" s="47" t="s">
        <v>112</v>
      </c>
      <c r="B84" s="48">
        <f>IF(-151.48672="","-",-151.48672)</f>
        <v>-151.48671999999999</v>
      </c>
      <c r="C84" s="48">
        <f>IF(-471.90765="","-",-471.90765)</f>
        <v>-471.90764999999999</v>
      </c>
      <c r="D84" s="80" t="s">
        <v>304</v>
      </c>
    </row>
    <row r="85" spans="1:5" x14ac:dyDescent="0.25">
      <c r="A85" s="47" t="s">
        <v>95</v>
      </c>
      <c r="B85" s="48">
        <f>IF(-220.65248="","-",-220.65248)</f>
        <v>-220.65248</v>
      </c>
      <c r="C85" s="48">
        <f>IF(-440.75114="","-",-440.75114)</f>
        <v>-440.75114000000002</v>
      </c>
      <c r="D85" s="80" t="s">
        <v>20</v>
      </c>
    </row>
    <row r="86" spans="1:5" x14ac:dyDescent="0.25">
      <c r="A86" s="47" t="s">
        <v>93</v>
      </c>
      <c r="B86" s="48">
        <f>IF(-386.40176="","-",-386.40176)</f>
        <v>-386.40176000000002</v>
      </c>
      <c r="C86" s="48">
        <f>IF(-440.72805="","-",-440.72805)</f>
        <v>-440.72805</v>
      </c>
      <c r="D86" s="80">
        <f>IF(OR(-386.40176="",-440.72805="",-386.40176=0),"-",-440.72805/-386.40176*100)</f>
        <v>114.0595348219946</v>
      </c>
    </row>
    <row r="87" spans="1:5" x14ac:dyDescent="0.25">
      <c r="A87" s="47" t="s">
        <v>88</v>
      </c>
      <c r="B87" s="48">
        <f>IF(-1696.66277="","-",-1696.66277)</f>
        <v>-1696.6627699999999</v>
      </c>
      <c r="C87" s="48">
        <f>IF(-428.28614="","-",-428.28614)</f>
        <v>-428.28613999999999</v>
      </c>
      <c r="D87" s="80">
        <f>IF(OR(-1696.66277="",-428.28614="",-1696.66277=0),"-",-428.28614/-1696.66277*100)</f>
        <v>25.242856009624116</v>
      </c>
    </row>
    <row r="88" spans="1:5" x14ac:dyDescent="0.25">
      <c r="A88" s="47" t="s">
        <v>134</v>
      </c>
      <c r="B88" s="48">
        <f>IF(-353.61115="","-",-353.61115)</f>
        <v>-353.61115000000001</v>
      </c>
      <c r="C88" s="48">
        <f>IF(-338.16136="","-",-338.16136)</f>
        <v>-338.16136</v>
      </c>
      <c r="D88" s="80">
        <f>IF(OR(-353.61115="",-338.16136="",-353.61115=0),"-",-338.16136/-353.61115*100)</f>
        <v>95.630853269191306</v>
      </c>
    </row>
    <row r="89" spans="1:5" x14ac:dyDescent="0.25">
      <c r="A89" s="47" t="s">
        <v>183</v>
      </c>
      <c r="B89" s="48">
        <f>IF(-489.67881="","-",-489.67881)</f>
        <v>-489.67881</v>
      </c>
      <c r="C89" s="48">
        <f>IF(-300.23125="","-",-300.23125)</f>
        <v>-300.23124999999999</v>
      </c>
      <c r="D89" s="80">
        <f>IF(OR(-489.67881="",-300.23125="",-489.67881=0),"-",-300.23125/-489.67881*100)</f>
        <v>61.311872980576801</v>
      </c>
    </row>
    <row r="90" spans="1:5" x14ac:dyDescent="0.25">
      <c r="A90" s="47" t="s">
        <v>174</v>
      </c>
      <c r="B90" s="48">
        <f>IF(-625.41813="","-",-625.41813)</f>
        <v>-625.41813000000002</v>
      </c>
      <c r="C90" s="48">
        <f>IF(-270.63402="","-",-270.63402)</f>
        <v>-270.63402000000002</v>
      </c>
      <c r="D90" s="80">
        <f>IF(OR(-625.41813="",-270.63402="",-625.41813=0),"-",-270.63402/-625.41813*100)</f>
        <v>43.272493555631335</v>
      </c>
    </row>
    <row r="91" spans="1:5" x14ac:dyDescent="0.25">
      <c r="A91" s="47" t="s">
        <v>148</v>
      </c>
      <c r="B91" s="48">
        <f>IF(-122.74016="","-",-122.74016)</f>
        <v>-122.74016</v>
      </c>
      <c r="C91" s="48">
        <f>IF(-205.14183="","-",-205.14183)</f>
        <v>-205.14183</v>
      </c>
      <c r="D91" s="80" t="s">
        <v>104</v>
      </c>
    </row>
    <row r="92" spans="1:5" x14ac:dyDescent="0.25">
      <c r="A92" s="47" t="s">
        <v>65</v>
      </c>
      <c r="B92" s="48">
        <f>IF(940.00108="","-",940.00108)</f>
        <v>940.00108</v>
      </c>
      <c r="C92" s="48">
        <f>IF(-198.55613="","-",-198.55613)</f>
        <v>-198.55613</v>
      </c>
      <c r="D92" s="80" t="s">
        <v>22</v>
      </c>
    </row>
    <row r="93" spans="1:5" x14ac:dyDescent="0.25">
      <c r="A93" s="47" t="s">
        <v>99</v>
      </c>
      <c r="B93" s="48">
        <f>IF(-537.2184="","-",-537.2184)</f>
        <v>-537.21839999999997</v>
      </c>
      <c r="C93" s="48">
        <f>IF(-155.66952="","-",-155.66952)</f>
        <v>-155.66952000000001</v>
      </c>
      <c r="D93" s="80">
        <f>IF(OR(-537.2184="",-155.66952="",-537.2184=0),"-",-155.66952/-537.2184*100)</f>
        <v>28.976952390312771</v>
      </c>
    </row>
    <row r="94" spans="1:5" x14ac:dyDescent="0.25">
      <c r="A94" s="47" t="s">
        <v>153</v>
      </c>
      <c r="B94" s="48">
        <f>IF(-57.18134="","-",-57.18134)</f>
        <v>-57.181339999999999</v>
      </c>
      <c r="C94" s="48">
        <f>IF(-154.08387="","-",-154.08387)</f>
        <v>-154.08386999999999</v>
      </c>
      <c r="D94" s="80" t="s">
        <v>305</v>
      </c>
    </row>
    <row r="95" spans="1:5" x14ac:dyDescent="0.25">
      <c r="A95" s="47" t="s">
        <v>155</v>
      </c>
      <c r="B95" s="48">
        <f>IF(-13.94075="","-",-13.94075)</f>
        <v>-13.94075</v>
      </c>
      <c r="C95" s="48">
        <f>IF(-136.05793="","-",-136.05793)</f>
        <v>-136.05793</v>
      </c>
      <c r="D95" s="80" t="s">
        <v>306</v>
      </c>
    </row>
    <row r="96" spans="1:5" x14ac:dyDescent="0.25">
      <c r="A96" s="47" t="s">
        <v>181</v>
      </c>
      <c r="B96" s="48">
        <f>IF(-20.18123="","-",-20.18123)</f>
        <v>-20.181229999999999</v>
      </c>
      <c r="C96" s="48">
        <f>IF(-133.09477="","-",-133.09477)</f>
        <v>-133.09477000000001</v>
      </c>
      <c r="D96" s="80" t="s">
        <v>307</v>
      </c>
      <c r="E96" s="12"/>
    </row>
    <row r="97" spans="1:5" x14ac:dyDescent="0.25">
      <c r="A97" s="47" t="s">
        <v>91</v>
      </c>
      <c r="B97" s="48">
        <f>IF(-359.81237="","-",-359.81237)</f>
        <v>-359.81236999999999</v>
      </c>
      <c r="C97" s="48">
        <f>IF(-113.27815="","-",-113.27815)</f>
        <v>-113.27815</v>
      </c>
      <c r="D97" s="80">
        <f>IF(OR(-359.81237="",-113.27815="",-359.81237=0),"-",-113.27815/-359.81237*100)</f>
        <v>31.482561313831432</v>
      </c>
    </row>
    <row r="98" spans="1:5" x14ac:dyDescent="0.25">
      <c r="A98" s="47" t="s">
        <v>164</v>
      </c>
      <c r="B98" s="48">
        <f>IF(-143.74689="","-",-143.74689)</f>
        <v>-143.74689000000001</v>
      </c>
      <c r="C98" s="48">
        <f>IF(-96.32996="","-",-96.32996)</f>
        <v>-96.32996</v>
      </c>
      <c r="D98" s="80">
        <f>IF(OR(-143.74689="",-96.32996="",-143.74689=0),"-",-96.32996/-143.74689*100)</f>
        <v>67.013595911535901</v>
      </c>
      <c r="E98" s="11"/>
    </row>
    <row r="99" spans="1:5" x14ac:dyDescent="0.25">
      <c r="A99" s="47" t="s">
        <v>147</v>
      </c>
      <c r="B99" s="48">
        <f>IF(-32.60353="","-",-32.60353)</f>
        <v>-32.603529999999999</v>
      </c>
      <c r="C99" s="48">
        <f>IF(-93.9131="","-",-93.9131)</f>
        <v>-93.9131</v>
      </c>
      <c r="D99" s="80" t="s">
        <v>182</v>
      </c>
    </row>
    <row r="100" spans="1:5" x14ac:dyDescent="0.25">
      <c r="A100" s="47" t="s">
        <v>154</v>
      </c>
      <c r="B100" s="48">
        <f>IF(-139.07698="","-",-139.07698)</f>
        <v>-139.07697999999999</v>
      </c>
      <c r="C100" s="48">
        <f>IF(-82.27946="","-",-82.27946)</f>
        <v>-82.27946</v>
      </c>
      <c r="D100" s="80">
        <f>IF(OR(-139.07698="",-82.27946="",-139.07698=0),"-",-82.27946/-139.07698*100)</f>
        <v>59.161091936278744</v>
      </c>
      <c r="E100" s="11"/>
    </row>
    <row r="101" spans="1:5" x14ac:dyDescent="0.25">
      <c r="A101" s="47" t="s">
        <v>244</v>
      </c>
      <c r="B101" s="48">
        <f>IF(-53.63812="","-",-53.63812)</f>
        <v>-53.638120000000001</v>
      </c>
      <c r="C101" s="48">
        <f>IF(-76.76582="","-",-76.76582)</f>
        <v>-76.765820000000005</v>
      </c>
      <c r="D101" s="80">
        <f>IF(OR(-53.63812="",-76.76582="",-53.63812=0),"-",-76.76582/-53.63812*100)</f>
        <v>143.1180287452282</v>
      </c>
      <c r="E101" s="1"/>
    </row>
    <row r="102" spans="1:5" x14ac:dyDescent="0.25">
      <c r="A102" s="47" t="s">
        <v>163</v>
      </c>
      <c r="B102" s="48">
        <f>IF(-87.79611="","-",-87.79611)</f>
        <v>-87.796109999999999</v>
      </c>
      <c r="C102" s="48">
        <f>IF(-73.41574="","-",-73.41574)</f>
        <v>-73.41574</v>
      </c>
      <c r="D102" s="80">
        <f>IF(OR(-87.79611="",-73.41574="",-87.79611=0),"-",-73.41574/-87.79611*100)</f>
        <v>83.620720781364909</v>
      </c>
    </row>
    <row r="103" spans="1:5" x14ac:dyDescent="0.25">
      <c r="A103" s="47" t="s">
        <v>103</v>
      </c>
      <c r="B103" s="48">
        <f>IF(-159.27867="","-",-159.27867)</f>
        <v>-159.27867000000001</v>
      </c>
      <c r="C103" s="48">
        <f>IF(-72.59083="","-",-72.59083)</f>
        <v>-72.590829999999997</v>
      </c>
      <c r="D103" s="80">
        <f>IF(OR(-159.27867="",-72.59083="",-159.27867=0),"-",-72.59083/-159.27867*100)</f>
        <v>45.574733892491693</v>
      </c>
    </row>
    <row r="104" spans="1:5" x14ac:dyDescent="0.25">
      <c r="A104" s="47" t="s">
        <v>176</v>
      </c>
      <c r="B104" s="48">
        <f>IF(-88.87126="","-",-88.87126)</f>
        <v>-88.871260000000007</v>
      </c>
      <c r="C104" s="48">
        <f>IF(-72.09923="","-",-72.09923)</f>
        <v>-72.099230000000006</v>
      </c>
      <c r="D104" s="80">
        <f>IF(OR(-88.87126="",-72.09923="",-88.87126=0),"-",-72.09923/-88.87126*100)</f>
        <v>81.127723405744447</v>
      </c>
    </row>
    <row r="105" spans="1:5" x14ac:dyDescent="0.25">
      <c r="A105" s="47" t="s">
        <v>108</v>
      </c>
      <c r="B105" s="48">
        <f>IF(108.61484="","-",108.61484)</f>
        <v>108.61484</v>
      </c>
      <c r="C105" s="48">
        <f>IF(-66.85581="","-",-66.85581)</f>
        <v>-66.855810000000005</v>
      </c>
      <c r="D105" s="80" t="s">
        <v>22</v>
      </c>
      <c r="E105" s="12"/>
    </row>
    <row r="106" spans="1:5" x14ac:dyDescent="0.25">
      <c r="A106" s="47" t="s">
        <v>102</v>
      </c>
      <c r="B106" s="48">
        <f>IF(-484.70631="","-",-484.70631)</f>
        <v>-484.70630999999997</v>
      </c>
      <c r="C106" s="48">
        <f>IF(-65.81937="","-",-65.81937)</f>
        <v>-65.819370000000006</v>
      </c>
      <c r="D106" s="80">
        <f>IF(OR(-484.70631="",-65.81937="",-484.70631=0),"-",-65.81937/-484.70631*100)</f>
        <v>13.579226975609213</v>
      </c>
      <c r="E106" s="10"/>
    </row>
    <row r="107" spans="1:5" x14ac:dyDescent="0.25">
      <c r="A107" s="47" t="s">
        <v>278</v>
      </c>
      <c r="B107" s="48">
        <f>IF(-37.28682="","-",-37.28682)</f>
        <v>-37.286819999999999</v>
      </c>
      <c r="C107" s="48">
        <f>IF(-51.94094="","-",-51.94094)</f>
        <v>-51.940939999999998</v>
      </c>
      <c r="D107" s="80">
        <f>IF(OR(-37.28682="",-51.94094="",-37.28682=0),"-",-51.94094/-37.28682*100)</f>
        <v>139.30107206782449</v>
      </c>
    </row>
    <row r="108" spans="1:5" x14ac:dyDescent="0.25">
      <c r="A108" s="47" t="s">
        <v>184</v>
      </c>
      <c r="B108" s="48">
        <f>IF(-91.79719="","-",-91.79719)</f>
        <v>-91.797190000000001</v>
      </c>
      <c r="C108" s="48">
        <f>IF(-51.41463="","-",-51.41463)</f>
        <v>-51.414630000000002</v>
      </c>
      <c r="D108" s="80">
        <f>IF(OR(-91.79719="",-51.41463="",-91.79719=0),"-",-51.41463/-91.79719*100)</f>
        <v>56.008936656993534</v>
      </c>
    </row>
    <row r="109" spans="1:5" x14ac:dyDescent="0.25">
      <c r="A109" s="47" t="s">
        <v>149</v>
      </c>
      <c r="B109" s="48">
        <f>IF(-35.96676="","-",-35.96676)</f>
        <v>-35.966760000000001</v>
      </c>
      <c r="C109" s="48">
        <f>IF(-51.06583="","-",-51.06583)</f>
        <v>-51.065829999999998</v>
      </c>
      <c r="D109" s="80">
        <f>IF(OR(-35.96676="",-51.06583="",-35.96676=0),"-",-51.06583/-35.96676*100)</f>
        <v>141.98062321988414</v>
      </c>
    </row>
    <row r="110" spans="1:5" x14ac:dyDescent="0.25">
      <c r="A110" s="47" t="s">
        <v>292</v>
      </c>
      <c r="B110" s="48">
        <f>IF(-80.6278="","-",-80.6278)</f>
        <v>-80.627799999999993</v>
      </c>
      <c r="C110" s="48">
        <f>IF(-23.07413="","-",-23.07413)</f>
        <v>-23.07413</v>
      </c>
      <c r="D110" s="80">
        <f>IF(OR(-80.6278="",-23.07413="",-80.6278=0),"-",-23.07413/-80.6278*100)</f>
        <v>28.618082100714641</v>
      </c>
    </row>
    <row r="111" spans="1:5" x14ac:dyDescent="0.25">
      <c r="A111" s="47" t="s">
        <v>293</v>
      </c>
      <c r="B111" s="48">
        <f>IF(-43.89943="","-",-43.89943)</f>
        <v>-43.899430000000002</v>
      </c>
      <c r="C111" s="48">
        <f>IF(-21.80179="","-",-21.80179)</f>
        <v>-21.80179</v>
      </c>
      <c r="D111" s="80">
        <f>IF(OR(-43.89943="",-21.80179="",-43.89943=0),"-",-21.80179/-43.89943*100)</f>
        <v>49.663036627127049</v>
      </c>
    </row>
    <row r="112" spans="1:5" x14ac:dyDescent="0.25">
      <c r="A112" s="47" t="s">
        <v>294</v>
      </c>
      <c r="B112" s="48">
        <f>IF(-38.93189="","-",-38.93189)</f>
        <v>-38.931890000000003</v>
      </c>
      <c r="C112" s="48">
        <f>IF(-15.73498="","-",-15.73498)</f>
        <v>-15.73498</v>
      </c>
      <c r="D112" s="80">
        <f>IF(OR(-38.93189="",-15.73498="",-38.93189=0),"-",-15.73498/-38.93189*100)</f>
        <v>40.416686680251075</v>
      </c>
    </row>
    <row r="113" spans="1:4" x14ac:dyDescent="0.25">
      <c r="A113" s="47" t="s">
        <v>295</v>
      </c>
      <c r="B113" s="48">
        <f>IF(30.38124="","-",30.38124)</f>
        <v>30.381239999999998</v>
      </c>
      <c r="C113" s="48">
        <f>IF(-12.59329="","-",-12.59329)</f>
        <v>-12.59329</v>
      </c>
      <c r="D113" s="80" t="s">
        <v>22</v>
      </c>
    </row>
    <row r="114" spans="1:4" x14ac:dyDescent="0.25">
      <c r="A114" s="47" t="s">
        <v>296</v>
      </c>
      <c r="B114" s="48">
        <f>IF(-60.15904="","-",-60.15904)</f>
        <v>-60.159039999999997</v>
      </c>
      <c r="C114" s="48">
        <f>IF(-10.81378="","-",-10.81378)</f>
        <v>-10.81378</v>
      </c>
      <c r="D114" s="80">
        <f>IF(OR(-60.15904="",-10.81378="",-60.15904=0),"-",-10.81378/-60.15904*100)</f>
        <v>17.975320084894971</v>
      </c>
    </row>
    <row r="115" spans="1:4" x14ac:dyDescent="0.25">
      <c r="A115" s="47" t="s">
        <v>297</v>
      </c>
      <c r="B115" s="48">
        <f>IF(868.25454="","-",868.25454)</f>
        <v>868.25454000000002</v>
      </c>
      <c r="C115" s="48">
        <f>IF(-3.65808="","-",-3.65808)</f>
        <v>-3.65808</v>
      </c>
      <c r="D115" s="80" t="s">
        <v>22</v>
      </c>
    </row>
    <row r="116" spans="1:4" x14ac:dyDescent="0.25">
      <c r="A116" s="47" t="s">
        <v>298</v>
      </c>
      <c r="B116" s="48">
        <f>IF(-86.69123="","-",-86.69123)</f>
        <v>-86.691230000000004</v>
      </c>
      <c r="C116" s="48">
        <f>IF(-2.16339="","-",-2.16339)</f>
        <v>-2.1633900000000001</v>
      </c>
      <c r="D116" s="80">
        <f>IF(OR(-86.69123="",-2.16339="",-86.69123=0),"-",-2.16339/-86.69123*100)</f>
        <v>2.4955119450952536</v>
      </c>
    </row>
    <row r="117" spans="1:4" x14ac:dyDescent="0.25">
      <c r="A117" s="47" t="s">
        <v>69</v>
      </c>
      <c r="B117" s="48">
        <f>IF(1918.91818="","-",1918.91818)</f>
        <v>1918.9181799999999</v>
      </c>
      <c r="C117" s="48">
        <f>IF(-0.76734="","-",-0.76734)</f>
        <v>-0.76734000000000002</v>
      </c>
      <c r="D117" s="80" t="s">
        <v>22</v>
      </c>
    </row>
    <row r="118" spans="1:4" x14ac:dyDescent="0.25">
      <c r="A118" s="47" t="s">
        <v>299</v>
      </c>
      <c r="B118" s="48">
        <f>IF(256.69959="","-",256.69959)</f>
        <v>256.69959</v>
      </c>
      <c r="C118" s="48">
        <f>IF(6.41936="","-",6.41936)</f>
        <v>6.4193600000000002</v>
      </c>
      <c r="D118" s="80">
        <f>IF(OR(256.69959="",6.41936="",256.69959=0),"-",6.41936/256.69959*100)</f>
        <v>2.5007285753748185</v>
      </c>
    </row>
    <row r="119" spans="1:4" x14ac:dyDescent="0.25">
      <c r="A119" s="47" t="s">
        <v>300</v>
      </c>
      <c r="B119" s="48">
        <f>IF(390.55589="","-",390.55589)</f>
        <v>390.55588999999998</v>
      </c>
      <c r="C119" s="48">
        <f>IF(15.83932="","-",15.83932)</f>
        <v>15.839320000000001</v>
      </c>
      <c r="D119" s="80">
        <f>IF(OR(390.55589="",15.83932="",390.55589=0),"-",15.83932/390.55589*100)</f>
        <v>4.0555834403111941</v>
      </c>
    </row>
    <row r="120" spans="1:4" x14ac:dyDescent="0.25">
      <c r="A120" s="47" t="s">
        <v>94</v>
      </c>
      <c r="B120" s="48">
        <f>IF(-512.44546="","-",-512.44546)</f>
        <v>-512.44546000000003</v>
      </c>
      <c r="C120" s="48">
        <f>IF(17.00236="","-",17.00236)</f>
        <v>17.002359999999999</v>
      </c>
      <c r="D120" s="80" t="s">
        <v>22</v>
      </c>
    </row>
    <row r="121" spans="1:4" x14ac:dyDescent="0.25">
      <c r="A121" s="47" t="s">
        <v>301</v>
      </c>
      <c r="B121" s="48">
        <f>IF(21.9375="","-",21.9375)</f>
        <v>21.9375</v>
      </c>
      <c r="C121" s="48">
        <f>IF(22.99251="","-",22.99251)</f>
        <v>22.992509999999999</v>
      </c>
      <c r="D121" s="80">
        <f>IF(OR(21.9375="",22.99251="",21.9375=0),"-",22.99251/21.9375*100)</f>
        <v>104.80916239316238</v>
      </c>
    </row>
    <row r="122" spans="1:4" x14ac:dyDescent="0.25">
      <c r="A122" s="47" t="s">
        <v>144</v>
      </c>
      <c r="B122" s="48">
        <f>IF(-63.86123="","-",-63.86123)</f>
        <v>-63.861229999999999</v>
      </c>
      <c r="C122" s="48">
        <f>IF(41.06086="","-",41.06086)</f>
        <v>41.060859999999998</v>
      </c>
      <c r="D122" s="80" t="s">
        <v>22</v>
      </c>
    </row>
    <row r="123" spans="1:4" x14ac:dyDescent="0.25">
      <c r="A123" s="47" t="s">
        <v>152</v>
      </c>
      <c r="B123" s="48">
        <f>IF(43.23246="","-",43.23246)</f>
        <v>43.232460000000003</v>
      </c>
      <c r="C123" s="48">
        <f>IF(50.18097="","-",50.18097)</f>
        <v>50.180970000000002</v>
      </c>
      <c r="D123" s="80">
        <f>IF(OR(43.23246="",50.18097="",43.23246=0),"-",50.18097/43.23246*100)</f>
        <v>116.07243723813079</v>
      </c>
    </row>
    <row r="124" spans="1:4" x14ac:dyDescent="0.25">
      <c r="A124" s="47" t="s">
        <v>179</v>
      </c>
      <c r="B124" s="48">
        <f>IF(378.20273="","-",378.20273)</f>
        <v>378.20272999999997</v>
      </c>
      <c r="C124" s="48">
        <f>IF(71.07774="","-",71.07774)</f>
        <v>71.077740000000006</v>
      </c>
      <c r="D124" s="80">
        <f>IF(OR(378.20273="",71.07774="",378.20273=0),"-",71.07774/378.20273*100)</f>
        <v>18.793555509237073</v>
      </c>
    </row>
    <row r="125" spans="1:4" x14ac:dyDescent="0.25">
      <c r="A125" s="47" t="s">
        <v>132</v>
      </c>
      <c r="B125" s="48">
        <f>IF(3011.20341="","-",3011.20341)</f>
        <v>3011.2034100000001</v>
      </c>
      <c r="C125" s="48">
        <f>IF(82.90693="","-",82.90693)</f>
        <v>82.906930000000003</v>
      </c>
      <c r="D125" s="80">
        <f>IF(OR(3011.20341="",82.90693="",3011.20341=0),"-",82.90693/3011.20341*100)</f>
        <v>2.7532822832450234</v>
      </c>
    </row>
    <row r="126" spans="1:4" x14ac:dyDescent="0.25">
      <c r="A126" s="47" t="s">
        <v>173</v>
      </c>
      <c r="B126" s="48">
        <f>IF(88.5175="","-",88.5175)</f>
        <v>88.517499999999998</v>
      </c>
      <c r="C126" s="48">
        <f>IF(179.7168="","-",179.7168)</f>
        <v>179.71680000000001</v>
      </c>
      <c r="D126" s="80" t="s">
        <v>20</v>
      </c>
    </row>
    <row r="127" spans="1:4" x14ac:dyDescent="0.25">
      <c r="A127" s="47" t="s">
        <v>178</v>
      </c>
      <c r="B127" s="48">
        <f>IF(552.5236="","-",552.5236)</f>
        <v>552.52359999999999</v>
      </c>
      <c r="C127" s="48">
        <f>IF(182.83542="","-",182.83542)</f>
        <v>182.83542</v>
      </c>
      <c r="D127" s="80">
        <f>IF(OR(552.5236="",182.83542="",552.5236=0),"-",182.83542/552.5236*100)</f>
        <v>33.090970231859778</v>
      </c>
    </row>
    <row r="128" spans="1:4" x14ac:dyDescent="0.25">
      <c r="A128" s="47" t="s">
        <v>97</v>
      </c>
      <c r="B128" s="48">
        <f>IF(392.70711="","-",392.70711)</f>
        <v>392.70711</v>
      </c>
      <c r="C128" s="48">
        <f>IF(208.18137="","-",208.18137)</f>
        <v>208.18136999999999</v>
      </c>
      <c r="D128" s="80">
        <f>IF(OR(392.70711="",208.18137="",392.70711=0),"-",208.18137/392.70711*100)</f>
        <v>53.01186678285503</v>
      </c>
    </row>
    <row r="129" spans="1:4" x14ac:dyDescent="0.25">
      <c r="A129" s="47" t="s">
        <v>137</v>
      </c>
      <c r="B129" s="48">
        <f>IF(303.25887="","-",303.25887)</f>
        <v>303.25887</v>
      </c>
      <c r="C129" s="48">
        <f>IF(219.95235="","-",219.95235)</f>
        <v>219.95235</v>
      </c>
      <c r="D129" s="80">
        <f>IF(OR(303.25887="",219.95235="",303.25887=0),"-",219.95235/303.25887*100)</f>
        <v>72.529568549800373</v>
      </c>
    </row>
    <row r="130" spans="1:4" x14ac:dyDescent="0.25">
      <c r="A130" s="47" t="s">
        <v>166</v>
      </c>
      <c r="B130" s="48">
        <f>IF(189.60173="","-",189.60173)</f>
        <v>189.60173</v>
      </c>
      <c r="C130" s="48">
        <f>IF(255.38784="","-",255.38784)</f>
        <v>255.38784000000001</v>
      </c>
      <c r="D130" s="80">
        <f>IF(OR(189.60173="",255.38784="",189.60173=0),"-",255.38784/189.60173*100)</f>
        <v>134.69699880902985</v>
      </c>
    </row>
    <row r="131" spans="1:4" x14ac:dyDescent="0.25">
      <c r="A131" s="47" t="s">
        <v>177</v>
      </c>
      <c r="B131" s="48">
        <f>IF(42.67939="","-",42.67939)</f>
        <v>42.679389999999998</v>
      </c>
      <c r="C131" s="48">
        <f>IF(298.07027="","-",298.07027)</f>
        <v>298.07026999999999</v>
      </c>
      <c r="D131" s="80" t="s">
        <v>308</v>
      </c>
    </row>
    <row r="132" spans="1:4" x14ac:dyDescent="0.25">
      <c r="A132" s="47" t="s">
        <v>142</v>
      </c>
      <c r="B132" s="48">
        <f>IF(80.16918="","-",80.16918)</f>
        <v>80.169179999999997</v>
      </c>
      <c r="C132" s="48">
        <f>IF(339.96351="","-",339.96351)</f>
        <v>339.96350999999999</v>
      </c>
      <c r="D132" s="80" t="s">
        <v>274</v>
      </c>
    </row>
    <row r="133" spans="1:4" x14ac:dyDescent="0.25">
      <c r="A133" s="47" t="s">
        <v>38</v>
      </c>
      <c r="B133" s="48">
        <f>IF(470.46615="","-",470.46615)</f>
        <v>470.46615000000003</v>
      </c>
      <c r="C133" s="48">
        <f>IF(462.11804="","-",462.11804)</f>
        <v>462.11804000000001</v>
      </c>
      <c r="D133" s="80">
        <f>IF(OR(470.46615="",462.11804="",470.46615=0),"-",462.11804/470.46615*100)</f>
        <v>98.22556628144234</v>
      </c>
    </row>
    <row r="134" spans="1:4" x14ac:dyDescent="0.25">
      <c r="A134" s="47" t="s">
        <v>110</v>
      </c>
      <c r="B134" s="48">
        <f>IF(935.49798="","-",935.49798)</f>
        <v>935.49797999999998</v>
      </c>
      <c r="C134" s="48">
        <f>IF(519.39675="","-",519.39675)</f>
        <v>519.39675</v>
      </c>
      <c r="D134" s="80">
        <f>IF(OR(935.49798="",519.39675="",935.49798=0),"-",519.39675/935.49798*100)</f>
        <v>55.520884181919882</v>
      </c>
    </row>
    <row r="135" spans="1:4" x14ac:dyDescent="0.25">
      <c r="A135" s="47" t="s">
        <v>66</v>
      </c>
      <c r="B135" s="48">
        <f>IF(5133.46031="","-",5133.46031)</f>
        <v>5133.4603100000004</v>
      </c>
      <c r="C135" s="48">
        <f>IF(677.54718="","-",677.54718)</f>
        <v>677.54718000000003</v>
      </c>
      <c r="D135" s="80">
        <f>IF(OR(5133.46031="",677.54718="",5133.46031=0),"-",677.54718/5133.46031*100)</f>
        <v>13.198644561060217</v>
      </c>
    </row>
    <row r="136" spans="1:4" x14ac:dyDescent="0.25">
      <c r="A136" s="47" t="s">
        <v>78</v>
      </c>
      <c r="B136" s="48">
        <f>IF(983.52684="","-",983.52684)</f>
        <v>983.52683999999999</v>
      </c>
      <c r="C136" s="48">
        <f>IF(789.98279="","-",789.98279)</f>
        <v>789.98279000000002</v>
      </c>
      <c r="D136" s="80">
        <f>IF(OR(983.52684="",789.98279="",983.52684=0),"-",789.98279/983.52684*100)</f>
        <v>80.321426713682769</v>
      </c>
    </row>
    <row r="137" spans="1:4" x14ac:dyDescent="0.25">
      <c r="A137" s="47" t="s">
        <v>136</v>
      </c>
      <c r="B137" s="48">
        <f>IF(274.91213="","-",274.91213)</f>
        <v>274.91212999999999</v>
      </c>
      <c r="C137" s="48">
        <f>IF(820.0614="","-",820.0614)</f>
        <v>820.06140000000005</v>
      </c>
      <c r="D137" s="80" t="s">
        <v>309</v>
      </c>
    </row>
    <row r="138" spans="1:4" x14ac:dyDescent="0.25">
      <c r="A138" s="47" t="s">
        <v>135</v>
      </c>
      <c r="B138" s="48">
        <f>IF(-145.57731="","-",-145.57731)</f>
        <v>-145.57731000000001</v>
      </c>
      <c r="C138" s="48">
        <f>IF(1871.12806="","-",1871.12806)</f>
        <v>1871.12806</v>
      </c>
      <c r="D138" s="80" t="s">
        <v>22</v>
      </c>
    </row>
    <row r="139" spans="1:4" x14ac:dyDescent="0.25">
      <c r="A139" s="47" t="s">
        <v>68</v>
      </c>
      <c r="B139" s="48">
        <f>IF(-1239.62662="","-",-1239.62662)</f>
        <v>-1239.62662</v>
      </c>
      <c r="C139" s="48">
        <f>IF(2242.02227="","-",2242.02227)</f>
        <v>2242.0222699999999</v>
      </c>
      <c r="D139" s="80" t="s">
        <v>22</v>
      </c>
    </row>
    <row r="140" spans="1:4" x14ac:dyDescent="0.25">
      <c r="A140" s="47" t="s">
        <v>131</v>
      </c>
      <c r="B140" s="48">
        <f>IF(8943.96455="","-",8943.96455)</f>
        <v>8943.9645500000006</v>
      </c>
      <c r="C140" s="48">
        <f>IF(3273.00941="","-",3273.00941)</f>
        <v>3273.0094100000001</v>
      </c>
      <c r="D140" s="80">
        <f>IF(OR(8943.96455="",3273.00941="",8943.96455=0),"-",3273.00941/8943.96455*100)</f>
        <v>36.594615192208025</v>
      </c>
    </row>
    <row r="141" spans="1:4" x14ac:dyDescent="0.25">
      <c r="A141" s="47" t="s">
        <v>58</v>
      </c>
      <c r="B141" s="48">
        <f>IF(7356.67121="","-",7356.67121)</f>
        <v>7356.6712100000004</v>
      </c>
      <c r="C141" s="48">
        <f>IF(4928.3009="","-",4928.3009)</f>
        <v>4928.3009000000002</v>
      </c>
      <c r="D141" s="80">
        <f>IF(OR(7356.67121="",4928.3009="",7356.67121=0),"-",4928.3009/7356.67121*100)</f>
        <v>66.990908786312332</v>
      </c>
    </row>
    <row r="142" spans="1:4" x14ac:dyDescent="0.25">
      <c r="A142" s="47" t="s">
        <v>61</v>
      </c>
      <c r="B142" s="48">
        <f>IF(9214.23333="","-",9214.23333)</f>
        <v>9214.2333299999991</v>
      </c>
      <c r="C142" s="48">
        <f>IF(9406.862="","-",9406.862)</f>
        <v>9406.8619999999992</v>
      </c>
      <c r="D142" s="80">
        <f>IF(OR(9214.23333="",9406.862="",9214.23333=0),"-",9406.862/9214.23333*100)</f>
        <v>102.09055559047798</v>
      </c>
    </row>
    <row r="143" spans="1:4" x14ac:dyDescent="0.25">
      <c r="A143" s="49" t="s">
        <v>59</v>
      </c>
      <c r="B143" s="50">
        <f>IF(11040.53228="","-",11040.53228)</f>
        <v>11040.532279999999</v>
      </c>
      <c r="C143" s="50">
        <f>IF(9919.5026="","-",9919.5026)</f>
        <v>9919.5025999999998</v>
      </c>
      <c r="D143" s="81">
        <f>IF(OR(11040.53228="",9919.5026="",11040.53228=0),"-",9919.5026/11040.53228*100)</f>
        <v>89.846235203435327</v>
      </c>
    </row>
    <row r="144" spans="1:4" x14ac:dyDescent="0.25">
      <c r="A144" s="51" t="s">
        <v>130</v>
      </c>
      <c r="B144" s="52">
        <f>IF(29894.40154="","-",29894.40154)</f>
        <v>29894.401539999999</v>
      </c>
      <c r="C144" s="52">
        <f>IF(24076.39697="","-",24076.39697)</f>
        <v>24076.396970000002</v>
      </c>
      <c r="D144" s="82">
        <f>IF(OR(29894.40154="",24076.39697="",29894.40154=0),"-",24076.39697/29894.40154*100)</f>
        <v>80.53814670879008</v>
      </c>
    </row>
    <row r="145" spans="1:1" x14ac:dyDescent="0.25">
      <c r="A145" s="53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A40" sqref="A40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5" t="s">
        <v>250</v>
      </c>
      <c r="B1" s="85"/>
      <c r="C1" s="85"/>
      <c r="D1" s="85"/>
      <c r="E1" s="85"/>
    </row>
    <row r="2" spans="1:6" x14ac:dyDescent="0.25">
      <c r="A2" s="9"/>
      <c r="B2" s="9"/>
      <c r="C2" s="9"/>
      <c r="D2" s="9"/>
      <c r="E2" s="9"/>
    </row>
    <row r="3" spans="1:6" x14ac:dyDescent="0.25">
      <c r="A3" s="86"/>
      <c r="B3" s="89" t="s">
        <v>252</v>
      </c>
      <c r="C3" s="90"/>
      <c r="D3" s="89" t="s">
        <v>109</v>
      </c>
      <c r="E3" s="105"/>
      <c r="F3" s="1"/>
    </row>
    <row r="4" spans="1:6" ht="18" customHeight="1" x14ac:dyDescent="0.25">
      <c r="A4" s="87"/>
      <c r="B4" s="93" t="s">
        <v>123</v>
      </c>
      <c r="C4" s="95" t="s">
        <v>253</v>
      </c>
      <c r="D4" s="97" t="s">
        <v>254</v>
      </c>
      <c r="E4" s="89"/>
      <c r="F4" s="1"/>
    </row>
    <row r="5" spans="1:6" ht="22.5" customHeight="1" x14ac:dyDescent="0.25">
      <c r="A5" s="88"/>
      <c r="B5" s="94"/>
      <c r="C5" s="96"/>
      <c r="D5" s="23">
        <v>2019</v>
      </c>
      <c r="E5" s="22">
        <v>2020</v>
      </c>
      <c r="F5" s="1"/>
    </row>
    <row r="6" spans="1:6" ht="15.75" customHeight="1" x14ac:dyDescent="0.25">
      <c r="A6" s="38" t="s">
        <v>156</v>
      </c>
      <c r="B6" s="58">
        <f>IF(1544947.98319="","-",1544947.98319)</f>
        <v>1544947.9831900001</v>
      </c>
      <c r="C6" s="59">
        <v>86.445966686596037</v>
      </c>
      <c r="D6" s="60">
        <v>100</v>
      </c>
      <c r="E6" s="60">
        <v>100</v>
      </c>
    </row>
    <row r="7" spans="1:6" ht="15.75" customHeight="1" x14ac:dyDescent="0.25">
      <c r="A7" s="39" t="s">
        <v>138</v>
      </c>
      <c r="B7" s="31"/>
      <c r="C7" s="61"/>
      <c r="D7" s="31"/>
      <c r="E7" s="31"/>
    </row>
    <row r="8" spans="1:6" x14ac:dyDescent="0.25">
      <c r="A8" s="40" t="s">
        <v>113</v>
      </c>
      <c r="B8" s="48">
        <f>IF(122010.55397="","-",122010.55397)</f>
        <v>122010.55396999999</v>
      </c>
      <c r="C8" s="62">
        <v>101.070016129366</v>
      </c>
      <c r="D8" s="48">
        <f>IF(120718.84288="","-",120718.84288/1787183.4192*100)</f>
        <v>6.7546980115805679</v>
      </c>
      <c r="E8" s="48">
        <f>IF(122010.55397="","-",122010.55397/1544947.98319*100)</f>
        <v>7.8973891223232826</v>
      </c>
    </row>
    <row r="9" spans="1:6" x14ac:dyDescent="0.25">
      <c r="A9" s="40" t="s">
        <v>114</v>
      </c>
      <c r="B9" s="48">
        <f>IF(52224.82386="","-",52224.82386)</f>
        <v>52224.823859999997</v>
      </c>
      <c r="C9" s="62">
        <v>64.578106523533577</v>
      </c>
      <c r="D9" s="48">
        <f>IF(80870.78837="","-",80870.78837/1787183.4192*100)</f>
        <v>4.5250413304640178</v>
      </c>
      <c r="E9" s="48">
        <f>IF(52224.82386="","-",52224.82386/1544947.98319*100)</f>
        <v>3.3803613084866764</v>
      </c>
    </row>
    <row r="10" spans="1:6" x14ac:dyDescent="0.25">
      <c r="A10" s="40" t="s">
        <v>115</v>
      </c>
      <c r="B10" s="48">
        <f>IF(1334777.34254="","-",1334777.34254)</f>
        <v>1334777.3425400001</v>
      </c>
      <c r="C10" s="62">
        <v>85.840689887385807</v>
      </c>
      <c r="D10" s="48">
        <f>IF(1554947.12856="","-",1554947.12856/1787183.4192*100)</f>
        <v>87.005458525126869</v>
      </c>
      <c r="E10" s="48">
        <f>IF(1334777.34254="","-",1334777.34254/1544947.98319*100)</f>
        <v>86.396264279652911</v>
      </c>
    </row>
    <row r="11" spans="1:6" x14ac:dyDescent="0.25">
      <c r="A11" s="40" t="s">
        <v>116</v>
      </c>
      <c r="B11" s="48">
        <f>IF(35159.24881="","-",35159.24881)</f>
        <v>35159.248809999997</v>
      </c>
      <c r="C11" s="62">
        <v>120.79122859147799</v>
      </c>
      <c r="D11" s="48">
        <f>IF(29107.45194="","-",29107.45194/1787183.4192*100)</f>
        <v>1.6286773717400209</v>
      </c>
      <c r="E11" s="48">
        <f>IF(35159.24881="","-",35159.24881/1544947.98319*100)</f>
        <v>2.2757561544177931</v>
      </c>
    </row>
    <row r="12" spans="1:6" x14ac:dyDescent="0.25">
      <c r="A12" s="40" t="s">
        <v>117</v>
      </c>
      <c r="B12" s="48">
        <f>IF(743.44888="","-",743.44888)</f>
        <v>743.44888000000003</v>
      </c>
      <c r="C12" s="62">
        <v>71.852666757103208</v>
      </c>
      <c r="D12" s="48">
        <f>IF(1034.68516="","-",1034.68516/1787183.4192*100)</f>
        <v>5.7894738104897925E-2</v>
      </c>
      <c r="E12" s="48">
        <f>IF(743.44888="","-",743.44888/1544947.98319*100)</f>
        <v>4.8121288748177192E-2</v>
      </c>
    </row>
    <row r="13" spans="1:6" x14ac:dyDescent="0.25">
      <c r="A13" s="40" t="s">
        <v>118</v>
      </c>
      <c r="B13" s="48">
        <f>IF(4.98062="","-",4.98062)</f>
        <v>4.98062</v>
      </c>
      <c r="C13" s="62">
        <v>102.19738054346645</v>
      </c>
      <c r="D13" s="48">
        <f>IF(4.87353="","-",4.87353/1787183.4192*100)</f>
        <v>2.726933311736714E-4</v>
      </c>
      <c r="E13" s="48">
        <f>IF(4.98062="","-",4.98062/1544947.98319*100)</f>
        <v>3.2238108041126689E-4</v>
      </c>
    </row>
    <row r="14" spans="1:6" x14ac:dyDescent="0.25">
      <c r="A14" s="40" t="s">
        <v>119</v>
      </c>
      <c r="B14" s="48">
        <f>IF(27.58451="","-",27.58451)</f>
        <v>27.584510000000002</v>
      </c>
      <c r="C14" s="62">
        <v>5.5207802377013806</v>
      </c>
      <c r="D14" s="48">
        <f>IF(499.64876="","-",499.64876/1787183.4192*100)</f>
        <v>2.7957329652468391E-2</v>
      </c>
      <c r="E14" s="48">
        <f>IF(27.58451="","-",27.58451/1544947.98319*100)</f>
        <v>1.7854652907500265E-3</v>
      </c>
    </row>
    <row r="15" spans="1:6" x14ac:dyDescent="0.25">
      <c r="A15" s="36" t="s">
        <v>168</v>
      </c>
      <c r="B15" s="46">
        <f>IF(1009126.8335="","-",1009126.8335)</f>
        <v>1009126.8334999999</v>
      </c>
      <c r="C15" s="63">
        <v>88.669822400884371</v>
      </c>
      <c r="D15" s="46">
        <f>IF(1138072.46499="","-",1138072.46499/1787183.4192*100)</f>
        <v>63.679667837307797</v>
      </c>
      <c r="E15" s="46">
        <f>IF(1009126.8335="","-",1009126.8335/1544947.98319*100)</f>
        <v>65.317851764585654</v>
      </c>
    </row>
    <row r="16" spans="1:6" x14ac:dyDescent="0.25">
      <c r="A16" s="39" t="s">
        <v>138</v>
      </c>
      <c r="B16" s="32"/>
      <c r="C16" s="63"/>
      <c r="D16" s="32"/>
      <c r="E16" s="32"/>
    </row>
    <row r="17" spans="1:11" x14ac:dyDescent="0.25">
      <c r="A17" s="40" t="s">
        <v>113</v>
      </c>
      <c r="B17" s="48">
        <f>IF(57438.56173="","-",57438.56173)</f>
        <v>57438.561730000001</v>
      </c>
      <c r="C17" s="62">
        <v>118.6088964036197</v>
      </c>
      <c r="D17" s="48">
        <f>IF(48426.85791="","-",48426.85791/1787183.4192*100)</f>
        <v>2.7096747535671186</v>
      </c>
      <c r="E17" s="48">
        <f>IF(57438.56173="","-",57438.56173/1544947.98319*100)</f>
        <v>3.717831432188492</v>
      </c>
      <c r="K17" s="25"/>
    </row>
    <row r="18" spans="1:11" x14ac:dyDescent="0.25">
      <c r="A18" s="40" t="s">
        <v>114</v>
      </c>
      <c r="B18" s="48">
        <f>IF(11527.3491="","-",11527.3491)</f>
        <v>11527.349099999999</v>
      </c>
      <c r="C18" s="62">
        <v>60.462755431479756</v>
      </c>
      <c r="D18" s="48">
        <f>IF(19065.20637="","-",19065.20637/1787183.4192*100)</f>
        <v>1.0667739060904109</v>
      </c>
      <c r="E18" s="48">
        <f>IF(11527.3491="","-",11527.3491/1544947.98319*100)</f>
        <v>0.74613185851075658</v>
      </c>
    </row>
    <row r="19" spans="1:11" x14ac:dyDescent="0.25">
      <c r="A19" s="40" t="s">
        <v>115</v>
      </c>
      <c r="B19" s="48">
        <f>IF(918513.53381="","-",918513.53381)</f>
        <v>918513.53381000005</v>
      </c>
      <c r="C19" s="62">
        <v>86.113818500089437</v>
      </c>
      <c r="D19" s="48">
        <f>IF(1066627.34252="","-",1066627.34252/1787183.4192*100)</f>
        <v>59.682029894696328</v>
      </c>
      <c r="E19" s="48">
        <f>IF(918513.53381="","-",918513.53381/1544947.98319*100)</f>
        <v>59.452715806875155</v>
      </c>
    </row>
    <row r="20" spans="1:11" x14ac:dyDescent="0.25">
      <c r="A20" s="40" t="s">
        <v>116</v>
      </c>
      <c r="B20" s="48">
        <f>IF(21303.34556="","-",21303.34556)</f>
        <v>21303.345560000002</v>
      </c>
      <c r="C20" s="62" t="s">
        <v>287</v>
      </c>
      <c r="D20" s="48">
        <f>IF(3199.7324="","-",3199.7324/1787183.4192*100)</f>
        <v>0.179037717428707</v>
      </c>
      <c r="E20" s="48">
        <f>IF(21303.34556="","-",21303.34556/1544947.98319*100)</f>
        <v>1.378903742507432</v>
      </c>
    </row>
    <row r="21" spans="1:11" x14ac:dyDescent="0.25">
      <c r="A21" s="40" t="s">
        <v>117</v>
      </c>
      <c r="B21" s="48">
        <f>IF(331.89312="","-",331.89312)</f>
        <v>331.89312000000001</v>
      </c>
      <c r="C21" s="64">
        <v>86.992567131791674</v>
      </c>
      <c r="D21" s="48">
        <f>IF(381.51894="","-",381.51894/1787183.4192*100)</f>
        <v>2.1347497738692094E-2</v>
      </c>
      <c r="E21" s="48">
        <f>IF(331.89312="","-",331.89312/1544947.98319*100)</f>
        <v>2.1482478608419484E-2</v>
      </c>
    </row>
    <row r="22" spans="1:11" x14ac:dyDescent="0.25">
      <c r="A22" s="35" t="s">
        <v>119</v>
      </c>
      <c r="B22" s="48">
        <f>IF(12.15018="","-",12.15018)</f>
        <v>12.150180000000001</v>
      </c>
      <c r="C22" s="64">
        <v>3.2678741663850466</v>
      </c>
      <c r="D22" s="48">
        <f>IF(371.80685="","-",371.80685/1787183.4192*100)</f>
        <v>2.0804067786530413E-2</v>
      </c>
      <c r="E22" s="48">
        <f>IF(12.15018="","-",12.15018/1544947.98319*100)</f>
        <v>7.864458954088781E-4</v>
      </c>
    </row>
    <row r="23" spans="1:11" x14ac:dyDescent="0.25">
      <c r="A23" s="36" t="s">
        <v>169</v>
      </c>
      <c r="B23" s="46">
        <f>IF(247037.08184="","-",247037.08184)</f>
        <v>247037.08184</v>
      </c>
      <c r="C23" s="63">
        <v>94.441980191824229</v>
      </c>
      <c r="D23" s="46">
        <f>IF(261575.49994="","-",261575.49994/1787183.4192*100)</f>
        <v>14.636186590019367</v>
      </c>
      <c r="E23" s="46">
        <f>IF(247037.08184="","-",247037.08184/1544947.98319*100)</f>
        <v>15.989993483788314</v>
      </c>
    </row>
    <row r="24" spans="1:11" x14ac:dyDescent="0.25">
      <c r="A24" s="39" t="s">
        <v>138</v>
      </c>
      <c r="B24" s="32"/>
      <c r="C24" s="63"/>
      <c r="D24" s="32"/>
      <c r="E24" s="32"/>
    </row>
    <row r="25" spans="1:11" x14ac:dyDescent="0.25">
      <c r="A25" s="40" t="s">
        <v>113</v>
      </c>
      <c r="B25" s="48">
        <f>IF(1668.99619="","-",1668.99619)</f>
        <v>1668.9961900000001</v>
      </c>
      <c r="C25" s="62">
        <v>37.579922449408649</v>
      </c>
      <c r="D25" s="48">
        <f>IF(4441.19115="","-",4441.19115/1787183.4192*100)</f>
        <v>0.24850225792649858</v>
      </c>
      <c r="E25" s="48">
        <f>IF(1668.99619="","-",1668.99619/1544947.98319*100)</f>
        <v>0.10802928047803045</v>
      </c>
    </row>
    <row r="26" spans="1:11" x14ac:dyDescent="0.25">
      <c r="A26" s="40" t="s">
        <v>114</v>
      </c>
      <c r="B26" s="48">
        <f>IF(4720.06909="","-",4720.06909)</f>
        <v>4720.06909</v>
      </c>
      <c r="C26" s="62">
        <v>44.606629096168092</v>
      </c>
      <c r="D26" s="48">
        <f>IF(10581.54177="","-",10581.54177/1787183.4192*100)</f>
        <v>0.5920792268057542</v>
      </c>
      <c r="E26" s="48">
        <f>IF(4720.06909="","-",4720.06909/1544947.98319*100)</f>
        <v>0.30551637604354986</v>
      </c>
      <c r="F26" s="1"/>
      <c r="G26" s="1"/>
    </row>
    <row r="27" spans="1:11" x14ac:dyDescent="0.25">
      <c r="A27" s="40" t="s">
        <v>115</v>
      </c>
      <c r="B27" s="48">
        <f>IF(234591.01843="","-",234591.01843)</f>
        <v>234591.01843</v>
      </c>
      <c r="C27" s="65">
        <v>97.908358751761213</v>
      </c>
      <c r="D27" s="48">
        <f>IF(239602.64621="","-",239602.64621/1787183.4192*100)</f>
        <v>13.40671828285279</v>
      </c>
      <c r="E27" s="48">
        <f>IF(234591.01843="","-",234591.01843/1544947.98319*100)</f>
        <v>15.184395913810494</v>
      </c>
      <c r="F27" s="12"/>
      <c r="G27" s="12"/>
    </row>
    <row r="28" spans="1:11" x14ac:dyDescent="0.25">
      <c r="A28" s="40" t="s">
        <v>116</v>
      </c>
      <c r="B28" s="48">
        <f>IF(5939.99771="","-",5939.99771)</f>
        <v>5939.9977099999996</v>
      </c>
      <c r="C28" s="65">
        <v>90.817564045988917</v>
      </c>
      <c r="D28" s="48">
        <f>IF(6540.58251="","-",6540.58251/1787183.4192*100)</f>
        <v>0.36597153038314179</v>
      </c>
      <c r="E28" s="48">
        <f>IF(5939.99771="","-",5939.99771/1544947.98319*100)</f>
        <v>0.38447881576796683</v>
      </c>
    </row>
    <row r="29" spans="1:11" x14ac:dyDescent="0.25">
      <c r="A29" s="40" t="s">
        <v>117</v>
      </c>
      <c r="B29" s="48">
        <f>IF(96.58547="","-",96.58547)</f>
        <v>96.585470000000001</v>
      </c>
      <c r="C29" s="65">
        <v>24.796829882508241</v>
      </c>
      <c r="D29" s="48">
        <f>IF(389.50733="","-",389.50733/1787183.4192*100)</f>
        <v>2.1794479839923532E-2</v>
      </c>
      <c r="E29" s="48">
        <f>IF(96.58547="","-",96.58547/1544947.98319*100)</f>
        <v>6.251697212521736E-3</v>
      </c>
    </row>
    <row r="30" spans="1:11" x14ac:dyDescent="0.25">
      <c r="A30" s="40" t="s">
        <v>118</v>
      </c>
      <c r="B30" s="48">
        <f>IF(4.98062="","-",4.98062)</f>
        <v>4.98062</v>
      </c>
      <c r="C30" s="65">
        <v>102.19738054346645</v>
      </c>
      <c r="D30" s="48">
        <f>IF(4.87353="","-",4.87353/1787183.4192*100)</f>
        <v>2.726933311736714E-4</v>
      </c>
      <c r="E30" s="48">
        <f>IF(4.98062="","-",4.98062/1544947.98319*100)</f>
        <v>3.2238108041126689E-4</v>
      </c>
    </row>
    <row r="31" spans="1:11" x14ac:dyDescent="0.25">
      <c r="A31" s="40" t="s">
        <v>119</v>
      </c>
      <c r="B31" s="48">
        <f>IF(15.43433="","-",15.43433)</f>
        <v>15.434329999999999</v>
      </c>
      <c r="C31" s="65">
        <v>101.82675966390103</v>
      </c>
      <c r="D31" s="48">
        <f>IF(15.15744="","-",15.15744/1787183.4192*100)</f>
        <v>8.481188800859036E-4</v>
      </c>
      <c r="E31" s="48">
        <f>IF(15.43433="","-",15.43433/1544947.98319*100)</f>
        <v>9.9901939534114792E-4</v>
      </c>
    </row>
    <row r="32" spans="1:11" x14ac:dyDescent="0.25">
      <c r="A32" s="36" t="s">
        <v>170</v>
      </c>
      <c r="B32" s="46">
        <f>IF(288784.06785="","-",288784.06785)</f>
        <v>288784.06784999999</v>
      </c>
      <c r="C32" s="63">
        <v>74.518102709849387</v>
      </c>
      <c r="D32" s="46">
        <f>IF(387535.45427="","-",387535.45427/1787183.4192*100)</f>
        <v>21.684145572672847</v>
      </c>
      <c r="E32" s="46">
        <f>IF(288784.06785="","-",288784.06785/1544947.98319*100)</f>
        <v>18.69215475162602</v>
      </c>
    </row>
    <row r="33" spans="1:5" x14ac:dyDescent="0.25">
      <c r="A33" s="39" t="s">
        <v>138</v>
      </c>
      <c r="B33" s="32"/>
      <c r="C33" s="63"/>
      <c r="D33" s="32"/>
      <c r="E33" s="32"/>
    </row>
    <row r="34" spans="1:5" x14ac:dyDescent="0.25">
      <c r="A34" s="40" t="s">
        <v>113</v>
      </c>
      <c r="B34" s="48">
        <f>IF(62902.99605="","-",62902.99605)</f>
        <v>62902.996050000002</v>
      </c>
      <c r="C34" s="62">
        <v>92.707826259003085</v>
      </c>
      <c r="D34" s="48">
        <f>IF(67850.79382="","-",67850.79382/1787183.4192*100)</f>
        <v>3.7965210000869511</v>
      </c>
      <c r="E34" s="48">
        <f>IF(62902.99605="","-",62902.99605/1544947.98319*100)</f>
        <v>4.0715284096567608</v>
      </c>
    </row>
    <row r="35" spans="1:5" x14ac:dyDescent="0.25">
      <c r="A35" s="40" t="s">
        <v>114</v>
      </c>
      <c r="B35" s="48">
        <f>IF(35977.40567="","-",35977.40567)</f>
        <v>35977.40567</v>
      </c>
      <c r="C35" s="62">
        <v>70.23539242211001</v>
      </c>
      <c r="D35" s="48">
        <f>IF(51224.04023="","-",51224.04023/1787183.4192*100)</f>
        <v>2.8661881975678529</v>
      </c>
      <c r="E35" s="48">
        <f>IF(35977.40567="","-",35977.40567/1544947.98319*100)</f>
        <v>2.3287130739323696</v>
      </c>
    </row>
    <row r="36" spans="1:5" x14ac:dyDescent="0.25">
      <c r="A36" s="40" t="s">
        <v>115</v>
      </c>
      <c r="B36" s="48">
        <f>IF(181672.7903="","-",181672.7903)</f>
        <v>181672.79029999999</v>
      </c>
      <c r="C36" s="62">
        <v>73.043936748458378</v>
      </c>
      <c r="D36" s="48">
        <f>IF(248717.13983="","-",248717.13983/1787183.4192*100)</f>
        <v>13.916710347577737</v>
      </c>
      <c r="E36" s="48">
        <f>IF(181672.7903="","-",181672.7903/1544947.98319*100)</f>
        <v>11.759152558967262</v>
      </c>
    </row>
    <row r="37" spans="1:5" x14ac:dyDescent="0.25">
      <c r="A37" s="40" t="s">
        <v>116</v>
      </c>
      <c r="B37" s="48">
        <f>IF(7915.90554="","-",7915.90554)</f>
        <v>7915.9055399999997</v>
      </c>
      <c r="C37" s="64">
        <v>40.872874125577454</v>
      </c>
      <c r="D37" s="48">
        <f>IF(19367.13703="","-",19367.13703/1787183.4192*100)</f>
        <v>1.0836681239281725</v>
      </c>
      <c r="E37" s="48">
        <f>IF(7915.90554="","-",7915.90554/1544947.98319*100)</f>
        <v>0.51237359614239453</v>
      </c>
    </row>
    <row r="38" spans="1:5" x14ac:dyDescent="0.25">
      <c r="A38" s="35" t="s">
        <v>117</v>
      </c>
      <c r="B38" s="48">
        <f>IF(314.97029="","-",314.97029)</f>
        <v>314.97028999999998</v>
      </c>
      <c r="C38" s="64">
        <v>119.46128196170437</v>
      </c>
      <c r="D38" s="48">
        <f>IF(263.65889="","-",263.65889/1787183.4192*100)</f>
        <v>1.4752760526282304E-2</v>
      </c>
      <c r="E38" s="48">
        <f>IF(314.97029="","-",314.97029/1544947.98319*100)</f>
        <v>2.0387112927235974E-2</v>
      </c>
    </row>
    <row r="39" spans="1:5" x14ac:dyDescent="0.25">
      <c r="A39" s="41" t="s">
        <v>119</v>
      </c>
      <c r="B39" s="52" t="s">
        <v>150</v>
      </c>
      <c r="C39" s="66" t="s">
        <v>22</v>
      </c>
      <c r="D39" s="52">
        <f>IF(112.68447="","-",112.68447/1787183.4192*100)</f>
        <v>6.3051429858520707E-3</v>
      </c>
      <c r="E39" s="52" t="s">
        <v>150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L26" sqref="L26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5" t="s">
        <v>251</v>
      </c>
      <c r="B1" s="85"/>
      <c r="C1" s="85"/>
      <c r="D1" s="85"/>
      <c r="E1" s="85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6"/>
      <c r="B3" s="89" t="s">
        <v>252</v>
      </c>
      <c r="C3" s="90"/>
      <c r="D3" s="89" t="s">
        <v>109</v>
      </c>
      <c r="E3" s="105"/>
      <c r="F3" s="1"/>
    </row>
    <row r="4" spans="1:6" ht="20.25" customHeight="1" x14ac:dyDescent="0.25">
      <c r="A4" s="87"/>
      <c r="B4" s="93" t="s">
        <v>123</v>
      </c>
      <c r="C4" s="95" t="s">
        <v>253</v>
      </c>
      <c r="D4" s="97" t="s">
        <v>254</v>
      </c>
      <c r="E4" s="89"/>
      <c r="F4" s="1"/>
    </row>
    <row r="5" spans="1:6" ht="20.25" customHeight="1" x14ac:dyDescent="0.25">
      <c r="A5" s="88"/>
      <c r="B5" s="94"/>
      <c r="C5" s="96"/>
      <c r="D5" s="30">
        <v>2019</v>
      </c>
      <c r="E5" s="29">
        <v>2020</v>
      </c>
      <c r="F5" s="1"/>
    </row>
    <row r="6" spans="1:6" ht="15.75" customHeight="1" x14ac:dyDescent="0.25">
      <c r="A6" s="38" t="s">
        <v>139</v>
      </c>
      <c r="B6" s="67">
        <f>IF(3323417.92643="","-",3323417.92643)</f>
        <v>3323417.92643</v>
      </c>
      <c r="C6" s="68">
        <v>88.115567613152692</v>
      </c>
      <c r="D6" s="60">
        <v>100</v>
      </c>
      <c r="E6" s="60">
        <v>100</v>
      </c>
    </row>
    <row r="7" spans="1:6" ht="15.75" customHeight="1" x14ac:dyDescent="0.25">
      <c r="A7" s="39" t="s">
        <v>138</v>
      </c>
      <c r="B7" s="31"/>
      <c r="C7" s="61"/>
      <c r="D7" s="31"/>
      <c r="E7" s="31"/>
    </row>
    <row r="8" spans="1:6" x14ac:dyDescent="0.25">
      <c r="A8" s="40" t="s">
        <v>113</v>
      </c>
      <c r="B8" s="48">
        <f>IF(52858.32134="","-",52858.32134)</f>
        <v>52858.321340000002</v>
      </c>
      <c r="C8" s="62">
        <v>67.958588601058494</v>
      </c>
      <c r="D8" s="48">
        <f>IF(77780.19295="","-",77780.19295/3771658.08092*100)</f>
        <v>2.0622281044899884</v>
      </c>
      <c r="E8" s="48">
        <f>IF(52858.32134="","-",52858.32134/3323417.92643*100)</f>
        <v>1.5904807192509842</v>
      </c>
    </row>
    <row r="9" spans="1:6" x14ac:dyDescent="0.25">
      <c r="A9" s="40" t="s">
        <v>114</v>
      </c>
      <c r="B9" s="48">
        <f>IF(177695.9995="","-",177695.9995)</f>
        <v>177695.99950000001</v>
      </c>
      <c r="C9" s="62">
        <v>98.40600153359874</v>
      </c>
      <c r="D9" s="48">
        <f>IF(180574.3519="","-",180574.3519/3771658.08092*100)</f>
        <v>4.7876649480366869</v>
      </c>
      <c r="E9" s="48">
        <f>IF(177695.9995="","-",177695.9995/3323417.92643*100)</f>
        <v>5.3467846486246833</v>
      </c>
    </row>
    <row r="10" spans="1:6" x14ac:dyDescent="0.25">
      <c r="A10" s="40" t="s">
        <v>115</v>
      </c>
      <c r="B10" s="48">
        <f>IF(2871698.29005="","-",2871698.29005)</f>
        <v>2871698.29005</v>
      </c>
      <c r="C10" s="62">
        <v>89.92336002370223</v>
      </c>
      <c r="D10" s="48">
        <f>IF(3193495.31567="","-",3193495.31567/3771658.08092*100)</f>
        <v>84.670859530592125</v>
      </c>
      <c r="E10" s="48">
        <f>IF(2871698.29005="","-",2871698.29005/3323417.92643*100)</f>
        <v>86.407979785279807</v>
      </c>
    </row>
    <row r="11" spans="1:6" x14ac:dyDescent="0.25">
      <c r="A11" s="40" t="s">
        <v>116</v>
      </c>
      <c r="B11" s="48">
        <f>IF(75793.92697="","-",75793.92697)</f>
        <v>75793.92697</v>
      </c>
      <c r="C11" s="62">
        <v>75.64904194286612</v>
      </c>
      <c r="D11" s="48">
        <f>IF(100191.52262="","-",100191.52262/3771658.08092*100)</f>
        <v>2.6564317462085754</v>
      </c>
      <c r="E11" s="48">
        <f>IF(75793.92697="","-",75793.92697/3323417.92643*100)</f>
        <v>2.2806017373631216</v>
      </c>
    </row>
    <row r="12" spans="1:6" x14ac:dyDescent="0.25">
      <c r="A12" s="40" t="s">
        <v>117</v>
      </c>
      <c r="B12" s="48">
        <f>IF(9047.04605="","-",9047.04605)</f>
        <v>9047.0460500000008</v>
      </c>
      <c r="C12" s="62">
        <v>130.18494051613848</v>
      </c>
      <c r="D12" s="48">
        <f>IF(6949.37987="","-",6949.37987/3771658.08092*100)</f>
        <v>0.18425264753333301</v>
      </c>
      <c r="E12" s="48">
        <f>IF(9047.04605="","-",9047.04605/3323417.92643*100)</f>
        <v>0.27222113650082808</v>
      </c>
    </row>
    <row r="13" spans="1:6" x14ac:dyDescent="0.25">
      <c r="A13" s="40" t="s">
        <v>118</v>
      </c>
      <c r="B13" s="48">
        <f>IF(119808.92721="","-",119808.92721)</f>
        <v>119808.92720999999</v>
      </c>
      <c r="C13" s="62">
        <v>64.218891411251022</v>
      </c>
      <c r="D13" s="48">
        <f>IF(186563.36878="","-",186563.36878/3771658.08092*100)</f>
        <v>4.9464549749030429</v>
      </c>
      <c r="E13" s="48">
        <f>IF(119808.92721="","-",119808.92721/3323417.92643*100)</f>
        <v>3.604991302995654</v>
      </c>
    </row>
    <row r="14" spans="1:6" x14ac:dyDescent="0.25">
      <c r="A14" s="40" t="s">
        <v>119</v>
      </c>
      <c r="B14" s="48">
        <f>IF(16515.41531="","-",16515.41531)</f>
        <v>16515.41531</v>
      </c>
      <c r="C14" s="62">
        <v>63.26788037990633</v>
      </c>
      <c r="D14" s="48">
        <f>IF(26103.94913="","-",26103.94913/3771658.08092*100)</f>
        <v>0.69210804823624428</v>
      </c>
      <c r="E14" s="48">
        <f>IF(16515.41531="","-",16515.41531/3323417.92643*100)</f>
        <v>0.49694066998491465</v>
      </c>
    </row>
    <row r="15" spans="1:6" x14ac:dyDescent="0.25">
      <c r="A15" s="36" t="s">
        <v>289</v>
      </c>
      <c r="B15" s="69">
        <f>IF(1520894.4416="","-",1520894.4416)</f>
        <v>1520894.4416</v>
      </c>
      <c r="C15" s="70">
        <v>82.26401291687641</v>
      </c>
      <c r="D15" s="46">
        <f>IF(1848796.80394="","-",1848796.80394/3771658.08092*100)</f>
        <v>49.018144388343728</v>
      </c>
      <c r="E15" s="46">
        <f>IF(1520894.4416="","-",1520894.4416/3323417.92643*100)</f>
        <v>45.762960761114321</v>
      </c>
    </row>
    <row r="16" spans="1:6" x14ac:dyDescent="0.25">
      <c r="A16" s="39" t="s">
        <v>138</v>
      </c>
      <c r="B16" s="31"/>
      <c r="C16" s="71"/>
      <c r="D16" s="31"/>
      <c r="E16" s="31"/>
    </row>
    <row r="17" spans="1:7" x14ac:dyDescent="0.25">
      <c r="A17" s="40" t="s">
        <v>113</v>
      </c>
      <c r="B17" s="72">
        <f>IF(17198.09149="","-",17198.09149)</f>
        <v>17198.091489999999</v>
      </c>
      <c r="C17" s="73">
        <v>30.865451128960402</v>
      </c>
      <c r="D17" s="48">
        <f>IF(55719.55329="","-",55719.55329/3771658.08092*100)</f>
        <v>1.4773224956915669</v>
      </c>
      <c r="E17" s="48">
        <f>IF(17198.09149="","-",17198.09149/3323417.92643*100)</f>
        <v>0.51748205825182236</v>
      </c>
    </row>
    <row r="18" spans="1:7" x14ac:dyDescent="0.25">
      <c r="A18" s="40" t="s">
        <v>114</v>
      </c>
      <c r="B18" s="72">
        <f>IF(15114.72603="","-",15114.72603)</f>
        <v>15114.72603</v>
      </c>
      <c r="C18" s="73">
        <v>56.963648721496376</v>
      </c>
      <c r="D18" s="48">
        <f>IF(26533.98504="","-",26533.98504/3771658.08092*100)</f>
        <v>0.70350982169432785</v>
      </c>
      <c r="E18" s="48">
        <f>IF(15114.72603="","-",15114.72603/3323417.92643*100)</f>
        <v>0.45479462302341761</v>
      </c>
    </row>
    <row r="19" spans="1:7" x14ac:dyDescent="0.25">
      <c r="A19" s="40" t="s">
        <v>115</v>
      </c>
      <c r="B19" s="72">
        <f>IF(1453373.73588="","-",1453373.73588)</f>
        <v>1453373.7358800001</v>
      </c>
      <c r="C19" s="73">
        <v>84.768578527693407</v>
      </c>
      <c r="D19" s="48">
        <f>IF(1714519.41406="","-",1714519.41406/3771658.08092*100)</f>
        <v>45.457975703931965</v>
      </c>
      <c r="E19" s="48">
        <f>IF(1453373.73588="","-",1453373.73588/3323417.92643*100)</f>
        <v>43.731296155136505</v>
      </c>
    </row>
    <row r="20" spans="1:7" x14ac:dyDescent="0.25">
      <c r="A20" s="40" t="s">
        <v>116</v>
      </c>
      <c r="B20" s="72">
        <f>IF(18278.87967="","-",18278.87967)</f>
        <v>18278.879669999998</v>
      </c>
      <c r="C20" s="73">
        <v>64.576699869209136</v>
      </c>
      <c r="D20" s="48">
        <f>IF(28305.68875="","-",28305.68875/3771658.08092*100)</f>
        <v>0.7504839554039201</v>
      </c>
      <c r="E20" s="48">
        <f>IF(18278.87967="","-",18278.87967/3323417.92643*100)</f>
        <v>0.55000243949562755</v>
      </c>
    </row>
    <row r="21" spans="1:7" x14ac:dyDescent="0.25">
      <c r="A21" s="40" t="s">
        <v>117</v>
      </c>
      <c r="B21" s="72">
        <f>IF(2552.51811="","-",2552.51811)</f>
        <v>2552.51811</v>
      </c>
      <c r="C21" s="73">
        <v>88.518705000197002</v>
      </c>
      <c r="D21" s="48">
        <f>IF(2883.59179="","-",2883.59179/3771658.08092*100)</f>
        <v>7.6454220614203219E-2</v>
      </c>
      <c r="E21" s="48">
        <f>IF(2552.51811="","-",2552.51811/3323417.92643*100)</f>
        <v>7.6804006191959831E-2</v>
      </c>
    </row>
    <row r="22" spans="1:7" x14ac:dyDescent="0.25">
      <c r="A22" s="40" t="s">
        <v>118</v>
      </c>
      <c r="B22" s="72">
        <f>IF(78.44742="","-",78.44742)</f>
        <v>78.447419999999994</v>
      </c>
      <c r="C22" s="73" t="s">
        <v>22</v>
      </c>
      <c r="D22" s="48" t="s">
        <v>288</v>
      </c>
      <c r="E22" s="48">
        <f>IF(78.44742="","-",78.44742/3323417.92643*100)</f>
        <v>2.360444028905743E-3</v>
      </c>
    </row>
    <row r="23" spans="1:7" x14ac:dyDescent="0.25">
      <c r="A23" s="40" t="s">
        <v>119</v>
      </c>
      <c r="B23" s="72">
        <f>IF(14298.043="","-",14298.043)</f>
        <v>14298.043</v>
      </c>
      <c r="C23" s="73">
        <v>68.626529402200546</v>
      </c>
      <c r="D23" s="48">
        <f>IF(20834.57101="","-",20834.57101/3771658.08092*100)</f>
        <v>0.55239819100775789</v>
      </c>
      <c r="E23" s="48">
        <f>IF(14298.043="","-",14298.043/3323417.92643*100)</f>
        <v>0.430221034986078</v>
      </c>
    </row>
    <row r="24" spans="1:7" x14ac:dyDescent="0.25">
      <c r="A24" s="36" t="s">
        <v>290</v>
      </c>
      <c r="B24" s="69">
        <f>IF(842909.29902="","-",842909.29902)</f>
        <v>842909.29902000003</v>
      </c>
      <c r="C24" s="74">
        <v>91.795671583309641</v>
      </c>
      <c r="D24" s="46">
        <f>IF(918245.14651="","-",918245.14651/3771658.08092*100)</f>
        <v>24.345927621467144</v>
      </c>
      <c r="E24" s="46">
        <f>IF(842909.29902="","-",842909.29902/3323417.92643*100)</f>
        <v>25.36272348766709</v>
      </c>
    </row>
    <row r="25" spans="1:7" x14ac:dyDescent="0.25">
      <c r="A25" s="40" t="s">
        <v>138</v>
      </c>
      <c r="B25" s="31"/>
      <c r="C25" s="75"/>
      <c r="D25" s="31"/>
      <c r="E25" s="31"/>
    </row>
    <row r="26" spans="1:7" x14ac:dyDescent="0.25">
      <c r="A26" s="40" t="s">
        <v>113</v>
      </c>
      <c r="B26" s="72">
        <f>IF(25836.09617="","-",25836.09617)</f>
        <v>25836.096170000001</v>
      </c>
      <c r="C26" s="62" t="s">
        <v>128</v>
      </c>
      <c r="D26" s="48">
        <f>IF(16870.67592="","-",16870.67592/3771658.08092*100)</f>
        <v>0.4473013077549392</v>
      </c>
      <c r="E26" s="48">
        <f>IF(25836.09617="","-",25836.09617/3323417.92643*100)</f>
        <v>0.77739534244352515</v>
      </c>
      <c r="F26" s="1"/>
      <c r="G26" s="1"/>
    </row>
    <row r="27" spans="1:7" x14ac:dyDescent="0.25">
      <c r="A27" s="40" t="s">
        <v>114</v>
      </c>
      <c r="B27" s="72">
        <f>IF(162365.8209="","-",162365.8209)</f>
        <v>162365.82089999999</v>
      </c>
      <c r="C27" s="62">
        <v>105.60602535532051</v>
      </c>
      <c r="D27" s="48">
        <f>IF(153746.73969="","-",153746.73969/3771658.08092*100)</f>
        <v>4.0763700312011677</v>
      </c>
      <c r="E27" s="48">
        <f>IF(162365.8209="","-",162365.8209/3323417.92643*100)</f>
        <v>4.8855071644393702</v>
      </c>
      <c r="F27" s="1"/>
      <c r="G27" s="1"/>
    </row>
    <row r="28" spans="1:7" x14ac:dyDescent="0.25">
      <c r="A28" s="40" t="s">
        <v>115</v>
      </c>
      <c r="B28" s="72">
        <f>IF(525220.36022="","-",525220.36022)</f>
        <v>525220.36022000003</v>
      </c>
      <c r="C28" s="62">
        <v>96.169361786585455</v>
      </c>
      <c r="D28" s="48">
        <f>IF(546141.0479="","-",546141.0479/3771658.08092*100)</f>
        <v>14.480131448362435</v>
      </c>
      <c r="E28" s="48">
        <f>IF(525220.36022="","-",525220.36022/3323417.92643*100)</f>
        <v>15.803620605254102</v>
      </c>
      <c r="F28" s="12"/>
      <c r="G28" s="12"/>
    </row>
    <row r="29" spans="1:7" x14ac:dyDescent="0.25">
      <c r="A29" s="40" t="s">
        <v>116</v>
      </c>
      <c r="B29" s="72">
        <f>IF(9126.2091="","-",9126.2091)</f>
        <v>9126.2091</v>
      </c>
      <c r="C29" s="62">
        <v>77.078351829998013</v>
      </c>
      <c r="D29" s="48">
        <f>IF(11840.17157="","-",11840.17157/3771658.08092*100)</f>
        <v>0.31392483931395743</v>
      </c>
      <c r="E29" s="48">
        <f>IF(9126.2091="","-",9126.2091/3323417.92643*100)</f>
        <v>0.27460311348212924</v>
      </c>
    </row>
    <row r="30" spans="1:7" x14ac:dyDescent="0.25">
      <c r="A30" s="40" t="s">
        <v>117</v>
      </c>
      <c r="B30" s="72">
        <f>IF(250.07869="","-",250.07869)</f>
        <v>250.07868999999999</v>
      </c>
      <c r="C30" s="62">
        <v>71.306623737999018</v>
      </c>
      <c r="D30" s="48">
        <f>IF(350.70892="","-",350.70892/3771658.08092*100)</f>
        <v>9.2985342911691901E-3</v>
      </c>
      <c r="E30" s="48">
        <f>IF(250.07869="","-",250.07869/3323417.92643*100)</f>
        <v>7.5247439694902697E-3</v>
      </c>
    </row>
    <row r="31" spans="1:7" x14ac:dyDescent="0.25">
      <c r="A31" s="40" t="s">
        <v>118</v>
      </c>
      <c r="B31" s="72">
        <f>IF(119730.47979="","-",119730.47979)</f>
        <v>119730.47979</v>
      </c>
      <c r="C31" s="62">
        <v>64.176842738720623</v>
      </c>
      <c r="D31" s="48">
        <f>IF(186563.36878="","-",186563.36878/3771658.08092*100)</f>
        <v>4.9464549749030429</v>
      </c>
      <c r="E31" s="48">
        <f>IF(119730.47979="","-",119730.47979/3323417.92643*100)</f>
        <v>3.602630858966748</v>
      </c>
    </row>
    <row r="32" spans="1:7" x14ac:dyDescent="0.25">
      <c r="A32" s="40" t="s">
        <v>119</v>
      </c>
      <c r="B32" s="72">
        <f>IF(380.25415="","-",380.25415)</f>
        <v>380.25414999999998</v>
      </c>
      <c r="C32" s="62">
        <v>13.916317377622182</v>
      </c>
      <c r="D32" s="48">
        <f>IF(2732.43373="","-",2732.43373/3771658.08092*100)</f>
        <v>7.2446485640434627E-2</v>
      </c>
      <c r="E32" s="48">
        <f>IF(380.25415="","-",380.25415/3323417.92643*100)</f>
        <v>1.1441659111722588E-2</v>
      </c>
    </row>
    <row r="33" spans="1:5" x14ac:dyDescent="0.25">
      <c r="A33" s="36" t="s">
        <v>291</v>
      </c>
      <c r="B33" s="69">
        <f>IF(959614.18581="","-",959614.18581)</f>
        <v>959614.18581000005</v>
      </c>
      <c r="C33" s="70">
        <v>95.52048356630047</v>
      </c>
      <c r="D33" s="46">
        <f>IF(1004616.13047="","-",1004616.13047/3771658.08092*100)</f>
        <v>26.635927990189117</v>
      </c>
      <c r="E33" s="46">
        <f>IF(959614.18581="","-",959614.18581/3323417.92643*100)</f>
        <v>28.8743157512186</v>
      </c>
    </row>
    <row r="34" spans="1:5" x14ac:dyDescent="0.25">
      <c r="A34" s="40" t="s">
        <v>138</v>
      </c>
      <c r="B34" s="31"/>
      <c r="C34" s="71"/>
      <c r="D34" s="33"/>
      <c r="E34" s="31"/>
    </row>
    <row r="35" spans="1:5" x14ac:dyDescent="0.25">
      <c r="A35" s="40" t="s">
        <v>113</v>
      </c>
      <c r="B35" s="72">
        <f>IF(9824.13368="","-",9824.13368)</f>
        <v>9824.1336800000008</v>
      </c>
      <c r="C35" s="73" t="s">
        <v>106</v>
      </c>
      <c r="D35" s="48">
        <f>IF(5189.96374="","-",5189.96374/3771658.08092*100)</f>
        <v>0.13760430104348273</v>
      </c>
      <c r="E35" s="48">
        <f>IF(9824.13368="","-",9824.13368/3323417.92643*100)</f>
        <v>0.29560331855563649</v>
      </c>
    </row>
    <row r="36" spans="1:5" x14ac:dyDescent="0.25">
      <c r="A36" s="40" t="s">
        <v>114</v>
      </c>
      <c r="B36" s="72">
        <f>IF(215.45257="","-",215.45257)</f>
        <v>215.45257000000001</v>
      </c>
      <c r="C36" s="73">
        <v>73.37623762814593</v>
      </c>
      <c r="D36" s="48">
        <f>IF(293.62717="","-",293.62717/3771658.08092*100)</f>
        <v>7.7850951411899223E-3</v>
      </c>
      <c r="E36" s="48">
        <f>IF(215.45257="","-",215.45257/3323417.92643*100)</f>
        <v>6.4828611618954037E-3</v>
      </c>
    </row>
    <row r="37" spans="1:5" x14ac:dyDescent="0.25">
      <c r="A37" s="40" t="s">
        <v>115</v>
      </c>
      <c r="B37" s="72">
        <f>IF(893104.19395="","-",893104.19395)</f>
        <v>893104.19394999999</v>
      </c>
      <c r="C37" s="73">
        <v>95.740868857763374</v>
      </c>
      <c r="D37" s="48">
        <f>IF(932834.85371="","-",932834.85371/3771658.08092*100)</f>
        <v>24.732752378297736</v>
      </c>
      <c r="E37" s="48">
        <f>IF(893104.19395="","-",893104.19395/3323417.92643*100)</f>
        <v>26.873063024889209</v>
      </c>
    </row>
    <row r="38" spans="1:5" x14ac:dyDescent="0.25">
      <c r="A38" s="40" t="s">
        <v>116</v>
      </c>
      <c r="B38" s="72">
        <f>IF(48388.8382="","-",48388.8382)</f>
        <v>48388.838199999998</v>
      </c>
      <c r="C38" s="73">
        <v>80.586734072879068</v>
      </c>
      <c r="D38" s="48">
        <f>IF(60045.6623="","-",60045.6623/3771658.08092*100)</f>
        <v>1.5920229514906978</v>
      </c>
      <c r="E38" s="48">
        <f>IF(48388.8382="","-",48388.8382/3323417.92643*100)</f>
        <v>1.4559961843853644</v>
      </c>
    </row>
    <row r="39" spans="1:5" x14ac:dyDescent="0.25">
      <c r="A39" s="40" t="s">
        <v>117</v>
      </c>
      <c r="B39" s="72">
        <f>IF(6244.44925="","-",6244.44925)</f>
        <v>6244.4492499999997</v>
      </c>
      <c r="C39" s="73" t="s">
        <v>104</v>
      </c>
      <c r="D39" s="48">
        <f>IF(3715.07916="","-",3715.07916/3771658.08092*100)</f>
        <v>9.849989262796062E-2</v>
      </c>
      <c r="E39" s="48">
        <f>IF(6244.44925="","-",6244.44925/3323417.92643*100)</f>
        <v>0.18789238633937796</v>
      </c>
    </row>
    <row r="40" spans="1:5" x14ac:dyDescent="0.25">
      <c r="A40" s="41" t="s">
        <v>119</v>
      </c>
      <c r="B40" s="76">
        <f>IF(1837.11816="","-",1837.11816)</f>
        <v>1837.11816</v>
      </c>
      <c r="C40" s="77">
        <v>72.41460109419269</v>
      </c>
      <c r="D40" s="52">
        <f>IF(2536.94439="","-",2536.94439/3771658.08092*100)</f>
        <v>6.7263371588051721E-2</v>
      </c>
      <c r="E40" s="52">
        <f>IF(1837.11816="","-",1837.11816/3323417.92643*100)</f>
        <v>5.5277975887114014E-2</v>
      </c>
    </row>
    <row r="41" spans="1:5" x14ac:dyDescent="0.25">
      <c r="A41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2"/>
  <sheetViews>
    <sheetView zoomScaleNormal="100" workbookViewId="0">
      <selection activeCell="D86" sqref="D86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8" t="s">
        <v>160</v>
      </c>
      <c r="B1" s="98"/>
      <c r="C1" s="98"/>
      <c r="D1" s="98"/>
      <c r="E1" s="98"/>
      <c r="F1" s="98"/>
      <c r="G1" s="98"/>
    </row>
    <row r="2" spans="1:9" x14ac:dyDescent="0.25">
      <c r="A2" s="98" t="s">
        <v>23</v>
      </c>
      <c r="B2" s="98"/>
      <c r="C2" s="98"/>
      <c r="D2" s="98"/>
      <c r="E2" s="98"/>
      <c r="F2" s="98"/>
      <c r="G2" s="98"/>
    </row>
    <row r="3" spans="1:9" x14ac:dyDescent="0.25">
      <c r="A3" s="6"/>
    </row>
    <row r="4" spans="1:9" ht="57" customHeight="1" x14ac:dyDescent="0.25">
      <c r="A4" s="106"/>
      <c r="B4" s="109" t="s">
        <v>252</v>
      </c>
      <c r="C4" s="104"/>
      <c r="D4" s="109" t="s">
        <v>0</v>
      </c>
      <c r="E4" s="104"/>
      <c r="F4" s="110" t="s">
        <v>107</v>
      </c>
      <c r="G4" s="111"/>
    </row>
    <row r="5" spans="1:9" ht="19.5" customHeight="1" x14ac:dyDescent="0.25">
      <c r="A5" s="107"/>
      <c r="B5" s="112" t="s">
        <v>111</v>
      </c>
      <c r="C5" s="99" t="s">
        <v>253</v>
      </c>
      <c r="D5" s="114" t="s">
        <v>254</v>
      </c>
      <c r="E5" s="114"/>
      <c r="F5" s="114" t="s">
        <v>254</v>
      </c>
      <c r="G5" s="109"/>
    </row>
    <row r="6" spans="1:9" ht="26.25" customHeight="1" x14ac:dyDescent="0.25">
      <c r="A6" s="108"/>
      <c r="B6" s="113"/>
      <c r="C6" s="100"/>
      <c r="D6" s="24">
        <v>2019</v>
      </c>
      <c r="E6" s="24">
        <v>2020</v>
      </c>
      <c r="F6" s="24" t="s">
        <v>122</v>
      </c>
      <c r="G6" s="20" t="s">
        <v>141</v>
      </c>
    </row>
    <row r="7" spans="1:9" ht="16.5" customHeight="1" x14ac:dyDescent="0.25">
      <c r="A7" s="43" t="s">
        <v>101</v>
      </c>
      <c r="B7" s="44">
        <f>IF(1544947.98319="","-",1544947.98319)</f>
        <v>1544947.9831900001</v>
      </c>
      <c r="C7" s="44">
        <f>IF(1787183.4192="","-",1544947.98319/1787183.4192*100)</f>
        <v>86.445966686596037</v>
      </c>
      <c r="D7" s="44">
        <v>100</v>
      </c>
      <c r="E7" s="44">
        <v>100</v>
      </c>
      <c r="F7" s="44">
        <f>IF(1752232.13505="","-",(1787183.4192-1752232.13505)/1752232.13505*100)</f>
        <v>1.9946720215242846</v>
      </c>
      <c r="G7" s="44">
        <f>IF(1787183.4192="","-",(1544947.98319-1787183.4192)/1787183.4192*100)</f>
        <v>-13.554033313403954</v>
      </c>
    </row>
    <row r="8" spans="1:9" ht="13.5" customHeight="1" x14ac:dyDescent="0.25">
      <c r="A8" s="35" t="s">
        <v>138</v>
      </c>
      <c r="B8" s="37"/>
      <c r="C8" s="37"/>
      <c r="D8" s="37"/>
      <c r="E8" s="37"/>
      <c r="F8" s="37"/>
      <c r="G8" s="37"/>
    </row>
    <row r="9" spans="1:9" ht="13.5" customHeight="1" x14ac:dyDescent="0.25">
      <c r="A9" s="55" t="s">
        <v>223</v>
      </c>
      <c r="B9" s="46">
        <f>IF(375345.18875="","-",375345.18875)</f>
        <v>375345.18874999997</v>
      </c>
      <c r="C9" s="46">
        <f>IF(399173.91606="","-",375345.18875/399173.91606*100)</f>
        <v>94.030489881403383</v>
      </c>
      <c r="D9" s="46">
        <f>IF(399173.91606="","-",399173.91606/1787183.4192*100)</f>
        <v>22.335363666180552</v>
      </c>
      <c r="E9" s="46">
        <f>IF(375345.18875="","-",375345.18875/1544947.98319*100)</f>
        <v>24.295004934404933</v>
      </c>
      <c r="F9" s="46">
        <f>IF(1752232.13505="","-",(399173.91606-386126.84622)/1752232.13505*100)</f>
        <v>0.74459711010994056</v>
      </c>
      <c r="G9" s="46">
        <f>IF(1787183.4192="","-",(375345.18875-399173.91606)/1787183.4192*100)</f>
        <v>-1.333311794077999</v>
      </c>
      <c r="I9" s="17"/>
    </row>
    <row r="10" spans="1:9" s="9" customFormat="1" ht="13.5" customHeight="1" x14ac:dyDescent="0.25">
      <c r="A10" s="47" t="s">
        <v>24</v>
      </c>
      <c r="B10" s="48">
        <f>IF(7626.76778="","-",7626.76778)</f>
        <v>7626.7677800000001</v>
      </c>
      <c r="C10" s="48">
        <f>IF(OR(7809.16103="",7626.76778=""),"-",7626.76778/7809.16103*100)</f>
        <v>97.664368178613415</v>
      </c>
      <c r="D10" s="48">
        <f>IF(7809.16103="","-",7809.16103/1787183.4192*100)</f>
        <v>0.43695352956528821</v>
      </c>
      <c r="E10" s="48">
        <f>IF(7626.76778="","-",7626.76778/1544947.98319*100)</f>
        <v>0.49365854792420216</v>
      </c>
      <c r="F10" s="48">
        <f>IF(OR(1752232.13505="",10442.50038="",7809.16103=""),"-",(7809.16103-10442.50038)/1752232.13505*100)</f>
        <v>-0.15028484510272133</v>
      </c>
      <c r="G10" s="48">
        <f>IF(OR(1787183.4192="",7626.76778="",7809.16103=""),"-",(7626.76778-7809.16103)/1787183.4192*100)</f>
        <v>-1.0205625681198694E-2</v>
      </c>
      <c r="I10" s="17"/>
    </row>
    <row r="11" spans="1:9" s="9" customFormat="1" ht="14.25" customHeight="1" x14ac:dyDescent="0.25">
      <c r="A11" s="47" t="s">
        <v>224</v>
      </c>
      <c r="B11" s="48">
        <f>IF(2570.63147="","-",2570.63147)</f>
        <v>2570.6314699999998</v>
      </c>
      <c r="C11" s="48">
        <f>IF(OR(4438.93785="",2570.63147=""),"-",2570.63147/4438.93785*100)</f>
        <v>57.910958811914867</v>
      </c>
      <c r="D11" s="48">
        <f>IF(4438.93785="","-",4438.93785/1787183.4192*100)</f>
        <v>0.24837617685525584</v>
      </c>
      <c r="E11" s="48">
        <f>IF(2570.63147="","-",2570.63147/1544947.98319*100)</f>
        <v>0.16638951589115475</v>
      </c>
      <c r="F11" s="48">
        <f>IF(OR(1752232.13505="",4629.47187="",4438.93785=""),"-",(4438.93785-4629.47187)/1752232.13505*100)</f>
        <v>-1.0873788705773459E-2</v>
      </c>
      <c r="G11" s="48">
        <f>IF(OR(1787183.4192="",2570.63147="",4438.93785=""),"-",(2570.63147-4438.93785)/1787183.4192*100)</f>
        <v>-0.10453915137799978</v>
      </c>
      <c r="I11" s="17"/>
    </row>
    <row r="12" spans="1:9" s="9" customFormat="1" x14ac:dyDescent="0.25">
      <c r="A12" s="47" t="s">
        <v>225</v>
      </c>
      <c r="B12" s="48">
        <f>IF(7113.12361="","-",7113.12361)</f>
        <v>7113.1236099999996</v>
      </c>
      <c r="C12" s="48">
        <f>IF(OR(11665.01232="",7113.12361=""),"-",7113.12361/11665.01232*100)</f>
        <v>60.978277732329047</v>
      </c>
      <c r="D12" s="48">
        <f>IF(11665.01232="","-",11665.01232/1787183.4192*100)</f>
        <v>0.65270370095653807</v>
      </c>
      <c r="E12" s="48">
        <f>IF(7113.12361="","-",7113.12361/1544947.98319*100)</f>
        <v>0.46041185123351935</v>
      </c>
      <c r="F12" s="48">
        <f>IF(OR(1752232.13505="",15317.01001="",11665.01232=""),"-",(11665.01232-15317.01001)/1752232.13505*100)</f>
        <v>-0.20841974170824062</v>
      </c>
      <c r="G12" s="48">
        <f>IF(OR(1787183.4192="",7113.12361="",11665.01232=""),"-",(7113.12361-11665.01232)/1787183.4192*100)</f>
        <v>-0.25469622541806985</v>
      </c>
      <c r="I12" s="17"/>
    </row>
    <row r="13" spans="1:9" s="9" customFormat="1" x14ac:dyDescent="0.25">
      <c r="A13" s="47" t="s">
        <v>226</v>
      </c>
      <c r="B13" s="48">
        <f>IF(2.95359="","-",2.95359)</f>
        <v>2.9535900000000002</v>
      </c>
      <c r="C13" s="48">
        <f>IF(OR(19.96421="",2.95359=""),"-",2.95359/19.96421*100)</f>
        <v>14.794424622862612</v>
      </c>
      <c r="D13" s="48">
        <f>IF(19.96421="","-",19.96421/1787183.4192*100)</f>
        <v>1.1170767244996385E-3</v>
      </c>
      <c r="E13" s="48">
        <f>IF(2.95359="","-",2.95359/1544947.98319*100)</f>
        <v>1.9117731031315655E-4</v>
      </c>
      <c r="F13" s="48">
        <f>IF(OR(1752232.13505="",10.53017="",19.96421=""),"-",(19.96421-10.53017)/1752232.13505*100)</f>
        <v>5.3840126609313677E-4</v>
      </c>
      <c r="G13" s="48">
        <f>IF(OR(1787183.4192="",2.95359="",19.96421=""),"-",(2.95359-19.96421)/1787183.4192*100)</f>
        <v>-9.5181165051399683E-4</v>
      </c>
      <c r="I13" s="17"/>
    </row>
    <row r="14" spans="1:9" s="9" customFormat="1" ht="15" customHeight="1" x14ac:dyDescent="0.25">
      <c r="A14" s="47" t="s">
        <v>227</v>
      </c>
      <c r="B14" s="48">
        <f>IF(122322.85414="","-",122322.85414)</f>
        <v>122322.85414</v>
      </c>
      <c r="C14" s="48">
        <f>IF(OR(172246.16199="",122322.85414=""),"-",122322.85414/172246.16199*100)</f>
        <v>71.016301743258367</v>
      </c>
      <c r="D14" s="48">
        <f>IF(172246.16199="","-",172246.16199/1787183.4192*100)</f>
        <v>9.6378558652420168</v>
      </c>
      <c r="E14" s="48">
        <f>IF(122322.85414="","-",122322.85414/1544947.98319*100)</f>
        <v>7.9176034061307643</v>
      </c>
      <c r="F14" s="48">
        <f>IF(OR(1752232.13505="",146415.0344="",172246.16199=""),"-",(172246.16199-146415.0344)/1752232.13505*100)</f>
        <v>1.4741841034243386</v>
      </c>
      <c r="G14" s="48">
        <f>IF(OR(1787183.4192="",122322.85414="",172246.16199=""),"-",(122322.85414-172246.16199)/1787183.4192*100)</f>
        <v>-2.7934070624014216</v>
      </c>
      <c r="I14" s="17"/>
    </row>
    <row r="15" spans="1:9" s="9" customFormat="1" ht="15.75" customHeight="1" x14ac:dyDescent="0.25">
      <c r="A15" s="47" t="s">
        <v>228</v>
      </c>
      <c r="B15" s="48">
        <f>IF(198808.79009="","-",198808.79009)</f>
        <v>198808.79008999999</v>
      </c>
      <c r="C15" s="48">
        <f>IF(OR(171495.70491="",198808.79009=""),"-",198808.79009/171495.70491*100)</f>
        <v>115.92639605425323</v>
      </c>
      <c r="D15" s="48">
        <f>IF(171495.70491="","-",171495.70491/1787183.4192*100)</f>
        <v>9.5958648154181585</v>
      </c>
      <c r="E15" s="48">
        <f>IF(198808.79009="","-",198808.79009/1544947.98319*100)</f>
        <v>12.868316102105956</v>
      </c>
      <c r="F15" s="48">
        <f>IF(OR(1752232.13505="",169978.74891="",171495.70491=""),"-",(171495.70491-169978.74891)/1752232.13505*100)</f>
        <v>8.6572775927130183E-2</v>
      </c>
      <c r="G15" s="48">
        <f>IF(OR(1787183.4192="",198808.79009="",171495.70491=""),"-",(198808.79009-171495.70491)/1787183.4192*100)</f>
        <v>1.5282754353342312</v>
      </c>
      <c r="I15" s="17"/>
    </row>
    <row r="16" spans="1:9" s="9" customFormat="1" ht="15" customHeight="1" x14ac:dyDescent="0.25">
      <c r="A16" s="47" t="s">
        <v>185</v>
      </c>
      <c r="B16" s="48">
        <f>IF(12106.12251="","-",12106.12251)</f>
        <v>12106.122509999999</v>
      </c>
      <c r="C16" s="48">
        <f>IF(OR(10622.01172="",12106.12251=""),"-",12106.12251/10622.01172*100)</f>
        <v>113.9720311850682</v>
      </c>
      <c r="D16" s="48">
        <f>IF(10622.01172="","-",10622.01172/1787183.4192*100)</f>
        <v>0.59434368100587853</v>
      </c>
      <c r="E16" s="48">
        <f>IF(12106.12251="","-",12106.12251/1544947.98319*100)</f>
        <v>0.78359418192212171</v>
      </c>
      <c r="F16" s="48">
        <f>IF(OR(1752232.13505="",18762.15809="",10622.01172=""),"-",(10622.01172-18762.15809)/1752232.13505*100)</f>
        <v>-0.46455867388642097</v>
      </c>
      <c r="G16" s="48">
        <f>IF(OR(1787183.4192="",12106.12251="",10622.01172=""),"-",(12106.12251-10622.01172)/1787183.4192*100)</f>
        <v>8.3041884456623596E-2</v>
      </c>
      <c r="I16" s="17"/>
    </row>
    <row r="17" spans="1:9" s="9" customFormat="1" ht="25.5" x14ac:dyDescent="0.25">
      <c r="A17" s="47" t="s">
        <v>229</v>
      </c>
      <c r="B17" s="48">
        <f>IF(4950.54762="","-",4950.54762)</f>
        <v>4950.5476200000003</v>
      </c>
      <c r="C17" s="48">
        <f>IF(OR(6282.24169="",4950.54762=""),"-",4950.54762/6282.24169*100)</f>
        <v>78.80224710042954</v>
      </c>
      <c r="D17" s="48">
        <f>IF(6282.24169="","-",6282.24169/1787183.4192*100)</f>
        <v>0.35151633696401069</v>
      </c>
      <c r="E17" s="48">
        <f>IF(4950.54762="","-",4950.54762/1544947.98319*100)</f>
        <v>0.32043458251443113</v>
      </c>
      <c r="F17" s="48">
        <f>IF(OR(1752232.13505="",6738.6878="",6282.24169=""),"-",(6282.24169-6738.6878)/1752232.13505*100)</f>
        <v>-2.6049408686764849E-2</v>
      </c>
      <c r="G17" s="48">
        <f>IF(OR(1787183.4192="",4950.54762="",6282.24169=""),"-",(4950.54762-6282.24169)/1787183.4192*100)</f>
        <v>-7.4513564511252461E-2</v>
      </c>
      <c r="I17" s="17"/>
    </row>
    <row r="18" spans="1:9" s="9" customFormat="1" ht="25.5" x14ac:dyDescent="0.25">
      <c r="A18" s="47" t="s">
        <v>186</v>
      </c>
      <c r="B18" s="48">
        <f>IF(17672.30081="","-",17672.30081)</f>
        <v>17672.300810000001</v>
      </c>
      <c r="C18" s="48">
        <f>IF(OR(12636.5177="",17672.30081=""),"-",17672.30081/12636.5177*100)</f>
        <v>139.85103514712759</v>
      </c>
      <c r="D18" s="48">
        <f>IF(12636.5177="","-",12636.5177/1787183.4192*100)</f>
        <v>0.70706327980910366</v>
      </c>
      <c r="E18" s="48">
        <f>IF(17672.30081="","-",17672.30081/1544947.98319*100)</f>
        <v>1.1438767519868422</v>
      </c>
      <c r="F18" s="48">
        <f>IF(OR(1752232.13505="",12141.59355="",12636.5177=""),"-",(12636.5177-12141.59355)/1752232.13505*100)</f>
        <v>2.8245352890179595E-2</v>
      </c>
      <c r="G18" s="48">
        <f>IF(OR(1787183.4192="",17672.30081="",12636.5177=""),"-",(17672.30081-12636.5177)/1787183.4192*100)</f>
        <v>0.28177203614915902</v>
      </c>
      <c r="I18" s="17"/>
    </row>
    <row r="19" spans="1:9" s="9" customFormat="1" x14ac:dyDescent="0.25">
      <c r="A19" s="47" t="s">
        <v>230</v>
      </c>
      <c r="B19" s="48">
        <f>IF(2171.09713="","-",2171.09713)</f>
        <v>2171.0971300000001</v>
      </c>
      <c r="C19" s="48">
        <f>IF(OR(1958.20264="",2171.09713=""),"-",2171.09713/1958.20264*100)</f>
        <v>110.87193356046134</v>
      </c>
      <c r="D19" s="48">
        <f>IF(1958.20264="","-",1958.20264/1787183.4192*100)</f>
        <v>0.10956920363980065</v>
      </c>
      <c r="E19" s="48">
        <f>IF(2171.09713="","-",2171.09713/1544947.98319*100)</f>
        <v>0.14052881738562686</v>
      </c>
      <c r="F19" s="48">
        <f>IF(OR(1752232.13505="",1691.11104="",1958.20264=""),"-",(1958.20264-1691.11104)/1752232.13505*100)</f>
        <v>1.5242934692119348E-2</v>
      </c>
      <c r="G19" s="48">
        <f>IF(OR(1787183.4192="",2171.09713="",1958.20264=""),"-",(2171.09713-1958.20264)/1787183.4192*100)</f>
        <v>1.1912291022445724E-2</v>
      </c>
    </row>
    <row r="20" spans="1:9" s="9" customFormat="1" x14ac:dyDescent="0.25">
      <c r="A20" s="55" t="s">
        <v>231</v>
      </c>
      <c r="B20" s="46">
        <f>IF(114132.30685="","-",114132.30685)</f>
        <v>114132.30684999999</v>
      </c>
      <c r="C20" s="46">
        <f>IF(138893.64132="","-",114132.30685/138893.64132*100)</f>
        <v>82.172449195890948</v>
      </c>
      <c r="D20" s="46">
        <f>IF(138893.64132="","-",138893.64132/1787183.4192*100)</f>
        <v>7.771650062765981</v>
      </c>
      <c r="E20" s="46">
        <f>IF(114132.30685="","-",114132.30685/1544947.98319*100)</f>
        <v>7.3874530464346275</v>
      </c>
      <c r="F20" s="46">
        <f>IF(1752232.13505="","-",(138893.64132-143668.71421)/1752232.13505*100)</f>
        <v>-0.27251371519126683</v>
      </c>
      <c r="G20" s="46">
        <f>IF(1787183.4192="","-",(114132.30685-138893.64132)/1787183.4192*100)</f>
        <v>-1.3854948632571782</v>
      </c>
    </row>
    <row r="21" spans="1:9" s="9" customFormat="1" x14ac:dyDescent="0.25">
      <c r="A21" s="47" t="s">
        <v>232</v>
      </c>
      <c r="B21" s="48">
        <f>IF(108522.83036="","-",108522.83036)</f>
        <v>108522.83036000001</v>
      </c>
      <c r="C21" s="48">
        <f>IF(OR(121828.39115="",108522.83036=""),"-",108522.83036/121828.39115*100)</f>
        <v>89.07844003815363</v>
      </c>
      <c r="D21" s="48">
        <f>IF(121828.39115="","-",121828.39115/1787183.4192*100)</f>
        <v>6.8167816375855965</v>
      </c>
      <c r="E21" s="48">
        <f>IF(108522.83036="","-",108522.83036/1544947.98319*100)</f>
        <v>7.0243679101689018</v>
      </c>
      <c r="F21" s="48">
        <f>IF(OR(1752232.13505="",129139.01286="",121828.39115=""),"-",(121828.39115-129139.01286)/1752232.13505*100)</f>
        <v>-0.41721764849332582</v>
      </c>
      <c r="G21" s="48">
        <f>IF(OR(1787183.4192="",108522.83036="",121828.39115=""),"-",(108522.83036-121828.39115)/1787183.4192*100)</f>
        <v>-0.74449889401704394</v>
      </c>
    </row>
    <row r="22" spans="1:9" s="9" customFormat="1" x14ac:dyDescent="0.25">
      <c r="A22" s="47" t="s">
        <v>233</v>
      </c>
      <c r="B22" s="48">
        <f>IF(5609.47649="","-",5609.47649)</f>
        <v>5609.47649</v>
      </c>
      <c r="C22" s="48">
        <f>IF(OR(17065.25017="",5609.47649=""),"-",5609.47649/17065.25017*100)</f>
        <v>32.870754510597372</v>
      </c>
      <c r="D22" s="48">
        <f>IF(17065.25017="","-",17065.25017/1787183.4192*100)</f>
        <v>0.95486842518038506</v>
      </c>
      <c r="E22" s="48">
        <f>IF(5609.47649="","-",5609.47649/1544947.98319*100)</f>
        <v>0.36308513626572619</v>
      </c>
      <c r="F22" s="48">
        <f>IF(OR(1752232.13505="",14529.70135="",17065.25017=""),"-",(17065.25017-14529.70135)/1752232.13505*100)</f>
        <v>0.14470393330205919</v>
      </c>
      <c r="G22" s="48">
        <f>IF(OR(1787183.4192="",5609.47649="",17065.25017=""),"-",(5609.47649-17065.25017)/1787183.4192*100)</f>
        <v>-0.64099596924013358</v>
      </c>
    </row>
    <row r="23" spans="1:9" s="9" customFormat="1" ht="25.5" x14ac:dyDescent="0.25">
      <c r="A23" s="55" t="s">
        <v>25</v>
      </c>
      <c r="B23" s="46">
        <f>IF(128618.49006="","-",128618.49006)</f>
        <v>128618.49006</v>
      </c>
      <c r="C23" s="46">
        <f>IF(179230.10065="","-",128618.49006/179230.10065*100)</f>
        <v>71.761656994862591</v>
      </c>
      <c r="D23" s="46">
        <f>IF(179230.10065="","-",179230.10065/1787183.4192*100)</f>
        <v>10.028634930500257</v>
      </c>
      <c r="E23" s="46">
        <f>IF(128618.49006="","-",128618.49006/1544947.98319*100)</f>
        <v>8.3251016512820861</v>
      </c>
      <c r="F23" s="46">
        <f>IF(1752232.13505="","-",(179230.10065-173127.43513)/1752232.13505*100)</f>
        <v>0.34827951148298453</v>
      </c>
      <c r="G23" s="46">
        <f>IF(1787183.4192="","-",(128618.49006-179230.10065)/1787183.4192*100)</f>
        <v>-2.8319203304076859</v>
      </c>
      <c r="H23" s="7"/>
    </row>
    <row r="24" spans="1:9" s="9" customFormat="1" x14ac:dyDescent="0.25">
      <c r="A24" s="47" t="s">
        <v>240</v>
      </c>
      <c r="B24" s="48">
        <f>IF(805.19316="","-",805.19316)</f>
        <v>805.19316000000003</v>
      </c>
      <c r="C24" s="48">
        <f>IF(OR(1065.29047="",805.19316=""),"-",805.19316/1065.29047*100)</f>
        <v>75.584376531595183</v>
      </c>
      <c r="D24" s="48">
        <f>IF(1065.29047="","-",1065.29047/1787183.4192*100)</f>
        <v>5.9607226575370639E-2</v>
      </c>
      <c r="E24" s="48">
        <f>IF(805.19316="","-",805.19316/1544947.98319*100)</f>
        <v>5.211781683014606E-2</v>
      </c>
      <c r="F24" s="48">
        <f>IF(OR(1752232.13505="",2207.43996="",1065.29047=""),"-",(1065.29047-2207.43996)/1752232.13505*100)</f>
        <v>-6.5182544433098705E-2</v>
      </c>
      <c r="G24" s="48">
        <f>IF(OR(1787183.4192="",805.19316="",1065.29047=""),"-",(805.19316-1065.29047)/1787183.4192*100)</f>
        <v>-1.4553476000601421E-2</v>
      </c>
      <c r="H24" s="8"/>
    </row>
    <row r="25" spans="1:9" s="9" customFormat="1" x14ac:dyDescent="0.25">
      <c r="A25" s="47" t="s">
        <v>234</v>
      </c>
      <c r="B25" s="48">
        <f>IF(104836.63834="","-",104836.63834)</f>
        <v>104836.63834</v>
      </c>
      <c r="C25" s="48">
        <f>IF(OR(155571.66304="",104836.63834=""),"-",104836.63834/155571.66304*100)</f>
        <v>67.388003889271786</v>
      </c>
      <c r="D25" s="48">
        <f>IF(155571.66304="","-",155571.66304/1787183.4192*100)</f>
        <v>8.7048515204801316</v>
      </c>
      <c r="E25" s="48">
        <f>IF(104836.63834="","-",104836.63834/1544947.98319*100)</f>
        <v>6.7857713968812003</v>
      </c>
      <c r="F25" s="48">
        <f>IF(OR(1752232.13505="",145954.22321="",155571.66304=""),"-",(155571.66304-145954.22321)/1752232.13505*100)</f>
        <v>0.54886790611939007</v>
      </c>
      <c r="G25" s="48">
        <f>IF(OR(1787183.4192="",104836.63834="",155571.66304=""),"-",(104836.63834-155571.66304)/1787183.4192*100)</f>
        <v>-2.838825839303647</v>
      </c>
      <c r="H25" s="8"/>
    </row>
    <row r="26" spans="1:9" s="9" customFormat="1" ht="25.5" x14ac:dyDescent="0.25">
      <c r="A26" s="47" t="s">
        <v>235</v>
      </c>
      <c r="B26" s="48">
        <f>IF(0.14712="","-",0.14712)</f>
        <v>0.14712</v>
      </c>
      <c r="C26" s="48">
        <f>IF(OR(0.55331="",0.14712=""),"-",0.14712/0.55331*100)</f>
        <v>26.589073033200194</v>
      </c>
      <c r="D26" s="48">
        <f>IF(0.55331="","-",0.55331/1787183.4192*100)</f>
        <v>3.0959888842728802E-5</v>
      </c>
      <c r="E26" s="48">
        <f>IF(0.14712="","-",0.14712/1544947.98319*100)</f>
        <v>9.5226507041504045E-6</v>
      </c>
      <c r="F26" s="48">
        <f>IF(OR(1752232.13505="",0.93688="",0.55331=""),"-",(0.55331-0.93688)/1752232.13505*100)</f>
        <v>-2.189036442874362E-5</v>
      </c>
      <c r="G26" s="48">
        <f>IF(OR(1787183.4192="",0.14712="",0.55331=""),"-",(0.14712-0.55331)/1787183.4192*100)</f>
        <v>-2.2727941387338045E-5</v>
      </c>
      <c r="H26" s="8"/>
    </row>
    <row r="27" spans="1:9" s="9" customFormat="1" ht="14.25" customHeight="1" x14ac:dyDescent="0.25">
      <c r="A27" s="47" t="s">
        <v>236</v>
      </c>
      <c r="B27" s="48">
        <f>IF(995.91827="","-",995.91827)</f>
        <v>995.91827000000001</v>
      </c>
      <c r="C27" s="48" t="s">
        <v>249</v>
      </c>
      <c r="D27" s="48">
        <f>IF(548.21285="","-",548.21285/1787183.4192*100)</f>
        <v>3.0674683085712463E-2</v>
      </c>
      <c r="E27" s="48">
        <f>IF(995.91827="","-",995.91827/1544947.98319*100)</f>
        <v>6.4462899776316973E-2</v>
      </c>
      <c r="F27" s="48">
        <f>IF(OR(1752232.13505="",546.80366="",548.21285=""),"-",(548.21285-546.80366)/1752232.13505*100)</f>
        <v>8.0422563415649012E-5</v>
      </c>
      <c r="G27" s="48">
        <f>IF(OR(1787183.4192="",995.91827="",548.21285=""),"-",(995.91827-548.21285)/1787183.4192*100)</f>
        <v>2.5050893780136297E-2</v>
      </c>
      <c r="H27" s="8"/>
    </row>
    <row r="28" spans="1:9" s="9" customFormat="1" x14ac:dyDescent="0.25">
      <c r="A28" s="47" t="s">
        <v>187</v>
      </c>
      <c r="B28" s="48">
        <f>IF(1221.62514="","-",1221.62514)</f>
        <v>1221.6251400000001</v>
      </c>
      <c r="C28" s="48">
        <f>IF(OR(1794.9982="",1221.62514=""),"-",1221.62514/1794.9982*100)</f>
        <v>68.057179110263178</v>
      </c>
      <c r="D28" s="48">
        <f>IF(1794.9982="","-",1794.9982/1787183.4192*100)</f>
        <v>0.10043726797798393</v>
      </c>
      <c r="E28" s="48">
        <f>IF(1221.62514="","-",1221.62514/1544947.98319*100)</f>
        <v>7.907225054125093E-2</v>
      </c>
      <c r="F28" s="48">
        <f>IF(OR(1752232.13505="",2121.87908="",1794.9982=""),"-",(1794.9982-2121.87908)/1752232.13505*100)</f>
        <v>-1.8655112725156856E-2</v>
      </c>
      <c r="G28" s="48">
        <f>IF(OR(1787183.4192="",1221.62514="",1794.9982=""),"-",(1221.62514-1794.9982)/1787183.4192*100)</f>
        <v>-3.2082496616752401E-2</v>
      </c>
      <c r="H28" s="8"/>
    </row>
    <row r="29" spans="1:9" s="9" customFormat="1" ht="38.25" x14ac:dyDescent="0.25">
      <c r="A29" s="47" t="s">
        <v>188</v>
      </c>
      <c r="B29" s="48">
        <f>IF(106.70396="","-",106.70396)</f>
        <v>106.70396</v>
      </c>
      <c r="C29" s="48">
        <f>IF(OR(247.19977="",106.70396=""),"-",106.70396/247.19977*100)</f>
        <v>43.165072524137052</v>
      </c>
      <c r="D29" s="48">
        <f>IF(247.19977="","-",247.19977/1787183.4192*100)</f>
        <v>1.3831807487932855E-2</v>
      </c>
      <c r="E29" s="48">
        <f>IF(106.70396="","-",106.70396/1544947.98319*100)</f>
        <v>6.906637709554353E-3</v>
      </c>
      <c r="F29" s="48">
        <f>IF(OR(1752232.13505="",305.61254="",247.19977=""),"-",(247.19977-305.61254)/1752232.13505*100)</f>
        <v>-3.3336205193116846E-3</v>
      </c>
      <c r="G29" s="48">
        <f>IF(OR(1787183.4192="",106.70396="",247.19977=""),"-",(106.70396-247.19977)/1787183.4192*100)</f>
        <v>-7.8612977543676184E-3</v>
      </c>
      <c r="H29" s="8"/>
    </row>
    <row r="30" spans="1:9" s="9" customFormat="1" ht="38.25" x14ac:dyDescent="0.25">
      <c r="A30" s="47" t="s">
        <v>189</v>
      </c>
      <c r="B30" s="48">
        <f>IF(5807.75496="","-",5807.75496)</f>
        <v>5807.7549600000002</v>
      </c>
      <c r="C30" s="48">
        <f>IF(OR(6594.40747="",5807.75496=""),"-",5807.75496/6594.40747*100)</f>
        <v>88.070914428950204</v>
      </c>
      <c r="D30" s="48">
        <f>IF(6594.40747="","-",6594.40747/1787183.4192*100)</f>
        <v>0.36898325035669066</v>
      </c>
      <c r="E30" s="48">
        <f>IF(5807.75496="","-",5807.75496/1544947.98319*100)</f>
        <v>0.37591912628722812</v>
      </c>
      <c r="F30" s="48">
        <f>IF(OR(1752232.13505="",8203.78614="",6594.40747=""),"-",(6594.40747-8203.78614)/1752232.13505*100)</f>
        <v>-9.1847343614325186E-2</v>
      </c>
      <c r="G30" s="48">
        <f>IF(OR(1787183.4192="",5807.75496="",6594.40747=""),"-",(5807.75496-6594.40747)/1787183.4192*100)</f>
        <v>-4.4016327677890529E-2</v>
      </c>
      <c r="H30" s="8"/>
    </row>
    <row r="31" spans="1:9" s="9" customFormat="1" ht="15.75" customHeight="1" x14ac:dyDescent="0.25">
      <c r="A31" s="47" t="s">
        <v>190</v>
      </c>
      <c r="B31" s="48">
        <f>IF(12077.09906="","-",12077.09906)</f>
        <v>12077.09906</v>
      </c>
      <c r="C31" s="48">
        <f>IF(OR(10907.63843="",12077.09906=""),"-",12077.09906/10907.63843*100)</f>
        <v>110.72148327527573</v>
      </c>
      <c r="D31" s="48">
        <f>IF(10907.63843="","-",10907.63843/1787183.4192*100)</f>
        <v>0.61032562818217095</v>
      </c>
      <c r="E31" s="48">
        <f>IF(12077.09906="","-",12077.09906/1544947.98319*100)</f>
        <v>0.78171557822052185</v>
      </c>
      <c r="F31" s="48">
        <f>IF(OR(1752232.13505="",11515.34823="",10907.63843=""),"-",(10907.63843-11515.34823)/1752232.13505*100)</f>
        <v>-3.4682037148157756E-2</v>
      </c>
      <c r="G31" s="48">
        <f>IF(OR(1787183.4192="",12077.09906="",10907.63843=""),"-",(12077.09906-10907.63843)/1787183.4192*100)</f>
        <v>6.5435960150273059E-2</v>
      </c>
    </row>
    <row r="32" spans="1:9" s="9" customFormat="1" ht="25.5" x14ac:dyDescent="0.25">
      <c r="A32" s="47" t="s">
        <v>191</v>
      </c>
      <c r="B32" s="48">
        <f>IF(2767.41005="","-",2767.41005)</f>
        <v>2767.41005</v>
      </c>
      <c r="C32" s="48">
        <f>IF(OR(2500.13711="",2767.41005=""),"-",2767.41005/2500.13711*100)</f>
        <v>110.69033129947022</v>
      </c>
      <c r="D32" s="48">
        <f>IF(2500.13711="","-",2500.13711/1787183.4192*100)</f>
        <v>0.13989258646541949</v>
      </c>
      <c r="E32" s="48">
        <f>IF(2767.41005="","-",2767.41005/1544947.98319*100)</f>
        <v>0.17912642238516452</v>
      </c>
      <c r="F32" s="48">
        <f>IF(OR(1752232.13505="",2271.40543="",2500.13711=""),"-",(2500.13711-2271.40543)/1752232.13505*100)</f>
        <v>1.3053731604658277E-2</v>
      </c>
      <c r="G32" s="48">
        <f>IF(OR(1787183.4192="",2767.41005="",2500.13711=""),"-",(2767.41005-2500.13711)/1787183.4192*100)</f>
        <v>1.4954980956551159E-2</v>
      </c>
    </row>
    <row r="33" spans="1:7" s="9" customFormat="1" ht="25.5" x14ac:dyDescent="0.25">
      <c r="A33" s="55" t="s">
        <v>192</v>
      </c>
      <c r="B33" s="46">
        <f>IF(5138.29051="","-",5138.29051)</f>
        <v>5138.2905099999998</v>
      </c>
      <c r="C33" s="46">
        <f>IF(8358.23594="","-",5138.29051/8358.23594*100)</f>
        <v>61.475777267900376</v>
      </c>
      <c r="D33" s="46">
        <f>IF(8358.23594="","-",8358.23594/1787183.4192*100)</f>
        <v>0.46767644832679861</v>
      </c>
      <c r="E33" s="46">
        <f>IF(5138.29051="","-",5138.29051/1544947.98319*100)</f>
        <v>0.33258663501346408</v>
      </c>
      <c r="F33" s="46">
        <f>IF(1752232.13505="","-",(8358.23594-13474.04542)/1752232.13505*100)</f>
        <v>-0.29195957417217555</v>
      </c>
      <c r="G33" s="46">
        <f>IF(1787183.4192="","-",(5138.29051-8358.23594)/1787183.4192*100)</f>
        <v>-0.1801687166189887</v>
      </c>
    </row>
    <row r="34" spans="1:7" s="9" customFormat="1" x14ac:dyDescent="0.25">
      <c r="A34" s="47" t="s">
        <v>237</v>
      </c>
      <c r="B34" s="48">
        <f>IF(56.85568="","-",56.85568)</f>
        <v>56.85568</v>
      </c>
      <c r="C34" s="48" t="s">
        <v>284</v>
      </c>
      <c r="D34" s="48">
        <f>IF(0.09731="","-",0.09731/1787183.4192*100)</f>
        <v>5.4448804165584211E-6</v>
      </c>
      <c r="E34" s="48">
        <f>IF(56.85568="","-",56.85568/1544947.98319*100)</f>
        <v>3.680103189144576E-3</v>
      </c>
      <c r="F34" s="48">
        <f>IF(OR(1752232.13505="",18.25726="",0.09731=""),"-",(0.09731-18.25726)/1752232.13505*100)</f>
        <v>-1.0363895078023897E-3</v>
      </c>
      <c r="G34" s="48">
        <f>IF(OR(1787183.4192="",56.85568="",0.09731=""),"-",(56.85568-0.09731)/1787183.4192*100)</f>
        <v>3.1758558965037202E-3</v>
      </c>
    </row>
    <row r="35" spans="1:7" s="9" customFormat="1" ht="25.5" x14ac:dyDescent="0.25">
      <c r="A35" s="47" t="s">
        <v>193</v>
      </c>
      <c r="B35" s="48">
        <f>IF(4551.07657="","-",4551.07657)</f>
        <v>4551.0765700000002</v>
      </c>
      <c r="C35" s="48">
        <f>IF(OR(8353.2651="",4551.07657=""),"-",4551.07657/8353.2651*100)</f>
        <v>54.482606687533476</v>
      </c>
      <c r="D35" s="48">
        <f>IF(8353.2651="","-",8353.2651/1787183.4192*100)</f>
        <v>0.46739831011520838</v>
      </c>
      <c r="E35" s="48">
        <f>IF(4551.07657="","-",4551.07657/1544947.98319*100)</f>
        <v>0.29457798058695561</v>
      </c>
      <c r="F35" s="48">
        <f>IF(OR(1752232.13505="",13440.64253="",8353.2651=""),"-",(8353.2651-13440.64253)/1752232.13505*100)</f>
        <v>-0.29033695526048725</v>
      </c>
      <c r="G35" s="48">
        <f>IF(OR(1787183.4192="",4551.07657="",8353.2651=""),"-",(4551.07657-8353.2651)/1787183.4192*100)</f>
        <v>-0.2127475271509614</v>
      </c>
    </row>
    <row r="36" spans="1:7" s="9" customFormat="1" ht="25.5" x14ac:dyDescent="0.25">
      <c r="A36" s="47" t="s">
        <v>238</v>
      </c>
      <c r="B36" s="48">
        <f>IF(525.37764="","-",525.37764)</f>
        <v>525.37764000000004</v>
      </c>
      <c r="C36" s="48" t="str">
        <f>IF(OR(""="",525.37764=""),"-",525.37764/""*100)</f>
        <v>-</v>
      </c>
      <c r="D36" s="48" t="str">
        <f>IF(""="","-",""/1787183.4192*100)</f>
        <v>-</v>
      </c>
      <c r="E36" s="48">
        <f>IF(525.37764="","-",525.37764/1544947.98319*100)</f>
        <v>3.4006170156952675E-2</v>
      </c>
      <c r="F36" s="48" t="str">
        <f>IF(OR(1752232.13505="",9.38137="",""=""),"-",(""-9.38137)/1752232.13505*100)</f>
        <v>-</v>
      </c>
      <c r="G36" s="48" t="str">
        <f>IF(OR(1787183.4192="",525.37764="",""=""),"-",(525.37764-"")/1787183.4192*100)</f>
        <v>-</v>
      </c>
    </row>
    <row r="37" spans="1:7" s="9" customFormat="1" x14ac:dyDescent="0.25">
      <c r="A37" s="47" t="s">
        <v>194</v>
      </c>
      <c r="B37" s="48">
        <f>IF(4.98062="","-",4.98062)</f>
        <v>4.98062</v>
      </c>
      <c r="C37" s="48">
        <f>IF(OR(4.87353="",4.98062=""),"-",4.98062/4.87353*100)</f>
        <v>102.19738054346645</v>
      </c>
      <c r="D37" s="48">
        <f>IF(4.87353="","-",4.87353/1787183.4192*100)</f>
        <v>2.726933311736714E-4</v>
      </c>
      <c r="E37" s="48">
        <f>IF(4.98062="","-",4.98062/1544947.98319*100)</f>
        <v>3.2238108041126689E-4</v>
      </c>
      <c r="F37" s="48">
        <f>IF(OR(1752232.13505="",5.76426="",4.87353=""),"-",(4.87353-5.76426)/1752232.13505*100)</f>
        <v>-5.0834018060888005E-5</v>
      </c>
      <c r="G37" s="48">
        <f>IF(OR(1787183.4192="",4.98062="",4.87353=""),"-",(4.98062-4.87353)/1787183.4192*100)</f>
        <v>5.9921102025407799E-6</v>
      </c>
    </row>
    <row r="38" spans="1:7" s="9" customFormat="1" ht="25.5" x14ac:dyDescent="0.25">
      <c r="A38" s="55" t="s">
        <v>195</v>
      </c>
      <c r="B38" s="46">
        <f>IF(69837.71057="","-",69837.71057)</f>
        <v>69837.710569999996</v>
      </c>
      <c r="C38" s="46" t="s">
        <v>20</v>
      </c>
      <c r="D38" s="46">
        <f>IF(35237.33214="","-",35237.33214/1787183.4192*100)</f>
        <v>1.9716684790961942</v>
      </c>
      <c r="E38" s="46">
        <f>IF(69837.71057="","-",69837.71057/1544947.98319*100)</f>
        <v>4.5203923581815015</v>
      </c>
      <c r="F38" s="46">
        <f>IF(1752232.13505="","-",(35237.33214-49303.59558)/1752232.13505*100)</f>
        <v>-0.80276255403788843</v>
      </c>
      <c r="G38" s="46">
        <f>IF(1787183.4192="","-",(69837.71057-35237.33214)/1787183.4192*100)</f>
        <v>1.9360283929608202</v>
      </c>
    </row>
    <row r="39" spans="1:7" s="9" customFormat="1" x14ac:dyDescent="0.25">
      <c r="A39" s="47" t="s">
        <v>241</v>
      </c>
      <c r="B39" s="48">
        <f>IF(3.3692="","-",3.3692)</f>
        <v>3.3692000000000002</v>
      </c>
      <c r="C39" s="48" t="str">
        <f>IF(OR(""="",3.3692=""),"-",3.3692/""*100)</f>
        <v>-</v>
      </c>
      <c r="D39" s="48" t="str">
        <f>IF(""="","-",""/1787183.4192*100)</f>
        <v>-</v>
      </c>
      <c r="E39" s="48">
        <f>IF(3.3692="","-",3.3692/1544947.98319*100)</f>
        <v>2.1807853964398818E-4</v>
      </c>
      <c r="F39" s="48" t="str">
        <f>IF(OR(1752232.13505="",0.00308="",""=""),"-",(""-0.00308)/1752232.13505*100)</f>
        <v>-</v>
      </c>
      <c r="G39" s="48" t="str">
        <f>IF(OR(1787183.4192="",3.3692="",""=""),"-",(3.3692-"")/1787183.4192*100)</f>
        <v>-</v>
      </c>
    </row>
    <row r="40" spans="1:7" s="9" customFormat="1" ht="25.5" x14ac:dyDescent="0.25">
      <c r="A40" s="47" t="s">
        <v>196</v>
      </c>
      <c r="B40" s="48">
        <f>IF(69809.39303="","-",69809.39303)</f>
        <v>69809.393030000007</v>
      </c>
      <c r="C40" s="48" t="s">
        <v>20</v>
      </c>
      <c r="D40" s="48">
        <f>IF(35224.72449="","-",35224.72449/1787183.4192*100)</f>
        <v>1.970963031078685</v>
      </c>
      <c r="E40" s="48">
        <f>IF(69809.39303="","-",69809.39303/1544947.98319*100)</f>
        <v>4.5185594459858747</v>
      </c>
      <c r="F40" s="48">
        <f>IF(OR(1752232.13505="",49135.83099="",35224.72449=""),"-",(35224.72449-49135.83099)/1752232.13505*100)</f>
        <v>-0.79390773755002775</v>
      </c>
      <c r="G40" s="48">
        <f>IF(OR(1787183.4192="",69809.39303="",35224.72449=""),"-",(69809.39303-35224.72449)/1787183.4192*100)</f>
        <v>1.9351493623123026</v>
      </c>
    </row>
    <row r="41" spans="1:7" s="9" customFormat="1" ht="15.75" customHeight="1" x14ac:dyDescent="0.25">
      <c r="A41" s="47" t="s">
        <v>239</v>
      </c>
      <c r="B41" s="48">
        <f>IF(24.94834="","-",24.94834)</f>
        <v>24.948340000000002</v>
      </c>
      <c r="C41" s="48" t="s">
        <v>20</v>
      </c>
      <c r="D41" s="48">
        <f>IF(12.60765="","-",12.60765/1787183.4192*100)</f>
        <v>7.0544801750922607E-4</v>
      </c>
      <c r="E41" s="48">
        <f>IF(24.94834="","-",24.94834/1544947.98319*100)</f>
        <v>1.6148336559841197E-3</v>
      </c>
      <c r="F41" s="48">
        <f>IF(OR(1752232.13505="",167.76151="",12.60765=""),"-",(12.60765-167.76151)/1752232.13505*100)</f>
        <v>-8.8546407120636828E-3</v>
      </c>
      <c r="G41" s="48">
        <f>IF(OR(1787183.4192="",24.94834="",12.60765=""),"-",(24.94834-12.60765)/1787183.4192*100)</f>
        <v>6.9051054678674704E-4</v>
      </c>
    </row>
    <row r="42" spans="1:7" s="9" customFormat="1" ht="25.5" x14ac:dyDescent="0.25">
      <c r="A42" s="55" t="s">
        <v>197</v>
      </c>
      <c r="B42" s="46">
        <f>IF(80523.32201="","-",80523.32201)</f>
        <v>80523.322010000004</v>
      </c>
      <c r="C42" s="46">
        <f>IF(79593.10047="","-",80523.32201/79593.10047*100)</f>
        <v>101.16872132698313</v>
      </c>
      <c r="D42" s="46">
        <f>IF(79593.10047="","-",79593.10047/1787183.4192*100)</f>
        <v>4.4535496253444657</v>
      </c>
      <c r="E42" s="46">
        <f>IF(80523.32201="","-",80523.32201/1544947.98319*100)</f>
        <v>5.2120409804177283</v>
      </c>
      <c r="F42" s="46">
        <f>IF(1752232.13505="","-",(79593.10047-84102.27013)/1752232.13505*100)</f>
        <v>-0.25733860085104138</v>
      </c>
      <c r="G42" s="46">
        <f>IF(1787183.4192="","-",(80523.32201-79593.10047)/1787183.4192*100)</f>
        <v>5.2049584279177975E-2</v>
      </c>
    </row>
    <row r="43" spans="1:7" s="9" customFormat="1" x14ac:dyDescent="0.25">
      <c r="A43" s="47" t="s">
        <v>26</v>
      </c>
      <c r="B43" s="48">
        <f>IF(31619.8576="","-",31619.8576)</f>
        <v>31619.857599999999</v>
      </c>
      <c r="C43" s="48" t="s">
        <v>246</v>
      </c>
      <c r="D43" s="48">
        <f>IF(13340.56281="","-",13340.56281/1787183.4192*100)</f>
        <v>0.74645739584869575</v>
      </c>
      <c r="E43" s="48">
        <f>IF(31619.8576="","-",31619.8576/1544947.98319*100)</f>
        <v>2.0466616315917312</v>
      </c>
      <c r="F43" s="48">
        <f>IF(OR(1752232.13505="",17499.2083="",13340.56281=""),"-",(13340.56281-17499.2083)/1752232.13505*100)</f>
        <v>-0.23733416405363048</v>
      </c>
      <c r="G43" s="48">
        <f>IF(OR(1787183.4192="",31619.8576="",13340.56281=""),"-",(31619.8576-13340.56281)/1787183.4192*100)</f>
        <v>1.0227990363844353</v>
      </c>
    </row>
    <row r="44" spans="1:7" s="9" customFormat="1" x14ac:dyDescent="0.25">
      <c r="A44" s="47" t="s">
        <v>27</v>
      </c>
      <c r="B44" s="48">
        <f>IF(1032.65807="","-",1032.65807)</f>
        <v>1032.65807</v>
      </c>
      <c r="C44" s="48">
        <f>IF(OR(844.45444="",1032.65807=""),"-",1032.65807/844.45444*100)</f>
        <v>122.28700816588756</v>
      </c>
      <c r="D44" s="48">
        <f>IF(844.45444="","-",844.45444/1787183.4192*100)</f>
        <v>4.7250574894993409E-2</v>
      </c>
      <c r="E44" s="48">
        <f>IF(1032.65807="","-",1032.65807/1544947.98319*100)</f>
        <v>6.6840960423002291E-2</v>
      </c>
      <c r="F44" s="48">
        <f>IF(OR(1752232.13505="",696.1364="",844.45444=""),"-",(844.45444-696.1364)/1752232.13505*100)</f>
        <v>8.4645200275229367E-3</v>
      </c>
      <c r="G44" s="48">
        <f>IF(OR(1787183.4192="",1032.65807="",844.45444=""),"-",(1032.65807-844.45444)/1787183.4192*100)</f>
        <v>1.0530739485275994E-2</v>
      </c>
    </row>
    <row r="45" spans="1:7" s="9" customFormat="1" x14ac:dyDescent="0.25">
      <c r="A45" s="47" t="s">
        <v>198</v>
      </c>
      <c r="B45" s="48">
        <f>IF(551.15302="","-",551.15302)</f>
        <v>551.15301999999997</v>
      </c>
      <c r="C45" s="48">
        <f>IF(OR(612.0168="",551.15302=""),"-",551.15302/612.0168*100)</f>
        <v>90.055210902707245</v>
      </c>
      <c r="D45" s="48">
        <f>IF(612.0168="","-",612.0168/1787183.4192*100)</f>
        <v>3.4244767124907538E-2</v>
      </c>
      <c r="E45" s="48">
        <f>IF(551.15302="","-",551.15302/1544947.98319*100)</f>
        <v>3.5674535712327496E-2</v>
      </c>
      <c r="F45" s="48">
        <f>IF(OR(1752232.13505="",2359.56245="",612.0168=""),"-",(612.0168-2359.56245)/1752232.13505*100)</f>
        <v>-9.9732541998502594E-2</v>
      </c>
      <c r="G45" s="48">
        <f>IF(OR(1787183.4192="",551.15302="",612.0168=""),"-",(551.15302-612.0168)/1787183.4192*100)</f>
        <v>-3.405569867431099E-3</v>
      </c>
    </row>
    <row r="46" spans="1:7" s="9" customFormat="1" x14ac:dyDescent="0.25">
      <c r="A46" s="47" t="s">
        <v>199</v>
      </c>
      <c r="B46" s="48">
        <f>IF(35140.24841="","-",35140.24841)</f>
        <v>35140.24841</v>
      </c>
      <c r="C46" s="48">
        <f>IF(OR(50646.56592="",35140.24841=""),"-",35140.24841/50646.56592*100)</f>
        <v>69.383279540623988</v>
      </c>
      <c r="D46" s="48">
        <f>IF(50646.56592="","-",50646.56592/1787183.4192*100)</f>
        <v>2.8338762197486709</v>
      </c>
      <c r="E46" s="48">
        <f>IF(35140.24841="","-",35140.24841/1544947.98319*100)</f>
        <v>2.2745263136589626</v>
      </c>
      <c r="F46" s="48">
        <f>IF(OR(1752232.13505="",43562.44302="",50646.56592=""),"-",(50646.56592-43562.44302)/1752232.13505*100)</f>
        <v>0.40429134692235608</v>
      </c>
      <c r="G46" s="48">
        <f>IF(OR(1787183.4192="",35140.24841="",50646.56592=""),"-",(35140.24841-50646.56592)/1787183.4192*100)</f>
        <v>-0.86763996036518298</v>
      </c>
    </row>
    <row r="47" spans="1:7" s="9" customFormat="1" ht="38.25" x14ac:dyDescent="0.25">
      <c r="A47" s="47" t="s">
        <v>200</v>
      </c>
      <c r="B47" s="48">
        <f>IF(7835.5183="","-",7835.5183)</f>
        <v>7835.5182999999997</v>
      </c>
      <c r="C47" s="48">
        <f>IF(OR(9660.08843="",7835.5183=""),"-",7835.5183/9660.08843*100)</f>
        <v>81.112283358259077</v>
      </c>
      <c r="D47" s="48">
        <f>IF(9660.08843="","-",9660.08843/1787183.4192*100)</f>
        <v>0.54052025808991466</v>
      </c>
      <c r="E47" s="48">
        <f>IF(7835.5183="","-",7835.5183/1544947.98319*100)</f>
        <v>0.50717036335561694</v>
      </c>
      <c r="F47" s="48">
        <f>IF(OR(1752232.13505="",15330.84692="",9660.08843=""),"-",(9660.08843-15330.84692)/1752232.13505*100)</f>
        <v>-0.32363054966105759</v>
      </c>
      <c r="G47" s="48">
        <f>IF(OR(1787183.4192="",7835.5183="",9660.08843=""),"-",(7835.5183-9660.08843)/1787183.4192*100)</f>
        <v>-0.10209193473922983</v>
      </c>
    </row>
    <row r="48" spans="1:7" s="9" customFormat="1" x14ac:dyDescent="0.25">
      <c r="A48" s="47" t="s">
        <v>201</v>
      </c>
      <c r="B48" s="48">
        <f>IF(0.59332="","-",0.59332)</f>
        <v>0.59331999999999996</v>
      </c>
      <c r="C48" s="48">
        <f>IF(OR(28.29579="",0.59332=""),"-",0.59332/28.29579*100)</f>
        <v>2.0968490365527876</v>
      </c>
      <c r="D48" s="48">
        <f>IF(28.29579="","-",28.29579/1787183.4192*100)</f>
        <v>1.5832616672700609E-3</v>
      </c>
      <c r="E48" s="48">
        <f>IF(0.59332="","-",0.59332/1544947.98319*100)</f>
        <v>3.8403881972447777E-5</v>
      </c>
      <c r="F48" s="48" t="str">
        <f>IF(OR(1752232.13505="",""="",28.29579=""),"-",(28.29579-"")/1752232.13505*100)</f>
        <v>-</v>
      </c>
      <c r="G48" s="48">
        <f>IF(OR(1787183.4192="",0.59332="",28.29579=""),"-",(0.59332-28.29579)/1787183.4192*100)</f>
        <v>-1.5500630602537993E-3</v>
      </c>
    </row>
    <row r="49" spans="1:7" x14ac:dyDescent="0.25">
      <c r="A49" s="47" t="s">
        <v>28</v>
      </c>
      <c r="B49" s="48">
        <f>IF(1316.94945="","-",1316.94945)</f>
        <v>1316.9494500000001</v>
      </c>
      <c r="C49" s="48">
        <f>IF(OR(1403.17498="",1316.94945=""),"-",1316.94945/1403.17498*100)</f>
        <v>93.854969534875835</v>
      </c>
      <c r="D49" s="48">
        <f>IF(1403.17498="","-",1403.17498/1787183.4192*100)</f>
        <v>7.8513204908095324E-2</v>
      </c>
      <c r="E49" s="48">
        <f>IF(1316.94945="","-",1316.94945/1544947.98319*100)</f>
        <v>8.5242316526461304E-2</v>
      </c>
      <c r="F49" s="48">
        <f>IF(OR(1752232.13505="",1587.48637="",1403.17498=""),"-",(1403.17498-1587.48637)/1752232.13505*100)</f>
        <v>-1.0518662813745323E-2</v>
      </c>
      <c r="G49" s="48">
        <f>IF(OR(1787183.4192="",1316.94945="",1403.17498=""),"-",(1316.94945-1403.17498)/1787183.4192*100)</f>
        <v>-4.8246603607478202E-3</v>
      </c>
    </row>
    <row r="50" spans="1:7" x14ac:dyDescent="0.25">
      <c r="A50" s="47" t="s">
        <v>29</v>
      </c>
      <c r="B50" s="48">
        <f>IF(1456.62653="","-",1456.62653)</f>
        <v>1456.62653</v>
      </c>
      <c r="C50" s="48">
        <f>IF(OR(1621.44303="",1456.62653=""),"-",1456.62653/1621.44303*100)</f>
        <v>89.835196368262174</v>
      </c>
      <c r="D50" s="48">
        <f>IF(1621.44303="","-",1621.44303/1787183.4192*100)</f>
        <v>9.0726167923257106E-2</v>
      </c>
      <c r="E50" s="48">
        <f>IF(1456.62653="","-",1456.62653/1544947.98319*100)</f>
        <v>9.4283208616018618E-2</v>
      </c>
      <c r="F50" s="48">
        <f>IF(OR(1752232.13505="",1249.69822="",1621.44303=""),"-",(1621.44303-1249.69822)/1752232.13505*100)</f>
        <v>2.1215500079239911E-2</v>
      </c>
      <c r="G50" s="48">
        <f>IF(OR(1787183.4192="",1456.62653="",1621.44303=""),"-",(1456.62653-1621.44303)/1787183.4192*100)</f>
        <v>-9.2221368119998013E-3</v>
      </c>
    </row>
    <row r="51" spans="1:7" ht="14.25" customHeight="1" x14ac:dyDescent="0.25">
      <c r="A51" s="47" t="s">
        <v>202</v>
      </c>
      <c r="B51" s="48">
        <f>IF(1569.71731="","-",1569.71731)</f>
        <v>1569.71731</v>
      </c>
      <c r="C51" s="48">
        <f>IF(OR(1436.49827="",1569.71731=""),"-",1569.71731/1436.49827*100)</f>
        <v>109.27387402979608</v>
      </c>
      <c r="D51" s="48">
        <f>IF(1436.49827="","-",1436.49827/1787183.4192*100)</f>
        <v>8.0377775138660498E-2</v>
      </c>
      <c r="E51" s="48">
        <f>IF(1569.71731="","-",1569.71731/1544947.98319*100)</f>
        <v>0.10160324665163525</v>
      </c>
      <c r="F51" s="48">
        <f>IF(OR(1752232.13505="",1816.88845="",1436.49827=""),"-",(1436.49827-1816.88845)/1752232.13505*100)</f>
        <v>-2.1708891897998746E-2</v>
      </c>
      <c r="G51" s="48">
        <f>IF(OR(1787183.4192="",1569.71731="",1436.49827=""),"-",(1569.71731-1436.49827)/1787183.4192*100)</f>
        <v>7.4541336143121237E-3</v>
      </c>
    </row>
    <row r="52" spans="1:7" ht="25.5" x14ac:dyDescent="0.25">
      <c r="A52" s="55" t="s">
        <v>245</v>
      </c>
      <c r="B52" s="46">
        <f>IF(106420.78947="","-",106420.78947)</f>
        <v>106420.78947</v>
      </c>
      <c r="C52" s="46">
        <f>IF(116766.32817="","-",106420.78947/116766.32817*100)</f>
        <v>91.139964010054399</v>
      </c>
      <c r="D52" s="46">
        <f>IF(116766.32817="","-",116766.32817/1787183.4192*100)</f>
        <v>6.5335391384879964</v>
      </c>
      <c r="E52" s="46">
        <f>IF(106420.78947="","-",106420.78947/1544947.98319*100)</f>
        <v>6.8883089028190421</v>
      </c>
      <c r="F52" s="46">
        <f>IF(1752232.13505="","-",(116766.32817-120083.83982)/1752232.13505*100)</f>
        <v>-0.18933060201554489</v>
      </c>
      <c r="G52" s="46">
        <f>IF(1787183.4192="","-",(106420.78947-116766.32817)/1787183.4192*100)</f>
        <v>-0.57887391908721841</v>
      </c>
    </row>
    <row r="53" spans="1:7" x14ac:dyDescent="0.25">
      <c r="A53" s="47" t="s">
        <v>203</v>
      </c>
      <c r="B53" s="48">
        <f>IF(426.28706="","-",426.28706)</f>
        <v>426.28706</v>
      </c>
      <c r="C53" s="48">
        <f>IF(OR(371.93639="",426.28706=""),"-",426.28706/371.93639*100)</f>
        <v>114.61289388758115</v>
      </c>
      <c r="D53" s="48">
        <f>IF(371.93639="","-",371.93639/1787183.4192*100)</f>
        <v>2.0811316063266218E-2</v>
      </c>
      <c r="E53" s="48">
        <f>IF(426.28706="","-",426.28706/1544947.98319*100)</f>
        <v>2.7592324443170238E-2</v>
      </c>
      <c r="F53" s="48">
        <f>IF(OR(1752232.13505="",1156.04358="",371.93639=""),"-",(371.93639-1156.04358)/1752232.13505*100)</f>
        <v>-4.4749047475814353E-2</v>
      </c>
      <c r="G53" s="48">
        <f>IF(OR(1787183.4192="",426.28706="",371.93639=""),"-",(426.28706-371.93639)/1787183.4192*100)</f>
        <v>3.0411355329342227E-3</v>
      </c>
    </row>
    <row r="54" spans="1:7" x14ac:dyDescent="0.25">
      <c r="A54" s="47" t="s">
        <v>30</v>
      </c>
      <c r="B54" s="48">
        <f>IF(753.54046="","-",753.54046)</f>
        <v>753.54046000000005</v>
      </c>
      <c r="C54" s="48">
        <f>IF(OR(1228.34488="",753.54046=""),"-",753.54046/1228.34488*100)</f>
        <v>61.346000807200006</v>
      </c>
      <c r="D54" s="48">
        <f>IF(1228.34488="","-",1228.34488/1787183.4192*100)</f>
        <v>6.8730767463691347E-2</v>
      </c>
      <c r="E54" s="48">
        <f>IF(753.54046="","-",753.54046/1544947.98319*100)</f>
        <v>4.8774487438994152E-2</v>
      </c>
      <c r="F54" s="48">
        <f>IF(OR(1752232.13505="",1004.0371="",1228.34488=""),"-",(1228.34488-1004.0371)/1752232.13505*100)</f>
        <v>1.2801259348756294E-2</v>
      </c>
      <c r="G54" s="48">
        <f>IF(OR(1787183.4192="",753.54046="",1228.34488=""),"-",(753.54046-1228.34488)/1787183.4192*100)</f>
        <v>-2.6567190300620495E-2</v>
      </c>
    </row>
    <row r="55" spans="1:7" ht="15.75" customHeight="1" x14ac:dyDescent="0.25">
      <c r="A55" s="47" t="s">
        <v>204</v>
      </c>
      <c r="B55" s="48">
        <f>IF(12143.89107="","-",12143.89107)</f>
        <v>12143.89107</v>
      </c>
      <c r="C55" s="48">
        <f>IF(OR(13785.90375="",12143.89107=""),"-",12143.89107/13785.90375*100)</f>
        <v>88.08919088819259</v>
      </c>
      <c r="D55" s="48">
        <f>IF(13785.90375="","-",13785.90375/1787183.4192*100)</f>
        <v>0.7713759875956665</v>
      </c>
      <c r="E55" s="48">
        <f>IF(12143.89107="","-",12143.89107/1544947.98319*100)</f>
        <v>0.78603883121846996</v>
      </c>
      <c r="F55" s="48">
        <f>IF(OR(1752232.13505="",10777.5023="",13785.90375=""),"-",(13785.90375-10777.5023)/1752232.13505*100)</f>
        <v>0.17168966313439712</v>
      </c>
      <c r="G55" s="48">
        <f>IF(OR(1787183.4192="",12143.89107="",13785.90375=""),"-",(12143.89107-13785.90375)/1787183.4192*100)</f>
        <v>-9.1877121416839069E-2</v>
      </c>
    </row>
    <row r="56" spans="1:7" ht="25.5" x14ac:dyDescent="0.25">
      <c r="A56" s="47" t="s">
        <v>205</v>
      </c>
      <c r="B56" s="48">
        <f>IF(5956.86906="","-",5956.86906)</f>
        <v>5956.86906</v>
      </c>
      <c r="C56" s="48">
        <f>IF(OR(7193.39788="",5956.86906=""),"-",5956.86906/7193.39788*100)</f>
        <v>82.810226257080046</v>
      </c>
      <c r="D56" s="48">
        <f>IF(7193.39788="","-",7193.39788/1787183.4192*100)</f>
        <v>0.4024991393004303</v>
      </c>
      <c r="E56" s="48">
        <f>IF(5956.86906="","-",5956.86906/1544947.98319*100)</f>
        <v>0.38557084929812913</v>
      </c>
      <c r="F56" s="48">
        <f>IF(OR(1752232.13505="",6347.30646="",7193.39788=""),"-",(7193.39788-6347.30646)/1752232.13505*100)</f>
        <v>4.828649144571575E-2</v>
      </c>
      <c r="G56" s="48">
        <f>IF(OR(1787183.4192="",5956.86906="",7193.39788=""),"-",(5956.86906-7193.39788)/1787183.4192*100)</f>
        <v>-6.9188691362944157E-2</v>
      </c>
    </row>
    <row r="57" spans="1:7" ht="25.5" x14ac:dyDescent="0.25">
      <c r="A57" s="47" t="s">
        <v>206</v>
      </c>
      <c r="B57" s="48">
        <f>IF(37034.79462="","-",37034.79462)</f>
        <v>37034.794620000001</v>
      </c>
      <c r="C57" s="48">
        <f>IF(OR(42319.30767="",37034.79462=""),"-",37034.79462/42319.30767*100)</f>
        <v>87.512761099005004</v>
      </c>
      <c r="D57" s="48">
        <f>IF(42319.30767="","-",42319.30767/1787183.4192*100)</f>
        <v>2.3679330960301472</v>
      </c>
      <c r="E57" s="48">
        <f>IF(37034.79462="","-",37034.79462/1544947.98319*100)</f>
        <v>2.3971547924565564</v>
      </c>
      <c r="F57" s="48">
        <f>IF(OR(1752232.13505="",48315.04643="",42319.30767=""),"-",(42319.30767-48315.04643)/1752232.13505*100)</f>
        <v>-0.3421771944519732</v>
      </c>
      <c r="G57" s="48">
        <f>IF(OR(1787183.4192="",37034.79462="",42319.30767=""),"-",(37034.79462-42319.30767)/1787183.4192*100)</f>
        <v>-0.29568946271701185</v>
      </c>
    </row>
    <row r="58" spans="1:7" x14ac:dyDescent="0.25">
      <c r="A58" s="47" t="s">
        <v>31</v>
      </c>
      <c r="B58" s="48">
        <f>IF(31176.71409="","-",31176.71409)</f>
        <v>31176.714090000001</v>
      </c>
      <c r="C58" s="48">
        <f>IF(OR(32707.58574="",31176.71409=""),"-",31176.71409/32707.58574*100)</f>
        <v>95.319521097737862</v>
      </c>
      <c r="D58" s="48">
        <f>IF(32707.58574="","-",32707.58574/1787183.4192*100)</f>
        <v>1.8301191354293649</v>
      </c>
      <c r="E58" s="48">
        <f>IF(31176.71409="","-",31176.71409/1544947.98319*100)</f>
        <v>2.0179782380521636</v>
      </c>
      <c r="F58" s="48">
        <f>IF(OR(1752232.13505="",32948.20726="",32707.58574=""),"-",(32707.58574-32948.20726)/1752232.13505*100)</f>
        <v>-1.3732285533796473E-2</v>
      </c>
      <c r="G58" s="48">
        <f>IF(OR(1787183.4192="",31176.71409="",32707.58574=""),"-",(31176.71409-32707.58574)/1787183.4192*100)</f>
        <v>-8.5658340020033544E-2</v>
      </c>
    </row>
    <row r="59" spans="1:7" ht="15.75" customHeight="1" x14ac:dyDescent="0.25">
      <c r="A59" s="47" t="s">
        <v>207</v>
      </c>
      <c r="B59" s="48">
        <f>IF(963.49493="","-",963.49493)</f>
        <v>963.49492999999995</v>
      </c>
      <c r="C59" s="48">
        <f>IF(OR(2401.54816="",963.49493=""),"-",963.49493/2401.54816*100)</f>
        <v>40.119742174980992</v>
      </c>
      <c r="D59" s="48">
        <f>IF(2401.54816="","-",2401.54816/1787183.4192*100)</f>
        <v>0.1343761437242412</v>
      </c>
      <c r="E59" s="48">
        <f>IF(963.49493="","-",963.49493/1544947.98319*100)</f>
        <v>6.2364231060425802E-2</v>
      </c>
      <c r="F59" s="48">
        <f>IF(OR(1752232.13505="",1979.34798="",2401.54816=""),"-",(2401.54816-1979.34798)/1752232.13505*100)</f>
        <v>2.4094991271687433E-2</v>
      </c>
      <c r="G59" s="48">
        <f>IF(OR(1787183.4192="",963.49493="",2401.54816=""),"-",(963.49493-2401.54816)/1787183.4192*100)</f>
        <v>-8.0464781317393722E-2</v>
      </c>
    </row>
    <row r="60" spans="1:7" x14ac:dyDescent="0.25">
      <c r="A60" s="47" t="s">
        <v>32</v>
      </c>
      <c r="B60" s="48">
        <f>IF(1422.10985="","-",1422.10985)</f>
        <v>1422.1098500000001</v>
      </c>
      <c r="C60" s="48" t="s">
        <v>128</v>
      </c>
      <c r="D60" s="48">
        <f>IF(938.66081="","-",938.66081/1787183.4192*100)</f>
        <v>5.2521794904530524E-2</v>
      </c>
      <c r="E60" s="48">
        <f>IF(1422.10985="","-",1422.10985/1544947.98319*100)</f>
        <v>9.2049044076140063E-2</v>
      </c>
      <c r="F60" s="48">
        <f>IF(OR(1752232.13505="",1628.45913="",938.66081=""),"-",(938.66081-1628.45913)/1752232.13505*100)</f>
        <v>-3.9366834233999282E-2</v>
      </c>
      <c r="G60" s="48">
        <f>IF(OR(1787183.4192="",1422.10985="",938.66081=""),"-",(1422.10985-938.66081)/1787183.4192*100)</f>
        <v>2.7050891072859618E-2</v>
      </c>
    </row>
    <row r="61" spans="1:7" x14ac:dyDescent="0.25">
      <c r="A61" s="47" t="s">
        <v>33</v>
      </c>
      <c r="B61" s="48">
        <f>IF(16543.08833="","-",16543.08833)</f>
        <v>16543.088329999999</v>
      </c>
      <c r="C61" s="48">
        <f>IF(OR(15819.64289="",16543.08833=""),"-",16543.08833/15819.64289*100)</f>
        <v>104.57308325497858</v>
      </c>
      <c r="D61" s="48">
        <f>IF(15819.64289="","-",15819.64289/1787183.4192*100)</f>
        <v>0.88517175797665892</v>
      </c>
      <c r="E61" s="48">
        <f>IF(16543.08833="","-",16543.08833/1544947.98319*100)</f>
        <v>1.070786104774992</v>
      </c>
      <c r="F61" s="48">
        <f>IF(OR(1752232.13505="",15927.88958="",15819.64289=""),"-",(15819.64289-15927.88958)/1752232.13505*100)</f>
        <v>-6.1776455205183834E-3</v>
      </c>
      <c r="G61" s="48">
        <f>IF(OR(1787183.4192="",16543.08833="",15819.64289=""),"-",(16543.08833-15819.64289)/1787183.4192*100)</f>
        <v>4.0479641441830111E-2</v>
      </c>
    </row>
    <row r="62" spans="1:7" ht="25.5" x14ac:dyDescent="0.25">
      <c r="A62" s="55" t="s">
        <v>208</v>
      </c>
      <c r="B62" s="46">
        <f>IF(344553.78167="","-",344553.78167)</f>
        <v>344553.78167</v>
      </c>
      <c r="C62" s="46">
        <f>IF(442874.48261="","-",344553.78167/442874.48261*100)</f>
        <v>77.799420648359572</v>
      </c>
      <c r="D62" s="46">
        <f>IF(442874.48261="","-",442874.48261/1787183.4192*100)</f>
        <v>24.780583674407897</v>
      </c>
      <c r="E62" s="46">
        <f>IF(344553.78167="","-",344553.78167/1544947.98319*100)</f>
        <v>22.301966501070623</v>
      </c>
      <c r="F62" s="46">
        <f>IF(1752232.13505="","-",(442874.48261-367729.29121)/1752232.13505*100)</f>
        <v>4.2885408786236958</v>
      </c>
      <c r="G62" s="46">
        <f>IF(1787183.4192="","-",(344553.78167-442874.48261)/1787183.4192*100)</f>
        <v>-5.5014331424365768</v>
      </c>
    </row>
    <row r="63" spans="1:7" ht="25.5" x14ac:dyDescent="0.25">
      <c r="A63" s="47" t="s">
        <v>209</v>
      </c>
      <c r="B63" s="48">
        <f>IF(1236.55286="","-",1236.55286)</f>
        <v>1236.55286</v>
      </c>
      <c r="C63" s="48">
        <f>IF(OR(2075.41854="",1236.55286=""),"-",1236.55286/2075.41854*100)</f>
        <v>59.58089109100856</v>
      </c>
      <c r="D63" s="48">
        <f>IF(2075.41854="","-",2075.41854/1787183.4192*100)</f>
        <v>0.11612789810511019</v>
      </c>
      <c r="E63" s="48">
        <f>IF(1236.55286="","-",1236.55286/1544947.98319*100)</f>
        <v>8.0038478541314545E-2</v>
      </c>
      <c r="F63" s="48">
        <f>IF(OR(1752232.13505="",2074.07136="",2075.41854=""),"-",(2075.41854-2074.07136)/1752232.13505*100)</f>
        <v>7.6883648750213437E-5</v>
      </c>
      <c r="G63" s="48">
        <f>IF(OR(1787183.4192="",1236.55286="",2075.41854=""),"-",(1236.55286-2075.41854)/1787183.4192*100)</f>
        <v>-4.6937861608827097E-2</v>
      </c>
    </row>
    <row r="64" spans="1:7" ht="25.5" x14ac:dyDescent="0.25">
      <c r="A64" s="47" t="s">
        <v>210</v>
      </c>
      <c r="B64" s="48">
        <f>IF(7763.75116="","-",7763.75116)</f>
        <v>7763.7511599999998</v>
      </c>
      <c r="C64" s="48">
        <f>IF(OR(9407.16983="",7763.75116=""),"-",7763.75116/9407.16983*100)</f>
        <v>82.53014775220656</v>
      </c>
      <c r="D64" s="48">
        <f>IF(9407.16983="","-",9407.16983/1787183.4192*100)</f>
        <v>0.52636845938347776</v>
      </c>
      <c r="E64" s="48">
        <f>IF(7763.75116="","-",7763.75116/1544947.98319*100)</f>
        <v>0.50252508462902745</v>
      </c>
      <c r="F64" s="48">
        <f>IF(OR(1752232.13505="",9792.10617="",9407.16983=""),"-",(9407.16983-9792.10617)/1752232.13505*100)</f>
        <v>-2.196834153991898E-2</v>
      </c>
      <c r="G64" s="48">
        <f>IF(OR(1787183.4192="",7763.75116="",9407.16983=""),"-",(7763.75116-9407.16983)/1787183.4192*100)</f>
        <v>-9.1955792133280159E-2</v>
      </c>
    </row>
    <row r="65" spans="1:7" ht="25.5" x14ac:dyDescent="0.25">
      <c r="A65" s="47" t="s">
        <v>211</v>
      </c>
      <c r="B65" s="48">
        <f>IF(2005.79162="","-",2005.79162)</f>
        <v>2005.79162</v>
      </c>
      <c r="C65" s="48">
        <f>IF(OR(1679.34537="",2005.79162=""),"-",2005.79162/1679.34537*100)</f>
        <v>119.43889898002338</v>
      </c>
      <c r="D65" s="48">
        <f>IF(1679.34537="","-",1679.34537/1787183.4192*100)</f>
        <v>9.3966033478070671E-2</v>
      </c>
      <c r="E65" s="48">
        <f>IF(2005.79162="","-",2005.79162/1544947.98319*100)</f>
        <v>0.12982907138779212</v>
      </c>
      <c r="F65" s="48">
        <f>IF(OR(1752232.13505="",1551.16156="",1679.34537=""),"-",(1679.34537-1551.16156)/1752232.13505*100)</f>
        <v>7.3154582338682134E-3</v>
      </c>
      <c r="G65" s="48">
        <f>IF(OR(1787183.4192="",2005.79162="",1679.34537=""),"-",(2005.79162-1679.34537)/1787183.4192*100)</f>
        <v>1.8265962323337114E-2</v>
      </c>
    </row>
    <row r="66" spans="1:7" ht="38.25" x14ac:dyDescent="0.25">
      <c r="A66" s="47" t="s">
        <v>212</v>
      </c>
      <c r="B66" s="48">
        <f>IF(13260.5344="","-",13260.5344)</f>
        <v>13260.5344</v>
      </c>
      <c r="C66" s="48">
        <f>IF(OR(15763.3145="",13260.5344=""),"-",13260.5344/15763.3145*100)</f>
        <v>84.12275476708912</v>
      </c>
      <c r="D66" s="48">
        <f>IF(15763.3145="","-",15763.3145/1787183.4192*100)</f>
        <v>0.88201996116639014</v>
      </c>
      <c r="E66" s="48">
        <f>IF(13260.5344="","-",13260.5344/1544947.98319*100)</f>
        <v>0.85831591382253025</v>
      </c>
      <c r="F66" s="48">
        <f>IF(OR(1752232.13505="",13494.96529="",15763.3145=""),"-",(15763.3145-13494.96529)/1752232.13505*100)</f>
        <v>0.1294548344723328</v>
      </c>
      <c r="G66" s="48">
        <f>IF(OR(1787183.4192="",13260.5344="",15763.3145=""),"-",(13260.5344-15763.3145)/1787183.4192*100)</f>
        <v>-0.14004047223761307</v>
      </c>
    </row>
    <row r="67" spans="1:7" ht="25.5" x14ac:dyDescent="0.25">
      <c r="A67" s="47" t="s">
        <v>213</v>
      </c>
      <c r="B67" s="48">
        <f>IF(1242.26536="","-",1242.26536)</f>
        <v>1242.2653600000001</v>
      </c>
      <c r="C67" s="48" t="s">
        <v>104</v>
      </c>
      <c r="D67" s="48">
        <f>IF(743.91849="","-",743.91849/1787183.4192*100)</f>
        <v>4.1625189782311299E-2</v>
      </c>
      <c r="E67" s="48">
        <f>IF(1242.26536="","-",1242.26536/1544947.98319*100)</f>
        <v>8.0408232090440832E-2</v>
      </c>
      <c r="F67" s="48">
        <f>IF(OR(1752232.13505="",890.431="",743.91849=""),"-",(743.91849-890.431)/1752232.13505*100)</f>
        <v>-8.3614783149619214E-3</v>
      </c>
      <c r="G67" s="48">
        <f>IF(OR(1787183.4192="",1242.26536="",743.91849=""),"-",(1242.26536-743.91849)/1787183.4192*100)</f>
        <v>2.7884483743872018E-2</v>
      </c>
    </row>
    <row r="68" spans="1:7" ht="38.25" x14ac:dyDescent="0.25">
      <c r="A68" s="47" t="s">
        <v>214</v>
      </c>
      <c r="B68" s="48">
        <f>IF(1684.57922="","-",1684.57922)</f>
        <v>1684.5792200000001</v>
      </c>
      <c r="C68" s="48">
        <f>IF(OR(2256.73171="",1684.57922=""),"-",1684.57922/2256.73171*100)</f>
        <v>74.646853790165423</v>
      </c>
      <c r="D68" s="48">
        <f>IF(2256.73171="","-",2256.73171/1787183.4192*100)</f>
        <v>0.12627308902687698</v>
      </c>
      <c r="E68" s="48">
        <f>IF(1684.57922="","-",1684.57922/1544947.98319*100)</f>
        <v>0.10903792479289109</v>
      </c>
      <c r="F68" s="48">
        <f>IF(OR(1752232.13505="",2990.80734="",2256.73171=""),"-",(2256.73171-2990.80734)/1752232.13505*100)</f>
        <v>-4.1893743147168858E-2</v>
      </c>
      <c r="G68" s="48">
        <f>IF(OR(1787183.4192="",1684.57922="",2256.73171=""),"-",(1684.57922-2256.73171)/1787183.4192*100)</f>
        <v>-3.20142008846587E-2</v>
      </c>
    </row>
    <row r="69" spans="1:7" ht="51" x14ac:dyDescent="0.25">
      <c r="A69" s="47" t="s">
        <v>215</v>
      </c>
      <c r="B69" s="48">
        <f>IF(284280.22974="","-",284280.22974)</f>
        <v>284280.22973999998</v>
      </c>
      <c r="C69" s="48">
        <f>IF(OR(391657.95724="",284280.22974=""),"-",284280.22974/391657.95724*100)</f>
        <v>72.583800350518317</v>
      </c>
      <c r="D69" s="48">
        <f>IF(391657.95724="","-",391657.95724/1787183.4192*100)</f>
        <v>21.914815963059826</v>
      </c>
      <c r="E69" s="48">
        <f>IF(284280.22974="","-",284280.22974/1544947.98319*100)</f>
        <v>18.400634379483748</v>
      </c>
      <c r="F69" s="48">
        <f>IF(OR(1752232.13505="",323359.19182="",391657.95724=""),"-",(391657.95724-323359.19182)/1752232.13505*100)</f>
        <v>3.8978149101261121</v>
      </c>
      <c r="G69" s="48">
        <f>IF(OR(1787183.4192="",284280.22974="",391657.95724=""),"-",(284280.22974-391657.95724)/1787183.4192*100)</f>
        <v>-6.008209697248966</v>
      </c>
    </row>
    <row r="70" spans="1:7" ht="25.5" x14ac:dyDescent="0.25">
      <c r="A70" s="47" t="s">
        <v>216</v>
      </c>
      <c r="B70" s="48">
        <f>IF(14685.11887="","-",14685.11887)</f>
        <v>14685.11887</v>
      </c>
      <c r="C70" s="48">
        <f>IF(OR(16431.79347="",14685.11887=""),"-",14685.11887/16431.79347*100)</f>
        <v>89.370152423173082</v>
      </c>
      <c r="D70" s="48">
        <f>IF(16431.79347="","-",16431.79347/1787183.4192*100)</f>
        <v>0.9194240106231174</v>
      </c>
      <c r="E70" s="48">
        <f>IF(14685.11887="","-",14685.11887/1544947.98319*100)</f>
        <v>0.95052513287070328</v>
      </c>
      <c r="F70" s="48">
        <f>IF(OR(1752232.13505="",13206.52792="",16431.79347=""),"-",(16431.79347-13206.52792)/1752232.13505*100)</f>
        <v>0.18406611118954094</v>
      </c>
      <c r="G70" s="48">
        <f>IF(OR(1787183.4192="",14685.11887="",16431.79347=""),"-",(14685.11887-16431.79347)/1787183.4192*100)</f>
        <v>-9.77333709139864E-2</v>
      </c>
    </row>
    <row r="71" spans="1:7" x14ac:dyDescent="0.25">
      <c r="A71" s="47" t="s">
        <v>34</v>
      </c>
      <c r="B71" s="48">
        <f>IF(18394.95844="","-",18394.95844)</f>
        <v>18394.958439999999</v>
      </c>
      <c r="C71" s="48" t="s">
        <v>285</v>
      </c>
      <c r="D71" s="48">
        <f>IF(2858.83346="","-",2858.83346/1787183.4192*100)</f>
        <v>0.15996306978271455</v>
      </c>
      <c r="E71" s="48">
        <f>IF(18394.95844="","-",18394.95844/1544947.98319*100)</f>
        <v>1.1906522834521709</v>
      </c>
      <c r="F71" s="48">
        <f>IF(OR(1752232.13505="",370.02875="",2858.83346=""),"-",(2858.83346-370.02875)/1752232.13505*100)</f>
        <v>0.14203624395514136</v>
      </c>
      <c r="G71" s="48">
        <f>IF(OR(1787183.4192="",18394.95844="",2858.83346=""),"-",(18394.95844-2858.83346)/1787183.4192*100)</f>
        <v>0.86930780652354434</v>
      </c>
    </row>
    <row r="72" spans="1:7" x14ac:dyDescent="0.25">
      <c r="A72" s="55" t="s">
        <v>35</v>
      </c>
      <c r="B72" s="46">
        <f>IF(319969.7075="","-",319969.7075)</f>
        <v>319969.70750000002</v>
      </c>
      <c r="C72" s="46">
        <f>IF(386593.29443="","-",319969.7075/386593.29443*100)</f>
        <v>82.766491843002356</v>
      </c>
      <c r="D72" s="46">
        <f>IF(386593.29443="","-",386593.29443/1787183.4192*100)</f>
        <v>21.631427993163204</v>
      </c>
      <c r="E72" s="46">
        <f>IF(319969.7075="","-",319969.7075/1544947.98319*100)</f>
        <v>20.710710715277827</v>
      </c>
      <c r="F72" s="46">
        <f>IF(1752232.13505="","-",(386593.29443-413868.81673)/1752232.13505*100)</f>
        <v>-1.556615801890981</v>
      </c>
      <c r="G72" s="46">
        <f>IF(1787183.4192="","-",(319969.7075-386593.29443)/1787183.4192*100)</f>
        <v>-3.7278539076768529</v>
      </c>
    </row>
    <row r="73" spans="1:7" ht="38.25" x14ac:dyDescent="0.25">
      <c r="A73" s="47" t="s">
        <v>242</v>
      </c>
      <c r="B73" s="48">
        <f>IF(6783.20623="","-",6783.20623)</f>
        <v>6783.2062299999998</v>
      </c>
      <c r="C73" s="48">
        <f>IF(OR(5808.63841="",6783.20623=""),"-",6783.20623/5808.63841*100)</f>
        <v>116.77790475513521</v>
      </c>
      <c r="D73" s="48">
        <f>IF(5808.63841="","-",5808.63841/1787183.4192*100)</f>
        <v>0.3250163552099275</v>
      </c>
      <c r="E73" s="48">
        <f>IF(6783.20623="","-",6783.20623/1544947.98319*100)</f>
        <v>0.4390572565423253</v>
      </c>
      <c r="F73" s="48">
        <f>IF(OR(1752232.13505="",4970.65266="",5808.63841=""),"-",(5808.63841-4970.65266)/1752232.13505*100)</f>
        <v>4.7823900340469891E-2</v>
      </c>
      <c r="G73" s="48">
        <f>IF(OR(1787183.4192="",6783.20623="",5808.63841=""),"-",(6783.20623-5808.63841)/1787183.4192*100)</f>
        <v>5.4530934515733577E-2</v>
      </c>
    </row>
    <row r="74" spans="1:7" x14ac:dyDescent="0.25">
      <c r="A74" s="47" t="s">
        <v>217</v>
      </c>
      <c r="B74" s="48">
        <f>IF(77346.11603="","-",77346.11603)</f>
        <v>77346.116030000005</v>
      </c>
      <c r="C74" s="48">
        <f>IF(OR(96709.04987="",77346.11603=""),"-",77346.11603/96709.04987*100)</f>
        <v>79.978157301691638</v>
      </c>
      <c r="D74" s="48">
        <f>IF(96709.04987="","-",96709.04987/1787183.4192*100)</f>
        <v>5.4112548735087325</v>
      </c>
      <c r="E74" s="48">
        <f>IF(77346.11603="","-",77346.11603/1544947.98319*100)</f>
        <v>5.0063896565822343</v>
      </c>
      <c r="F74" s="48">
        <f>IF(OR(1752232.13505="",105161.15824="",96709.04987=""),"-",(96709.04987-105161.15824)/1752232.13505*100)</f>
        <v>-0.48236236517593722</v>
      </c>
      <c r="G74" s="48">
        <f>IF(OR(1787183.4192="",77346.11603="",96709.04987=""),"-",(77346.11603-96709.04987)/1787183.4192*100)</f>
        <v>-1.083432938778464</v>
      </c>
    </row>
    <row r="75" spans="1:7" x14ac:dyDescent="0.25">
      <c r="A75" s="47" t="s">
        <v>218</v>
      </c>
      <c r="B75" s="48">
        <f>IF(8188.11986="","-",8188.11986)</f>
        <v>8188.1198599999998</v>
      </c>
      <c r="C75" s="48">
        <f>IF(OR(8936.89551="",8188.11986=""),"-",8188.11986/8936.89551*100)</f>
        <v>91.62152394909225</v>
      </c>
      <c r="D75" s="48">
        <f>IF(8936.89551="","-",8936.89551/1787183.4192*100)</f>
        <v>0.50005474614354017</v>
      </c>
      <c r="E75" s="48">
        <f>IF(8188.11986="","-",8188.11986/1544947.98319*100)</f>
        <v>0.52999323919587349</v>
      </c>
      <c r="F75" s="48">
        <f>IF(OR(1752232.13505="",11675.44942="",8936.89551=""),"-",(8936.89551-11675.44942)/1752232.13505*100)</f>
        <v>-0.15628944677023948</v>
      </c>
      <c r="G75" s="48">
        <f>IF(OR(1787183.4192="",8188.11986="",8936.89551=""),"-",(8188.11986-8936.89551)/1787183.4192*100)</f>
        <v>-4.1896967147064083E-2</v>
      </c>
    </row>
    <row r="76" spans="1:7" x14ac:dyDescent="0.25">
      <c r="A76" s="47" t="s">
        <v>219</v>
      </c>
      <c r="B76" s="48">
        <f>IF(156816.69111="","-",156816.69111)</f>
        <v>156816.69111000001</v>
      </c>
      <c r="C76" s="48">
        <f>IF(OR(190253.73892="",156816.69111=""),"-",156816.69111/190253.73892*100)</f>
        <v>82.425024601456073</v>
      </c>
      <c r="D76" s="48">
        <f>IF(190253.73892="","-",190253.73892/1787183.4192*100)</f>
        <v>10.645451209768028</v>
      </c>
      <c r="E76" s="48">
        <f>IF(156816.69111="","-",156816.69111/1544947.98319*100)</f>
        <v>10.150289382960699</v>
      </c>
      <c r="F76" s="48">
        <f>IF(OR(1752232.13505="",212241.73886="",190253.73892=""),"-",(190253.73892-212241.73886)/1752232.13505*100)</f>
        <v>-1.2548565626764163</v>
      </c>
      <c r="G76" s="48">
        <f>IF(OR(1787183.4192="",156816.69111="",190253.73892=""),"-",(156816.69111-190253.73892)/1787183.4192*100)</f>
        <v>-1.8709354311807276</v>
      </c>
    </row>
    <row r="77" spans="1:7" x14ac:dyDescent="0.25">
      <c r="A77" s="47" t="s">
        <v>220</v>
      </c>
      <c r="B77" s="48">
        <f>IF(21414.79366="","-",21414.79366)</f>
        <v>21414.793659999999</v>
      </c>
      <c r="C77" s="48">
        <f>IF(OR(23487.69087="",21414.79366=""),"-",21414.79366/23487.69087*100)</f>
        <v>91.174538095408792</v>
      </c>
      <c r="D77" s="48">
        <f>IF(23487.69087="","-",23487.69087/1787183.4192*100)</f>
        <v>1.3142294527617</v>
      </c>
      <c r="E77" s="48">
        <f>IF(21414.79366="","-",21414.79366/1544947.98319*100)</f>
        <v>1.3861174546331878</v>
      </c>
      <c r="F77" s="48">
        <f>IF(OR(1752232.13505="",25164.18306="",23487.69087=""),"-",(23487.69087-25164.18306)/1752232.13505*100)</f>
        <v>-9.5677516492537223E-2</v>
      </c>
      <c r="G77" s="48">
        <f>IF(OR(1787183.4192="",21414.79366="",23487.69087=""),"-",(21414.79366-23487.69087)/1787183.4192*100)</f>
        <v>-0.11598681969240145</v>
      </c>
    </row>
    <row r="78" spans="1:7" ht="25.5" x14ac:dyDescent="0.25">
      <c r="A78" s="47" t="s">
        <v>243</v>
      </c>
      <c r="B78" s="48">
        <f>IF(12825.68085="","-",12825.68085)</f>
        <v>12825.680850000001</v>
      </c>
      <c r="C78" s="48">
        <f>IF(OR(15564.95442="",12825.68085=""),"-",12825.68085/15564.95442*100)</f>
        <v>82.401017721708186</v>
      </c>
      <c r="D78" s="48">
        <f>IF(15564.95442="","-",15564.95442/1787183.4192*100)</f>
        <v>0.87092092802468857</v>
      </c>
      <c r="E78" s="48">
        <f>IF(12825.68085="","-",12825.68085/1544947.98319*100)</f>
        <v>0.83016910533891286</v>
      </c>
      <c r="F78" s="48">
        <f>IF(OR(1752232.13505="",15529.47895="",15564.95442=""),"-",(15564.95442-15529.47895)/1752232.13505*100)</f>
        <v>2.0245873415046752E-3</v>
      </c>
      <c r="G78" s="48">
        <f>IF(OR(1787183.4192="",12825.68085="",15564.95442=""),"-",(12825.68085-15564.95442)/1787183.4192*100)</f>
        <v>-0.15327321978099961</v>
      </c>
    </row>
    <row r="79" spans="1:7" ht="25.5" x14ac:dyDescent="0.25">
      <c r="A79" s="47" t="s">
        <v>221</v>
      </c>
      <c r="B79" s="48">
        <f>IF(1905.93796="","-",1905.93796)</f>
        <v>1905.93796</v>
      </c>
      <c r="C79" s="48">
        <f>IF(OR(2663.58287="",1905.93796=""),"-",1905.93796/2663.58287*100)</f>
        <v>71.555421889314061</v>
      </c>
      <c r="D79" s="48">
        <f>IF(2663.58287="","-",2663.58287/1787183.4192*100)</f>
        <v>0.14903802493827437</v>
      </c>
      <c r="E79" s="48">
        <f>IF(1905.93796="","-",1905.93796/1544947.98319*100)</f>
        <v>0.12336583371982725</v>
      </c>
      <c r="F79" s="48">
        <f>IF(OR(1752232.13505="",2317.73034="",2663.58287=""),"-",(2663.58287-2317.73034)/1752232.13505*100)</f>
        <v>1.9737826003866275E-2</v>
      </c>
      <c r="G79" s="48">
        <f>IF(OR(1787183.4192="",1905.93796="",2663.58287=""),"-",(1905.93796-2663.58287)/1787183.4192*100)</f>
        <v>-4.2393237418191031E-2</v>
      </c>
    </row>
    <row r="80" spans="1:7" x14ac:dyDescent="0.25">
      <c r="A80" s="47" t="s">
        <v>36</v>
      </c>
      <c r="B80" s="50">
        <f>IF(34689.1618="","-",34689.1618)</f>
        <v>34689.161800000002</v>
      </c>
      <c r="C80" s="50">
        <f>IF(OR(43168.74356="",34689.1618=""),"-",34689.1618/43168.74356*100)</f>
        <v>80.357126335599091</v>
      </c>
      <c r="D80" s="50">
        <f>IF(43168.74356="","-",43168.74356/1787183.4192*100)</f>
        <v>2.4154624028083083</v>
      </c>
      <c r="E80" s="50">
        <f>IF(34689.1618="","-",34689.1618/1544947.98319*100)</f>
        <v>2.2453287863047668</v>
      </c>
      <c r="F80" s="50">
        <f>IF(OR(1752232.13505="",36808.4252="",43168.74356=""),"-",(43168.74356-36808.4252)/1752232.13505*100)</f>
        <v>0.36298377553830863</v>
      </c>
      <c r="G80" s="50">
        <f>IF(OR(1787183.4192="",34689.1618="",43168.74356=""),"-",(34689.1618-43168.74356)/1787183.4192*100)</f>
        <v>-0.47446622819473849</v>
      </c>
    </row>
    <row r="81" spans="1:7" ht="25.5" x14ac:dyDescent="0.25">
      <c r="A81" s="56" t="s">
        <v>222</v>
      </c>
      <c r="B81" s="57">
        <f>IF(408.3958="","-",408.3958)</f>
        <v>408.39580000000001</v>
      </c>
      <c r="C81" s="57">
        <f>IF(462.98741="","-",408.3958/462.98741*100)</f>
        <v>88.208834879548874</v>
      </c>
      <c r="D81" s="57">
        <f>IF(462.98741="","-",462.98741/1787183.4192*100)</f>
        <v>2.5905981726668428E-2</v>
      </c>
      <c r="E81" s="57">
        <f>IF(408.3958="","-",408.3958/1544947.98319*100)</f>
        <v>2.6434275098165223E-2</v>
      </c>
      <c r="F81" s="57">
        <f>IF(1752232.13505="","-",(462.98741-747.2806)/1752232.13505*100)</f>
        <v>-1.6224630533436011E-2</v>
      </c>
      <c r="G81" s="57">
        <f>IF(1787183.4192="","-",(408.3958-462.98741)/1787183.4192*100)</f>
        <v>-3.0546170814653678E-3</v>
      </c>
    </row>
    <row r="82" spans="1:7" x14ac:dyDescent="0.25">
      <c r="A82" s="55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K74" sqref="K74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8" t="s">
        <v>161</v>
      </c>
      <c r="B1" s="98"/>
      <c r="C1" s="98"/>
      <c r="D1" s="98"/>
      <c r="E1" s="98"/>
      <c r="F1" s="98"/>
      <c r="G1" s="98"/>
    </row>
    <row r="2" spans="1:7" x14ac:dyDescent="0.25">
      <c r="A2" s="98" t="s">
        <v>23</v>
      </c>
      <c r="B2" s="98"/>
      <c r="C2" s="98"/>
      <c r="D2" s="98"/>
      <c r="E2" s="98"/>
      <c r="F2" s="98"/>
      <c r="G2" s="98"/>
    </row>
    <row r="3" spans="1:7" x14ac:dyDescent="0.25">
      <c r="A3" s="5"/>
    </row>
    <row r="4" spans="1:7" ht="57" customHeight="1" x14ac:dyDescent="0.25">
      <c r="A4" s="106"/>
      <c r="B4" s="109" t="s">
        <v>252</v>
      </c>
      <c r="C4" s="104"/>
      <c r="D4" s="109" t="s">
        <v>0</v>
      </c>
      <c r="E4" s="104"/>
      <c r="F4" s="110" t="s">
        <v>120</v>
      </c>
      <c r="G4" s="111"/>
    </row>
    <row r="5" spans="1:7" ht="19.5" customHeight="1" x14ac:dyDescent="0.25">
      <c r="A5" s="107"/>
      <c r="B5" s="112" t="s">
        <v>111</v>
      </c>
      <c r="C5" s="99" t="s">
        <v>253</v>
      </c>
      <c r="D5" s="114" t="s">
        <v>254</v>
      </c>
      <c r="E5" s="114"/>
      <c r="F5" s="114" t="s">
        <v>254</v>
      </c>
      <c r="G5" s="109"/>
    </row>
    <row r="6" spans="1:7" ht="26.25" customHeight="1" x14ac:dyDescent="0.25">
      <c r="A6" s="108"/>
      <c r="B6" s="113"/>
      <c r="C6" s="100"/>
      <c r="D6" s="24">
        <v>2019</v>
      </c>
      <c r="E6" s="24">
        <v>2020</v>
      </c>
      <c r="F6" s="24" t="s">
        <v>122</v>
      </c>
      <c r="G6" s="20" t="s">
        <v>141</v>
      </c>
    </row>
    <row r="7" spans="1:7" x14ac:dyDescent="0.25">
      <c r="A7" s="43" t="s">
        <v>133</v>
      </c>
      <c r="B7" s="44">
        <f>IF(3323417.92643="","-",3323417.92643)</f>
        <v>3323417.92643</v>
      </c>
      <c r="C7" s="44">
        <f>IF(3771658.08092="","-",3323417.92643/3771658.08092*100)</f>
        <v>88.115567613152692</v>
      </c>
      <c r="D7" s="44">
        <v>100</v>
      </c>
      <c r="E7" s="44">
        <v>100</v>
      </c>
      <c r="F7" s="44">
        <f>IF(3703581.02097="","-",(3771658.08092-3703581.02097)/3703581.02097*100)</f>
        <v>1.83814150587072</v>
      </c>
      <c r="G7" s="44">
        <f>IF(3771658.08092="","-",(3323417.92643-3771658.08092)/3771658.08092*100)</f>
        <v>-11.884432386847307</v>
      </c>
    </row>
    <row r="8" spans="1:7" ht="12" customHeight="1" x14ac:dyDescent="0.25">
      <c r="A8" s="35" t="s">
        <v>138</v>
      </c>
      <c r="B8" s="34"/>
      <c r="C8" s="34"/>
      <c r="D8" s="34"/>
      <c r="E8" s="34"/>
      <c r="F8" s="34"/>
      <c r="G8" s="34"/>
    </row>
    <row r="9" spans="1:7" x14ac:dyDescent="0.25">
      <c r="A9" s="55" t="s">
        <v>223</v>
      </c>
      <c r="B9" s="46">
        <f>IF(411314.94681="","-",411314.94681)</f>
        <v>411314.94680999999</v>
      </c>
      <c r="C9" s="46">
        <f>IF(382083.53734="","-",411314.94681/382083.53734*100)</f>
        <v>107.65052838274688</v>
      </c>
      <c r="D9" s="46">
        <f>IF(382083.53734="","-",382083.53734/3771658.08092*100)</f>
        <v>10.130386401484209</v>
      </c>
      <c r="E9" s="46">
        <f>IF(411314.94681="","-",411314.94681/3323417.92643*100)</f>
        <v>12.376263109702625</v>
      </c>
      <c r="F9" s="46">
        <f>IF(3703581.02097="","-",(382083.53734-361860.76764)/3703581.02097*100)</f>
        <v>0.54603286887736258</v>
      </c>
      <c r="G9" s="46">
        <f>IF(3771658.08092="","-",(411314.94681-382083.53734)/3771658.08092*100)</f>
        <v>0.77502808692748082</v>
      </c>
    </row>
    <row r="10" spans="1:7" ht="14.25" customHeight="1" x14ac:dyDescent="0.25">
      <c r="A10" s="47" t="s">
        <v>24</v>
      </c>
      <c r="B10" s="48">
        <f>IF(4700.48708="","-",4700.48708)</f>
        <v>4700.4870799999999</v>
      </c>
      <c r="C10" s="48">
        <f>IF(OR(3694.47466="",4700.48708=""),"-",4700.48708/3694.47466*100)</f>
        <v>127.23018866233069</v>
      </c>
      <c r="D10" s="48">
        <f>IF(3694.47466="","-",3694.47466/3771658.08092*100)</f>
        <v>9.7953594433428257E-2</v>
      </c>
      <c r="E10" s="48">
        <f>IF(4700.48708="","-",4700.48708/3323417.92643*100)</f>
        <v>0.14143532905141548</v>
      </c>
      <c r="F10" s="48">
        <f>IF(OR(3703581.02097="",3440.2052="",3694.47466=""),"-",(3694.47466-3440.2052)/3703581.02097*100)</f>
        <v>6.8655028352371406E-3</v>
      </c>
      <c r="G10" s="48">
        <f>IF(OR(3771658.08092="",4700.48708="",3694.47466=""),"-",(4700.48708-3694.47466)/3771658.08092*100)</f>
        <v>2.6672948565756759E-2</v>
      </c>
    </row>
    <row r="11" spans="1:7" s="9" customFormat="1" x14ac:dyDescent="0.25">
      <c r="A11" s="47" t="s">
        <v>224</v>
      </c>
      <c r="B11" s="48">
        <f>IF(25379.85181="","-",25379.85181)</f>
        <v>25379.85181</v>
      </c>
      <c r="C11" s="48">
        <f>IF(OR(30754.32011="",25379.85181=""),"-",25379.85181/30754.32011*100)</f>
        <v>82.524509464761493</v>
      </c>
      <c r="D11" s="48">
        <f>IF(30754.32011="","-",30754.32011/3771658.08092*100)</f>
        <v>0.81540583611169404</v>
      </c>
      <c r="E11" s="48">
        <f>IF(25379.85181="","-",25379.85181/3323417.92643*100)</f>
        <v>0.76366717553524532</v>
      </c>
      <c r="F11" s="48">
        <f>IF(OR(3703581.02097="",28080.64445="",30754.32011=""),"-",(30754.32011-28080.64445)/3703581.02097*100)</f>
        <v>7.2191634120096604E-2</v>
      </c>
      <c r="G11" s="48">
        <f>IF(OR(3771658.08092="",25379.85181="",30754.32011=""),"-",(25379.85181-30754.32011)/3771658.08092*100)</f>
        <v>-0.14249616971348145</v>
      </c>
    </row>
    <row r="12" spans="1:7" s="9" customFormat="1" x14ac:dyDescent="0.25">
      <c r="A12" s="47" t="s">
        <v>225</v>
      </c>
      <c r="B12" s="48">
        <f>IF(52836.07845="","-",52836.07845)</f>
        <v>52836.078450000001</v>
      </c>
      <c r="C12" s="48">
        <f>IF(OR(40898.78892="",52836.07845=""),"-",52836.07845/40898.78892*100)</f>
        <v>129.18739122899191</v>
      </c>
      <c r="D12" s="48">
        <f>IF(40898.78892="","-",40898.78892/3771658.08092*100)</f>
        <v>1.0843715957949129</v>
      </c>
      <c r="E12" s="48">
        <f>IF(52836.07845="","-",52836.07845/3323417.92643*100)</f>
        <v>1.5898114417032188</v>
      </c>
      <c r="F12" s="48">
        <f>IF(OR(3703581.02097="",37559.81652="",40898.78892=""),"-",(40898.78892-37559.81652)/3703581.02097*100)</f>
        <v>9.0155241132688732E-2</v>
      </c>
      <c r="G12" s="48">
        <f>IF(OR(3771658.08092="",52836.07845="",40898.78892=""),"-",(52836.07845-40898.78892)/3771658.08092*100)</f>
        <v>0.31649978004072421</v>
      </c>
    </row>
    <row r="13" spans="1:7" s="9" customFormat="1" x14ac:dyDescent="0.25">
      <c r="A13" s="47" t="s">
        <v>226</v>
      </c>
      <c r="B13" s="48">
        <f>IF(34785.28688="","-",34785.28688)</f>
        <v>34785.28688</v>
      </c>
      <c r="C13" s="48">
        <f>IF(OR(34594.86131="",34785.28688=""),"-",34785.28688/34594.86131*100)</f>
        <v>100.55044466949477</v>
      </c>
      <c r="D13" s="48">
        <f>IF(34594.86131="","-",34594.86131/3771658.08092*100)</f>
        <v>0.91723217130969259</v>
      </c>
      <c r="E13" s="48">
        <f>IF(34785.28688="","-",34785.28688/3323417.92643*100)</f>
        <v>1.0466720602114039</v>
      </c>
      <c r="F13" s="48">
        <f>IF(OR(3703581.02097="",32118.35384="",34594.86131=""),"-",(34594.86131-32118.35384)/3703581.02097*100)</f>
        <v>6.6867916645479017E-2</v>
      </c>
      <c r="G13" s="48">
        <f>IF(OR(3771658.08092="",34785.28688="",34594.86131=""),"-",(34785.28688-34594.86131)/3771658.08092*100)</f>
        <v>5.048855593865231E-3</v>
      </c>
    </row>
    <row r="14" spans="1:7" s="9" customFormat="1" x14ac:dyDescent="0.25">
      <c r="A14" s="47" t="s">
        <v>227</v>
      </c>
      <c r="B14" s="48">
        <f>IF(62483.1048="","-",62483.1048)</f>
        <v>62483.104800000001</v>
      </c>
      <c r="C14" s="48">
        <f>IF(OR(54705.1656="",62483.1048=""),"-",62483.1048/54705.1656*100)</f>
        <v>114.21792460491153</v>
      </c>
      <c r="D14" s="48">
        <f>IF(54705.1656="","-",54705.1656/3771658.08092*100)</f>
        <v>1.4504274890860751</v>
      </c>
      <c r="E14" s="48">
        <f>IF(62483.1048="","-",62483.1048/3323417.92643*100)</f>
        <v>1.8800856883840384</v>
      </c>
      <c r="F14" s="48">
        <f>IF(OR(3703581.02097="",51138.7084="",54705.1656=""),"-",(54705.1656-51138.7084)/3703581.02097*100)</f>
        <v>9.6297534192080703E-2</v>
      </c>
      <c r="G14" s="48">
        <f>IF(OR(3771658.08092="",62483.1048="",54705.1656=""),"-",(62483.1048-54705.1656)/3771658.08092*100)</f>
        <v>0.2062206868471696</v>
      </c>
    </row>
    <row r="15" spans="1:7" s="9" customFormat="1" x14ac:dyDescent="0.25">
      <c r="A15" s="47" t="s">
        <v>228</v>
      </c>
      <c r="B15" s="48">
        <f>IF(112019.63765="","-",112019.63765)</f>
        <v>112019.63765</v>
      </c>
      <c r="C15" s="48">
        <f>IF(OR(106911.46068="",112019.63765=""),"-",112019.63765/106911.46068*100)</f>
        <v>104.77795078049625</v>
      </c>
      <c r="D15" s="48">
        <f>IF(106911.46068="","-",106911.46068/3771658.08092*100)</f>
        <v>2.8346010795846497</v>
      </c>
      <c r="E15" s="48">
        <f>IF(112019.63765="","-",112019.63765/3323417.92643*100)</f>
        <v>3.3706154365704761</v>
      </c>
      <c r="F15" s="48">
        <f>IF(OR(3703581.02097="",98466.49778="",106911.46068=""),"-",(106911.46068-98466.49778)/3703581.02097*100)</f>
        <v>0.2280215513629614</v>
      </c>
      <c r="G15" s="48">
        <f>IF(OR(3771658.08092="",112019.63765="",106911.46068=""),"-",(112019.63765-106911.46068)/3771658.08092*100)</f>
        <v>0.13543584440596987</v>
      </c>
    </row>
    <row r="16" spans="1:7" s="9" customFormat="1" ht="14.25" customHeight="1" x14ac:dyDescent="0.25">
      <c r="A16" s="47" t="s">
        <v>185</v>
      </c>
      <c r="B16" s="48">
        <f>IF(10207.57916="","-",10207.57916)</f>
        <v>10207.579159999999</v>
      </c>
      <c r="C16" s="48">
        <f>IF(OR(9364.74073="",10207.57916=""),"-",10207.57916/9364.74073*100)</f>
        <v>109.00012562333907</v>
      </c>
      <c r="D16" s="48">
        <f>IF(9364.74073="","-",9364.74073/3771658.08092*100)</f>
        <v>0.24829240957376786</v>
      </c>
      <c r="E16" s="48">
        <f>IF(10207.57916="","-",10207.57916/3323417.92643*100)</f>
        <v>0.30714100320704874</v>
      </c>
      <c r="F16" s="48">
        <f>IF(OR(3703581.02097="",9689.28943="",9364.74073=""),"-",(9364.74073-9689.28943)/3703581.02097*100)</f>
        <v>-8.7631051720585586E-3</v>
      </c>
      <c r="G16" s="48">
        <f>IF(OR(3771658.08092="",10207.57916="",9364.74073=""),"-",(10207.57916-9364.74073)/3771658.08092*100)</f>
        <v>2.234662877485466E-2</v>
      </c>
    </row>
    <row r="17" spans="1:7" s="9" customFormat="1" ht="25.5" x14ac:dyDescent="0.25">
      <c r="A17" s="47" t="s">
        <v>229</v>
      </c>
      <c r="B17" s="48">
        <f>IF(32604.28254="","-",32604.28254)</f>
        <v>32604.28254</v>
      </c>
      <c r="C17" s="48">
        <f>IF(OR(31711.52791="",32604.28254=""),"-",32604.28254/31711.52791*100)</f>
        <v>102.81523688336213</v>
      </c>
      <c r="D17" s="48">
        <f>IF(31711.52791="","-",31711.52791/3771658.08092*100)</f>
        <v>0.84078480152858337</v>
      </c>
      <c r="E17" s="48">
        <f>IF(32604.28254="","-",32604.28254/3323417.92643*100)</f>
        <v>0.98104671942428157</v>
      </c>
      <c r="F17" s="48">
        <f>IF(OR(3703581.02097="",31747.98162="",31711.52791=""),"-",(31711.52791-31747.98162)/3703581.02097*100)</f>
        <v>-9.8428277371532744E-4</v>
      </c>
      <c r="G17" s="48">
        <f>IF(OR(3771658.08092="",32604.28254="",31711.52791=""),"-",(32604.28254-31711.52791)/3771658.08092*100)</f>
        <v>2.3670083842335852E-2</v>
      </c>
    </row>
    <row r="18" spans="1:7" s="9" customFormat="1" ht="25.5" x14ac:dyDescent="0.25">
      <c r="A18" s="47" t="s">
        <v>186</v>
      </c>
      <c r="B18" s="48">
        <f>IF(25638.68814="","-",25638.68814)</f>
        <v>25638.688139999998</v>
      </c>
      <c r="C18" s="48">
        <f>IF(OR(21521.66311="",25638.68814=""),"-",25638.68814/21521.66311*100)</f>
        <v>119.12967882155459</v>
      </c>
      <c r="D18" s="48">
        <f>IF(21521.66311="","-",21521.66311/3771658.08092*100)</f>
        <v>0.57061543353766409</v>
      </c>
      <c r="E18" s="48">
        <f>IF(25638.68814="","-",25638.68814/3323417.92643*100)</f>
        <v>0.77145543255647531</v>
      </c>
      <c r="F18" s="48">
        <f>IF(OR(3703581.02097="",24615.63648="",21521.66311=""),"-",(21521.66311-24615.63648)/3703581.02097*100)</f>
        <v>-8.3540048198801425E-2</v>
      </c>
      <c r="G18" s="48">
        <f>IF(OR(3771658.08092="",25638.68814="",21521.66311=""),"-",(25638.68814-21521.66311)/3771658.08092*100)</f>
        <v>0.10915689974197644</v>
      </c>
    </row>
    <row r="19" spans="1:7" s="9" customFormat="1" x14ac:dyDescent="0.25">
      <c r="A19" s="47" t="s">
        <v>230</v>
      </c>
      <c r="B19" s="48">
        <f>IF(50659.9503="","-",50659.9503)</f>
        <v>50659.950299999997</v>
      </c>
      <c r="C19" s="48">
        <f>IF(OR(47926.53431="",50659.9503=""),"-",50659.9503/47926.53431*100)</f>
        <v>105.70334581741217</v>
      </c>
      <c r="D19" s="48">
        <f>IF(47926.53431="","-",47926.53431/3771658.08092*100)</f>
        <v>1.2707019905237418</v>
      </c>
      <c r="E19" s="48">
        <f>IF(50659.9503="","-",50659.9503/3323417.92643*100)</f>
        <v>1.524332823059021</v>
      </c>
      <c r="F19" s="48">
        <f>IF(OR(3703581.02097="",45003.63392="",47926.53431=""),"-",(47926.53431-45003.63392)/3703581.02097*100)</f>
        <v>7.8920924733394099E-2</v>
      </c>
      <c r="G19" s="48">
        <f>IF(OR(3771658.08092="",50659.9503="",47926.53431=""),"-",(50659.9503-47926.53431)/3771658.08092*100)</f>
        <v>7.2472528828309027E-2</v>
      </c>
    </row>
    <row r="20" spans="1:7" s="9" customFormat="1" x14ac:dyDescent="0.25">
      <c r="A20" s="55" t="s">
        <v>231</v>
      </c>
      <c r="B20" s="46">
        <f>IF(66595.87726="","-",66595.87726)</f>
        <v>66595.877259999994</v>
      </c>
      <c r="C20" s="46">
        <f>IF(81194.99366="","-",66595.87726/81194.99366*100)</f>
        <v>82.0196840446431</v>
      </c>
      <c r="D20" s="46">
        <f>IF(81194.99366="","-",81194.99366/3771658.08092*100)</f>
        <v>2.1527665530114688</v>
      </c>
      <c r="E20" s="46">
        <f>IF(66595.87726="","-",66595.87726/3323417.92643*100)</f>
        <v>2.0038369754939902</v>
      </c>
      <c r="F20" s="46">
        <f>IF(3703581.02097="","-",(81194.99366-75321.50251)/3703581.02097*100)</f>
        <v>0.15858951422268788</v>
      </c>
      <c r="G20" s="46">
        <f>IF(3771658.08092="","-",(66595.87726-81194.99366)/3771658.08092*100)</f>
        <v>-0.38707422801270774</v>
      </c>
    </row>
    <row r="21" spans="1:7" s="9" customFormat="1" x14ac:dyDescent="0.25">
      <c r="A21" s="47" t="s">
        <v>232</v>
      </c>
      <c r="B21" s="48">
        <f>IF(34537.7198="","-",34537.7198)</f>
        <v>34537.719799999999</v>
      </c>
      <c r="C21" s="48">
        <f>IF(OR(42617.44724="",34537.7198=""),"-",34537.7198/42617.44724*100)</f>
        <v>81.041268392968149</v>
      </c>
      <c r="D21" s="48">
        <f>IF(42617.44724="","-",42617.44724/3771658.08092*100)</f>
        <v>1.1299393085389267</v>
      </c>
      <c r="E21" s="48">
        <f>IF(34537.7198="","-",34537.7198/3323417.92643*100)</f>
        <v>1.0392228893433291</v>
      </c>
      <c r="F21" s="48">
        <f>IF(OR(3703581.02097="",41997.23565="",42617.44724=""),"-",(42617.44724-41997.23565)/3703581.02097*100)</f>
        <v>1.674626763903116E-2</v>
      </c>
      <c r="G21" s="48">
        <f>IF(OR(3771658.08092="",34537.7198="",42617.44724=""),"-",(34537.7198-42617.44724)/3771658.08092*100)</f>
        <v>-0.21422216082824663</v>
      </c>
    </row>
    <row r="22" spans="1:7" s="9" customFormat="1" x14ac:dyDescent="0.25">
      <c r="A22" s="47" t="s">
        <v>233</v>
      </c>
      <c r="B22" s="48">
        <f>IF(32058.15746="","-",32058.15746)</f>
        <v>32058.157459999999</v>
      </c>
      <c r="C22" s="48">
        <f>IF(OR(38577.54642="",32058.15746=""),"-",32058.15746/38577.54642*100)</f>
        <v>83.100560909129996</v>
      </c>
      <c r="D22" s="48">
        <f>IF(38577.54642="","-",38577.54642/3771658.08092*100)</f>
        <v>1.0228272444725421</v>
      </c>
      <c r="E22" s="48">
        <f>IF(32058.15746="","-",32058.15746/3323417.92643*100)</f>
        <v>0.96461408615066113</v>
      </c>
      <c r="F22" s="48">
        <f>IF(OR(3703581.02097="",33324.26686="",38577.54642=""),"-",(38577.54642-33324.26686)/3703581.02097*100)</f>
        <v>0.14184324658365693</v>
      </c>
      <c r="G22" s="48">
        <f>IF(OR(3771658.08092="",32058.15746="",38577.54642=""),"-",(32058.15746-38577.54642)/3771658.08092*100)</f>
        <v>-0.17285206718446125</v>
      </c>
    </row>
    <row r="23" spans="1:7" s="9" customFormat="1" ht="25.5" x14ac:dyDescent="0.25">
      <c r="A23" s="55" t="s">
        <v>25</v>
      </c>
      <c r="B23" s="46">
        <f>IF(94467.98043="","-",94467.98043)</f>
        <v>94467.980429999996</v>
      </c>
      <c r="C23" s="46">
        <f>IF(104139.16205="","-",94467.98043/104139.16205*100)</f>
        <v>90.71321352157932</v>
      </c>
      <c r="D23" s="46">
        <f>IF(104139.16205="","-",104139.16205/3771658.08092*100)</f>
        <v>2.7610976344016289</v>
      </c>
      <c r="E23" s="46">
        <f>IF(94467.98043="","-",94467.98043/3323417.92643*100)</f>
        <v>2.8424947605514381</v>
      </c>
      <c r="F23" s="46">
        <f>IF(3703581.02097="","-",(104139.16205-95945.59428)/3703581.02097*100)</f>
        <v>0.22123365800848682</v>
      </c>
      <c r="G23" s="46">
        <f>IF(3771658.08092="","-",(94467.98043-104139.16205)/3771658.08092*100)</f>
        <v>-0.25641724176760383</v>
      </c>
    </row>
    <row r="24" spans="1:7" s="9" customFormat="1" x14ac:dyDescent="0.25">
      <c r="A24" s="47" t="s">
        <v>234</v>
      </c>
      <c r="B24" s="48">
        <f>IF(28935.79435="","-",28935.79435)</f>
        <v>28935.79435</v>
      </c>
      <c r="C24" s="48">
        <f>IF(OR(28639.08545="",28935.79435=""),"-",28935.79435/28639.08545*100)</f>
        <v>101.03602784564478</v>
      </c>
      <c r="D24" s="48">
        <f>IF(28639.08545="","-",28639.08545/3771658.08092*100)</f>
        <v>0.75932348149157314</v>
      </c>
      <c r="E24" s="48">
        <f>IF(28935.79435="","-",28935.79435/3323417.92643*100)</f>
        <v>0.87066372603588538</v>
      </c>
      <c r="F24" s="48">
        <f>IF(OR(3703581.02097="",32022.23124="",28639.08545=""),"-",(28639.08545-32022.23124)/3703581.02097*100)</f>
        <v>-9.1347962170783753E-2</v>
      </c>
      <c r="G24" s="48">
        <f>IF(OR(3771658.08092="",28935.79435="",28639.08545=""),"-",(28935.79435-28639.08545)/3771658.08092*100)</f>
        <v>7.8668027067720532E-3</v>
      </c>
    </row>
    <row r="25" spans="1:7" s="9" customFormat="1" ht="25.5" x14ac:dyDescent="0.25">
      <c r="A25" s="47" t="s">
        <v>235</v>
      </c>
      <c r="B25" s="48">
        <f>IF(855.04697="","-",855.04697)</f>
        <v>855.04696999999999</v>
      </c>
      <c r="C25" s="48">
        <f>IF(OR(1081.20476="",855.04697=""),"-",855.04697/1081.20476*100)</f>
        <v>79.082797415727242</v>
      </c>
      <c r="D25" s="48">
        <f>IF(1081.20476="","-",1081.20476/3771658.08092*100)</f>
        <v>2.8666563532616606E-2</v>
      </c>
      <c r="E25" s="48">
        <f>IF(855.04697="","-",855.04697/3323417.92643*100)</f>
        <v>2.572793999815989E-2</v>
      </c>
      <c r="F25" s="48">
        <f>IF(OR(3703581.02097="",607.60564="",1081.20476=""),"-",(1081.20476-607.60564)/3703581.02097*100)</f>
        <v>1.2787599820779955E-2</v>
      </c>
      <c r="G25" s="48">
        <f>IF(OR(3771658.08092="",855.04697="",1081.20476=""),"-",(855.04697-1081.20476)/3771658.08092*100)</f>
        <v>-5.9962431680666726E-3</v>
      </c>
    </row>
    <row r="26" spans="1:7" s="9" customFormat="1" x14ac:dyDescent="0.25">
      <c r="A26" s="47" t="s">
        <v>236</v>
      </c>
      <c r="B26" s="48">
        <f>IF(24202.95876="","-",24202.95876)</f>
        <v>24202.958760000001</v>
      </c>
      <c r="C26" s="48">
        <f>IF(OR(25213.5477="",24202.95876=""),"-",24202.95876/25213.5477*100)</f>
        <v>95.991881221855991</v>
      </c>
      <c r="D26" s="48">
        <f>IF(25213.5477="","-",25213.5477/3771658.08092*100)</f>
        <v>0.66850035605162261</v>
      </c>
      <c r="E26" s="48">
        <f>IF(24202.95876="","-",24202.95876/3323417.92643*100)</f>
        <v>0.72825504633414273</v>
      </c>
      <c r="F26" s="48">
        <f>IF(OR(3703581.02097="",22376.59621="",25213.5477=""),"-",(25213.5477-22376.59621)/3703581.02097*100)</f>
        <v>7.6600227561836279E-2</v>
      </c>
      <c r="G26" s="48">
        <f>IF(OR(3771658.08092="",24202.95876="",25213.5477=""),"-",(24202.95876-25213.5477)/3771658.08092*100)</f>
        <v>-2.6794288302864674E-2</v>
      </c>
    </row>
    <row r="27" spans="1:7" s="9" customFormat="1" x14ac:dyDescent="0.25">
      <c r="A27" s="47" t="s">
        <v>187</v>
      </c>
      <c r="B27" s="48">
        <f>IF(286.51155="","-",286.51155)</f>
        <v>286.51155</v>
      </c>
      <c r="C27" s="48">
        <f>IF(OR(286.16837="",286.51155=""),"-",286.51155/286.16837*100)</f>
        <v>100.11992240791672</v>
      </c>
      <c r="D27" s="48">
        <f>IF(286.16837="","-",286.16837/3771658.08092*100)</f>
        <v>7.5873359636618089E-3</v>
      </c>
      <c r="E27" s="48">
        <f>IF(286.51155="","-",286.51155/3323417.92643*100)</f>
        <v>8.6209906891779129E-3</v>
      </c>
      <c r="F27" s="48">
        <f>IF(OR(3703581.02097="",320.3113="",286.16837=""),"-",(286.16837-320.3113)/3703581.02097*100)</f>
        <v>-9.2188964698435851E-4</v>
      </c>
      <c r="G27" s="48">
        <f>IF(OR(3771658.08092="",286.51155="",286.16837=""),"-",(286.51155-286.16837)/3771658.08092*100)</f>
        <v>9.0989159843542332E-6</v>
      </c>
    </row>
    <row r="28" spans="1:7" s="9" customFormat="1" ht="14.25" customHeight="1" x14ac:dyDescent="0.25">
      <c r="A28" s="47" t="s">
        <v>188</v>
      </c>
      <c r="B28" s="48">
        <f>IF(4537.39974="","-",4537.39974)</f>
        <v>4537.3997399999998</v>
      </c>
      <c r="C28" s="48">
        <f>IF(OR(5013.08606="",4537.39974=""),"-",4537.39974/5013.08606*100)</f>
        <v>90.511108041899448</v>
      </c>
      <c r="D28" s="48">
        <f>IF(5013.08606="","-",5013.08606/3771658.08092*100)</f>
        <v>0.13291464794648578</v>
      </c>
      <c r="E28" s="48">
        <f>IF(4537.39974="","-",4537.39974/3323417.92643*100)</f>
        <v>0.13652811173447732</v>
      </c>
      <c r="F28" s="48">
        <f>IF(OR(3703581.02097="",5429.24223="",5013.08606=""),"-",(5013.08606-5429.24223)/3703581.02097*100)</f>
        <v>-1.1236588794566326E-2</v>
      </c>
      <c r="G28" s="48">
        <f>IF(OR(3771658.08092="",4537.39974="",5013.08606=""),"-",(4537.39974-5013.08606)/3771658.08092*100)</f>
        <v>-1.2612127340131748E-2</v>
      </c>
    </row>
    <row r="29" spans="1:7" s="9" customFormat="1" ht="15.75" customHeight="1" x14ac:dyDescent="0.25">
      <c r="A29" s="47" t="s">
        <v>189</v>
      </c>
      <c r="B29" s="48">
        <f>IF(10586.40243="","-",10586.40243)</f>
        <v>10586.40243</v>
      </c>
      <c r="C29" s="48">
        <f>IF(OR(18327.92762="",10586.40243=""),"-",10586.40243/18327.92762*100)</f>
        <v>57.761044508096994</v>
      </c>
      <c r="D29" s="48">
        <f>IF(18327.92762="","-",18327.92762/3771658.08092*100)</f>
        <v>0.48593820613583738</v>
      </c>
      <c r="E29" s="48">
        <f>IF(10586.40243="","-",10586.40243/3323417.92643*100)</f>
        <v>0.31853960784799229</v>
      </c>
      <c r="F29" s="48">
        <f>IF(OR(3703581.02097="",9722.91833="",18327.92762=""),"-",(18327.92762-9722.91833)/3703581.02097*100)</f>
        <v>0.23234294703633274</v>
      </c>
      <c r="G29" s="48">
        <f>IF(OR(3771658.08092="",10586.40243="",18327.92762=""),"-",(10586.40243-18327.92762)/3771658.08092*100)</f>
        <v>-0.20525522260786827</v>
      </c>
    </row>
    <row r="30" spans="1:7" s="9" customFormat="1" ht="15" customHeight="1" x14ac:dyDescent="0.25">
      <c r="A30" s="47" t="s">
        <v>190</v>
      </c>
      <c r="B30" s="48">
        <f>IF(950.63448="","-",950.63448)</f>
        <v>950.63448000000005</v>
      </c>
      <c r="C30" s="48">
        <f>IF(OR(936.59947="",950.63448=""),"-",950.63448/936.59947*100)</f>
        <v>101.49850714735085</v>
      </c>
      <c r="D30" s="48">
        <f>IF(936.59947="","-",936.59947/3771658.08092*100)</f>
        <v>2.4832565675506311E-2</v>
      </c>
      <c r="E30" s="48">
        <f>IF(950.63448="","-",950.63448/3323417.92643*100)</f>
        <v>2.8604120849199582E-2</v>
      </c>
      <c r="F30" s="48">
        <f>IF(OR(3703581.02097="",701.03296="",936.59947=""),"-",(936.59947-701.03296)/3703581.02097*100)</f>
        <v>6.3605064575663877E-3</v>
      </c>
      <c r="G30" s="48">
        <f>IF(OR(3771658.08092="",950.63448="",936.59947=""),"-",(950.63448-936.59947)/3771658.08092*100)</f>
        <v>3.7211777151805267E-4</v>
      </c>
    </row>
    <row r="31" spans="1:7" s="9" customFormat="1" ht="25.5" x14ac:dyDescent="0.25">
      <c r="A31" s="47" t="s">
        <v>191</v>
      </c>
      <c r="B31" s="48">
        <f>IF(24113.23215="","-",24113.23215)</f>
        <v>24113.23215</v>
      </c>
      <c r="C31" s="48">
        <f>IF(OR(24623.40262="",24113.23215=""),"-",24113.23215/24623.40262*100)</f>
        <v>97.928107346197464</v>
      </c>
      <c r="D31" s="48">
        <f>IF(24623.40262="","-",24623.40262/3771658.08092*100)</f>
        <v>0.65285352202429092</v>
      </c>
      <c r="E31" s="48">
        <f>IF(24113.23215="","-",24113.23215/3323417.92643*100)</f>
        <v>0.725555217062403</v>
      </c>
      <c r="F31" s="48">
        <f>IF(OR(3703581.02097="",24726.08339="",24623.40262=""),"-",(24623.40262-24726.08339)/3703581.02097*100)</f>
        <v>-2.772472626320621E-3</v>
      </c>
      <c r="G31" s="48">
        <f>IF(OR(3771658.08092="",24113.23215="",24623.40262=""),"-",(24113.23215-24623.40262)/3771658.08092*100)</f>
        <v>-1.3526424162912398E-2</v>
      </c>
    </row>
    <row r="32" spans="1:7" s="9" customFormat="1" ht="25.5" x14ac:dyDescent="0.25">
      <c r="A32" s="55" t="s">
        <v>192</v>
      </c>
      <c r="B32" s="46">
        <f>IF(383485.21556="","-",383485.21556)</f>
        <v>383485.21555999998</v>
      </c>
      <c r="C32" s="46">
        <f>IF(585915.95925="","-",383485.21556/585915.95925*100)</f>
        <v>65.45054960627445</v>
      </c>
      <c r="D32" s="46">
        <f>IF(585915.95925="","-",585915.95925/3771658.08092*100)</f>
        <v>15.534705073453548</v>
      </c>
      <c r="E32" s="46">
        <f>IF(383485.21556="","-",383485.21556/3323417.92643*100)</f>
        <v>11.538880274739867</v>
      </c>
      <c r="F32" s="46">
        <f>IF(3703581.02097="","-",(585915.95925-604381.134)/3703581.02097*100)</f>
        <v>-0.49857623325771916</v>
      </c>
      <c r="G32" s="46">
        <f>IF(3771658.08092="","-",(383485.21556-585915.95925)/3771658.08092*100)</f>
        <v>-5.3671552231644011</v>
      </c>
    </row>
    <row r="33" spans="1:7" s="9" customFormat="1" x14ac:dyDescent="0.25">
      <c r="A33" s="47" t="s">
        <v>237</v>
      </c>
      <c r="B33" s="48">
        <f>IF(10394.43557="","-",10394.43557)</f>
        <v>10394.43557</v>
      </c>
      <c r="C33" s="48">
        <f>IF(OR(13353.72477="",10394.43557=""),"-",10394.43557/13353.72477*100)</f>
        <v>77.839222756423482</v>
      </c>
      <c r="D33" s="48">
        <f>IF(13353.72477="","-",13353.72477/3771658.08092*100)</f>
        <v>0.35405448965677977</v>
      </c>
      <c r="E33" s="48">
        <f>IF(10394.43557="","-",10394.43557/3323417.92643*100)</f>
        <v>0.31276342007234864</v>
      </c>
      <c r="F33" s="48">
        <f>IF(OR(3703581.02097="",9549.14009="",13353.72477=""),"-",(13353.72477-9549.14009)/3703581.02097*100)</f>
        <v>0.10272718913014482</v>
      </c>
      <c r="G33" s="48">
        <f>IF(OR(3771658.08092="",10394.43557="",13353.72477=""),"-",(10394.43557-13353.72477)/3771658.08092*100)</f>
        <v>-7.8461226773720638E-2</v>
      </c>
    </row>
    <row r="34" spans="1:7" s="9" customFormat="1" ht="25.5" x14ac:dyDescent="0.25">
      <c r="A34" s="47" t="s">
        <v>193</v>
      </c>
      <c r="B34" s="48">
        <f>IF(238314.7712="","-",238314.7712)</f>
        <v>238314.77119999999</v>
      </c>
      <c r="C34" s="48">
        <f>IF(OR(368574.25675="",238314.7712=""),"-",238314.7712/368574.25675*100)</f>
        <v>64.658550301750012</v>
      </c>
      <c r="D34" s="48">
        <f>IF(368574.25675="","-",368574.25675/3771658.08092*100)</f>
        <v>9.7722075766766121</v>
      </c>
      <c r="E34" s="48">
        <f>IF(238314.7712="","-",238314.7712/3323417.92643*100)</f>
        <v>7.1707734770509761</v>
      </c>
      <c r="F34" s="48">
        <f>IF(OR(3703581.02097="",402752.16259="",368574.25675=""),"-",(368574.25675-402752.16259)/3703581.02097*100)</f>
        <v>-0.92283402594628627</v>
      </c>
      <c r="G34" s="48">
        <f>IF(OR(3771658.08092="",238314.7712="",368574.25675=""),"-",(238314.7712-368574.25675)/3771658.08092*100)</f>
        <v>-3.4536398251197391</v>
      </c>
    </row>
    <row r="35" spans="1:7" s="9" customFormat="1" ht="25.5" x14ac:dyDescent="0.25">
      <c r="A35" s="47" t="s">
        <v>238</v>
      </c>
      <c r="B35" s="48">
        <f>IF(126664.79222="","-",126664.79222)</f>
        <v>126664.79222</v>
      </c>
      <c r="C35" s="48">
        <f>IF(OR(175926.22966="",126664.79222=""),"-",126664.79222/175926.22966*100)</f>
        <v>71.998810219940452</v>
      </c>
      <c r="D35" s="48">
        <f>IF(175926.22966="","-",175926.22966/3771658.08092*100)</f>
        <v>4.6644267822147674</v>
      </c>
      <c r="E35" s="48">
        <f>IF(126664.79222="","-",126664.79222/3323417.92643*100)</f>
        <v>3.8112808868447887</v>
      </c>
      <c r="F35" s="48">
        <f>IF(OR(3703581.02097="",157878.47169="",175926.22966=""),"-",(175926.22966-157878.47169)/3703581.02097*100)</f>
        <v>0.48730560686568003</v>
      </c>
      <c r="G35" s="48">
        <f>IF(OR(3771658.08092="",126664.79222="",175926.22966=""),"-",(126664.79222-175926.22966)/3771658.08092*100)</f>
        <v>-1.3060949954398817</v>
      </c>
    </row>
    <row r="36" spans="1:7" s="9" customFormat="1" x14ac:dyDescent="0.25">
      <c r="A36" s="47" t="s">
        <v>194</v>
      </c>
      <c r="B36" s="48">
        <f>IF(8111.21657="","-",8111.21657)</f>
        <v>8111.2165699999996</v>
      </c>
      <c r="C36" s="48">
        <f>IF(OR(28061.74807="",8111.21657=""),"-",8111.21657/28061.74807*100)</f>
        <v>28.904887000505379</v>
      </c>
      <c r="D36" s="48">
        <f>IF(28061.74807="","-",28061.74807/3771658.08092*100)</f>
        <v>0.74401622490538832</v>
      </c>
      <c r="E36" s="48">
        <f>IF(8111.21657="","-",8111.21657/3323417.92643*100)</f>
        <v>0.2440624907717529</v>
      </c>
      <c r="F36" s="48">
        <f>IF(OR(3703581.02097="",34201.35963="",28061.74807=""),"-",(28061.74807-34201.35963)/3703581.02097*100)</f>
        <v>-0.16577500330725803</v>
      </c>
      <c r="G36" s="48">
        <f>IF(OR(3771658.08092="",8111.21657="",28061.74807=""),"-",(8111.21657-28061.74807)/3771658.08092*100)</f>
        <v>-0.52895917583105989</v>
      </c>
    </row>
    <row r="37" spans="1:7" s="9" customFormat="1" ht="25.5" x14ac:dyDescent="0.25">
      <c r="A37" s="55" t="s">
        <v>195</v>
      </c>
      <c r="B37" s="46">
        <f>IF(6492.03391="","-",6492.03391)</f>
        <v>6492.0339100000001</v>
      </c>
      <c r="C37" s="46">
        <f>IF(7138.70485="","-",6492.03391/7138.70485*100)</f>
        <v>90.94134085120497</v>
      </c>
      <c r="D37" s="46">
        <f>IF(7138.70485="","-",7138.70485/3771658.08092*100)</f>
        <v>0.18927232259236751</v>
      </c>
      <c r="E37" s="46">
        <f>IF(6492.03391="","-",6492.03391/3323417.92643*100)</f>
        <v>0.19534208618094906</v>
      </c>
      <c r="F37" s="46">
        <f>IF(3703581.02097="","-",(7138.70485-7546.48614)/3703581.02097*100)</f>
        <v>-1.1010459544184574E-2</v>
      </c>
      <c r="G37" s="46">
        <f>IF(3771658.08092="","-",(6492.03391-7138.70485)/3771658.08092*100)</f>
        <v>-1.7145534566650352E-2</v>
      </c>
    </row>
    <row r="38" spans="1:7" s="9" customFormat="1" x14ac:dyDescent="0.25">
      <c r="A38" s="47" t="s">
        <v>241</v>
      </c>
      <c r="B38" s="48">
        <f>IF(998.98801="","-",998.98801)</f>
        <v>998.98801000000003</v>
      </c>
      <c r="C38" s="48">
        <f>IF(OR(1040.47241="",998.98801=""),"-",998.98801/1040.47241*100)</f>
        <v>96.012926474427132</v>
      </c>
      <c r="D38" s="48">
        <f>IF(1040.47241="","-",1040.47241/3771658.08092*100)</f>
        <v>2.7586604821458346E-2</v>
      </c>
      <c r="E38" s="48">
        <f>IF(998.98801="","-",998.98801/3323417.92643*100)</f>
        <v>3.0059054627327844E-2</v>
      </c>
      <c r="F38" s="48">
        <f>IF(OR(3703581.02097="",997.03127="",1040.47241=""),"-",(1040.47241-997.03127)/3703581.02097*100)</f>
        <v>1.1729496331802274E-3</v>
      </c>
      <c r="G38" s="48">
        <f>IF(OR(3771658.08092="",998.98801="",1040.47241=""),"-",(998.98801-1040.47241)/3771658.08092*100)</f>
        <v>-1.0998982174407756E-3</v>
      </c>
    </row>
    <row r="39" spans="1:7" s="9" customFormat="1" ht="25.5" x14ac:dyDescent="0.25">
      <c r="A39" s="47" t="s">
        <v>196</v>
      </c>
      <c r="B39" s="48">
        <f>IF(4391.06534="","-",4391.06534)</f>
        <v>4391.0653400000001</v>
      </c>
      <c r="C39" s="48">
        <f>IF(OR(4447.52054="",4391.06534=""),"-",4391.06534/4447.52054*100)</f>
        <v>98.730636553732467</v>
      </c>
      <c r="D39" s="48">
        <f>IF(4447.52054="","-",4447.52054/3771658.08092*100)</f>
        <v>0.11791950501820517</v>
      </c>
      <c r="E39" s="48">
        <f>IF(4391.06534="","-",4391.06534/3323417.92643*100)</f>
        <v>0.13212498208784901</v>
      </c>
      <c r="F39" s="48">
        <f>IF(OR(3703581.02097="",4736.41838="",4447.52054=""),"-",(4447.52054-4736.41838)/3703581.02097*100)</f>
        <v>-7.8005000664015389E-3</v>
      </c>
      <c r="G39" s="48">
        <f>IF(OR(3771658.08092="",4391.06534="",4447.52054=""),"-",(4391.06534-4447.52054)/3771658.08092*100)</f>
        <v>-1.496827092720704E-3</v>
      </c>
    </row>
    <row r="40" spans="1:7" s="9" customFormat="1" ht="63.75" x14ac:dyDescent="0.25">
      <c r="A40" s="47" t="s">
        <v>239</v>
      </c>
      <c r="B40" s="48">
        <f>IF(1101.98056="","-",1101.98056)</f>
        <v>1101.98056</v>
      </c>
      <c r="C40" s="48">
        <f>IF(OR(1650.7119="",1101.98056=""),"-",1101.98056/1650.7119*100)</f>
        <v>66.757897607692769</v>
      </c>
      <c r="D40" s="48">
        <f>IF(1650.7119="","-",1650.7119/3771658.08092*100)</f>
        <v>4.3766212752704002E-2</v>
      </c>
      <c r="E40" s="48">
        <f>IF(1101.98056="","-",1101.98056/3323417.92643*100)</f>
        <v>3.3158049465772194E-2</v>
      </c>
      <c r="F40" s="48">
        <f>IF(OR(3703581.02097="",1813.03649="",1650.7119=""),"-",(1650.7119-1813.03649)/3703581.02097*100)</f>
        <v>-4.3829091109632515E-3</v>
      </c>
      <c r="G40" s="48">
        <f>IF(OR(3771658.08092="",1101.98056="",1650.7119=""),"-",(1101.98056-1650.7119)/3771658.08092*100)</f>
        <v>-1.4548809256488885E-2</v>
      </c>
    </row>
    <row r="41" spans="1:7" s="9" customFormat="1" ht="25.5" x14ac:dyDescent="0.25">
      <c r="A41" s="55" t="s">
        <v>197</v>
      </c>
      <c r="B41" s="46">
        <f>IF(536143.68914="","-",536143.68914)</f>
        <v>536143.68914000003</v>
      </c>
      <c r="C41" s="46">
        <f>IF(554820.50662="","-",536143.68914/554820.50662*100)</f>
        <v>96.633718967278213</v>
      </c>
      <c r="D41" s="46">
        <f>IF(554820.50662="","-",554820.50662/3771658.08092*100)</f>
        <v>14.710254607296367</v>
      </c>
      <c r="E41" s="46">
        <f>IF(536143.68914="","-",536143.68914/3323417.92643*100)</f>
        <v>16.132298164375705</v>
      </c>
      <c r="F41" s="46">
        <f>IF(3703581.02097="","-",(554820.50662-544778.20068)/3703581.02097*100)</f>
        <v>0.27115124208541885</v>
      </c>
      <c r="G41" s="46">
        <f>IF(3771658.08092="","-",(536143.68914-554820.50662)/3771658.08092*100)</f>
        <v>-0.49518851071049991</v>
      </c>
    </row>
    <row r="42" spans="1:7" s="9" customFormat="1" x14ac:dyDescent="0.25">
      <c r="A42" s="47" t="s">
        <v>26</v>
      </c>
      <c r="B42" s="48">
        <f>IF(7849.17664="","-",7849.17664)</f>
        <v>7849.1766399999997</v>
      </c>
      <c r="C42" s="48">
        <f>IF(OR(14701.63883="",7849.17664=""),"-",7849.17664/14701.63883*100)</f>
        <v>53.389807291300464</v>
      </c>
      <c r="D42" s="48">
        <f>IF(14701.63883="","-",14701.63883/3771658.08092*100)</f>
        <v>0.38979246036040227</v>
      </c>
      <c r="E42" s="48">
        <f>IF(7849.17664="","-",7849.17664/3323417.92643*100)</f>
        <v>0.23617783901260797</v>
      </c>
      <c r="F42" s="48">
        <f>IF(OR(3703581.02097="",14852.8675="",14701.63883=""),"-",(14701.63883-14852.8675)/3703581.02097*100)</f>
        <v>-4.0833093469193858E-3</v>
      </c>
      <c r="G42" s="48">
        <f>IF(OR(3771658.08092="",7849.17664="",14701.63883=""),"-",(7849.17664-14701.63883)/3771658.08092*100)</f>
        <v>-0.18168301693796476</v>
      </c>
    </row>
    <row r="43" spans="1:7" s="9" customFormat="1" x14ac:dyDescent="0.25">
      <c r="A43" s="47" t="s">
        <v>27</v>
      </c>
      <c r="B43" s="48">
        <f>IF(11019.89168="","-",11019.89168)</f>
        <v>11019.891680000001</v>
      </c>
      <c r="C43" s="48">
        <f>IF(OR(11117.63274="",11019.89168=""),"-",11019.89168/11117.63274*100)</f>
        <v>99.120846476171693</v>
      </c>
      <c r="D43" s="48">
        <f>IF(11117.63274="","-",11117.63274/3771658.08092*100)</f>
        <v>0.29476777855982467</v>
      </c>
      <c r="E43" s="48">
        <f>IF(11019.89168="","-",11019.89168/3323417.92643*100)</f>
        <v>0.33158308476230419</v>
      </c>
      <c r="F43" s="48">
        <f>IF(OR(3703581.02097="",10193.58763="",11117.63274=""),"-",(11117.63274-10193.58763)/3703581.02097*100)</f>
        <v>2.4950044423707077E-2</v>
      </c>
      <c r="G43" s="48">
        <f>IF(OR(3771658.08092="",11019.89168="",11117.63274=""),"-",(11019.89168-11117.63274)/3771658.08092*100)</f>
        <v>-2.5914613123190905E-3</v>
      </c>
    </row>
    <row r="44" spans="1:7" s="9" customFormat="1" x14ac:dyDescent="0.25">
      <c r="A44" s="47" t="s">
        <v>198</v>
      </c>
      <c r="B44" s="48">
        <f>IF(26637.96608="","-",26637.96608)</f>
        <v>26637.966079999998</v>
      </c>
      <c r="C44" s="48">
        <f>IF(OR(25537.43456="",26637.96608=""),"-",26637.96608/25537.43456*100)</f>
        <v>104.30948346598524</v>
      </c>
      <c r="D44" s="48">
        <f>IF(25537.43456="","-",25537.43456/3771658.08092*100)</f>
        <v>0.67708774263468741</v>
      </c>
      <c r="E44" s="48">
        <f>IF(26637.96608="","-",26637.96608/3323417.92643*100)</f>
        <v>0.8015232110339604</v>
      </c>
      <c r="F44" s="48">
        <f>IF(OR(3703581.02097="",24763.61007="",25537.43456=""),"-",(25537.43456-24763.61007)/3703581.02097*100)</f>
        <v>2.0893953328374369E-2</v>
      </c>
      <c r="G44" s="48">
        <f>IF(OR(3771658.08092="",26637.96608="",25537.43456=""),"-",(26637.96608-25537.43456)/3771658.08092*100)</f>
        <v>2.9178984319054448E-2</v>
      </c>
    </row>
    <row r="45" spans="1:7" s="9" customFormat="1" x14ac:dyDescent="0.25">
      <c r="A45" s="47" t="s">
        <v>199</v>
      </c>
      <c r="B45" s="48">
        <f>IF(153937.88319="","-",153937.88319)</f>
        <v>153937.88318999999</v>
      </c>
      <c r="C45" s="48">
        <f>IF(OR(159206.7034="",153937.88319=""),"-",153937.88319/159206.7034*100)</f>
        <v>96.690578915661405</v>
      </c>
      <c r="D45" s="48">
        <f>IF(159206.7034="","-",159206.7034/3771658.08092*100)</f>
        <v>4.2211329867198772</v>
      </c>
      <c r="E45" s="48">
        <f>IF(153937.88319="","-",153937.88319/3323417.92643*100)</f>
        <v>4.6319146913719438</v>
      </c>
      <c r="F45" s="48">
        <f>IF(OR(3703581.02097="",146850.39382="",159206.7034=""),"-",(159206.7034-146850.39382)/3703581.02097*100)</f>
        <v>0.33363140997962498</v>
      </c>
      <c r="G45" s="48">
        <f>IF(OR(3771658.08092="",153937.88319="",159206.7034=""),"-",(153937.88319-159206.7034)/3771658.08092*100)</f>
        <v>-0.13969506506047893</v>
      </c>
    </row>
    <row r="46" spans="1:7" s="9" customFormat="1" ht="38.25" x14ac:dyDescent="0.25">
      <c r="A46" s="47" t="s">
        <v>200</v>
      </c>
      <c r="B46" s="48">
        <f>IF(69801.35138="","-",69801.35138)</f>
        <v>69801.351379999993</v>
      </c>
      <c r="C46" s="48">
        <f>IF(OR(71935.07618="",69801.35138=""),"-",69801.35138/71935.07618*100)</f>
        <v>97.033818669127584</v>
      </c>
      <c r="D46" s="48">
        <f>IF(71935.07618="","-",71935.07618/3771658.08092*100)</f>
        <v>1.9072533786639874</v>
      </c>
      <c r="E46" s="48">
        <f>IF(69801.35138="","-",69801.35138/3323417.92643*100)</f>
        <v>2.1002881047518533</v>
      </c>
      <c r="F46" s="48">
        <f>IF(OR(3703581.02097="",72716.72103="",71935.07618=""),"-",(71935.07618-72716.72103)/3703581.02097*100)</f>
        <v>-2.1105110042800614E-2</v>
      </c>
      <c r="G46" s="48">
        <f>IF(OR(3771658.08092="",69801.35138="",71935.07618=""),"-",(69801.35138-71935.07618)/3771658.08092*100)</f>
        <v>-5.6572593650364586E-2</v>
      </c>
    </row>
    <row r="47" spans="1:7" s="9" customFormat="1" x14ac:dyDescent="0.25">
      <c r="A47" s="47" t="s">
        <v>201</v>
      </c>
      <c r="B47" s="48">
        <f>IF(60168.46042="","-",60168.46042)</f>
        <v>60168.460420000003</v>
      </c>
      <c r="C47" s="48">
        <f>IF(OR(63675.71485="",60168.46042=""),"-",60168.46042/63675.71485*100)</f>
        <v>94.492006193786779</v>
      </c>
      <c r="D47" s="48">
        <f>IF(63675.71485="","-",63675.71485/3771658.08092*100)</f>
        <v>1.6882684878600642</v>
      </c>
      <c r="E47" s="48">
        <f>IF(60168.46042="","-",60168.46042/3323417.92643*100)</f>
        <v>1.8104391849577788</v>
      </c>
      <c r="F47" s="48">
        <f>IF(OR(3703581.02097="",63047.46143="",63675.71485=""),"-",(63675.71485-63047.46143)/3703581.02097*100)</f>
        <v>1.6963404241537253E-2</v>
      </c>
      <c r="G47" s="48">
        <f>IF(OR(3771658.08092="",60168.46042="",63675.71485=""),"-",(60168.46042-63675.71485)/3771658.08092*100)</f>
        <v>-9.298972374358197E-2</v>
      </c>
    </row>
    <row r="48" spans="1:7" s="9" customFormat="1" x14ac:dyDescent="0.25">
      <c r="A48" s="47" t="s">
        <v>28</v>
      </c>
      <c r="B48" s="48">
        <f>IF(29958.09689="","-",29958.09689)</f>
        <v>29958.096890000001</v>
      </c>
      <c r="C48" s="48">
        <f>IF(OR(35171.30191="",29958.09689=""),"-",29958.09689/35171.30191*100)</f>
        <v>85.177674021450514</v>
      </c>
      <c r="D48" s="48">
        <f>IF(35171.30191="","-",35171.30191/3771658.08092*100)</f>
        <v>0.9325156510852346</v>
      </c>
      <c r="E48" s="48">
        <f>IF(29958.09689="","-",29958.09689/3323417.92643*100)</f>
        <v>0.90142430332801526</v>
      </c>
      <c r="F48" s="48">
        <f>IF(OR(3703581.02097="",38214.86296="",35171.30191=""),"-",(35171.30191-38214.86296)/3703581.02097*100)</f>
        <v>-8.2178870470690057E-2</v>
      </c>
      <c r="G48" s="48">
        <f>IF(OR(3771658.08092="",29958.09689="",35171.30191=""),"-",(29958.09689-35171.30191)/3771658.08092*100)</f>
        <v>-0.13822050960484658</v>
      </c>
    </row>
    <row r="49" spans="1:7" s="9" customFormat="1" x14ac:dyDescent="0.25">
      <c r="A49" s="47" t="s">
        <v>29</v>
      </c>
      <c r="B49" s="48">
        <f>IF(72966.56344="","-",72966.56344)</f>
        <v>72966.563439999998</v>
      </c>
      <c r="C49" s="48">
        <f>IF(OR(74663.7612="",72966.56344=""),"-",72966.56344/74663.7612*100)</f>
        <v>97.726878832886882</v>
      </c>
      <c r="D49" s="48">
        <f>IF(74663.7612="","-",74663.7612/3771658.08092*100)</f>
        <v>1.9796004727392382</v>
      </c>
      <c r="E49" s="48">
        <f>IF(72966.56344="","-",72966.56344/3323417.92643*100)</f>
        <v>2.1955277685578456</v>
      </c>
      <c r="F49" s="48">
        <f>IF(OR(3703581.02097="",72233.06097="",74663.7612=""),"-",(74663.7612-72233.06097)/3703581.02097*100)</f>
        <v>6.5631080196089944E-2</v>
      </c>
      <c r="G49" s="48">
        <f>IF(OR(3771658.08092="",72966.56344="",74663.7612=""),"-",(72966.56344-74663.7612)/3771658.08092*100)</f>
        <v>-4.4998717370107084E-2</v>
      </c>
    </row>
    <row r="50" spans="1:7" s="9" customFormat="1" x14ac:dyDescent="0.25">
      <c r="A50" s="47" t="s">
        <v>202</v>
      </c>
      <c r="B50" s="48">
        <f>IF(103804.29942="","-",103804.29942)</f>
        <v>103804.29942</v>
      </c>
      <c r="C50" s="48">
        <f>IF(OR(98811.24295="",103804.29942=""),"-",103804.29942/98811.24295*100)</f>
        <v>105.05312585990498</v>
      </c>
      <c r="D50" s="48">
        <f>IF(98811.24295="","-",98811.24295/3771658.08092*100)</f>
        <v>2.6198356486730501</v>
      </c>
      <c r="E50" s="48">
        <f>IF(103804.29942="","-",103804.29942/3323417.92643*100)</f>
        <v>3.1234199765993944</v>
      </c>
      <c r="F50" s="48">
        <f>IF(OR(3703581.02097="",101905.63527="",98811.24295=""),"-",(98811.24295-101905.63527)/3703581.02097*100)</f>
        <v>-8.3551360223504734E-2</v>
      </c>
      <c r="G50" s="48">
        <f>IF(OR(3771658.08092="",103804.29942="",98811.24295=""),"-",(103804.29942-98811.24295)/3771658.08092*100)</f>
        <v>0.13238359265010752</v>
      </c>
    </row>
    <row r="51" spans="1:7" s="9" customFormat="1" ht="25.5" x14ac:dyDescent="0.25">
      <c r="A51" s="55" t="s">
        <v>245</v>
      </c>
      <c r="B51" s="46">
        <f>IF(648744.51869="","-",648744.51869)</f>
        <v>648744.51869000006</v>
      </c>
      <c r="C51" s="46">
        <f>IF(738112.04216="","-",648744.51869/738112.04216*100)</f>
        <v>87.892417632358885</v>
      </c>
      <c r="D51" s="46">
        <f>IF(738112.04216="","-",738112.04216/3771658.08092*100)</f>
        <v>19.569961707132165</v>
      </c>
      <c r="E51" s="46">
        <f>IF(648744.51869="","-",648744.51869/3323417.92643*100)</f>
        <v>19.520401377472211</v>
      </c>
      <c r="F51" s="46">
        <f>IF(3703581.02097="","-",(738112.04216-750609.81845)/3703581.02097*100)</f>
        <v>-0.33745113767557844</v>
      </c>
      <c r="G51" s="46">
        <f>IF(3771658.08092="","-",(648744.51869-738112.04216)/3771658.08092*100)</f>
        <v>-2.3694492330068524</v>
      </c>
    </row>
    <row r="52" spans="1:7" s="9" customFormat="1" x14ac:dyDescent="0.25">
      <c r="A52" s="47" t="s">
        <v>203</v>
      </c>
      <c r="B52" s="48">
        <f>IF(27157.87198="","-",27157.87198)</f>
        <v>27157.87198</v>
      </c>
      <c r="C52" s="48">
        <f>IF(OR(34661.19101="",27157.87198=""),"-",27157.87198/34661.19101*100)</f>
        <v>78.352391215191531</v>
      </c>
      <c r="D52" s="48">
        <f>IF(34661.19101="","-",34661.19101/3771658.08092*100)</f>
        <v>0.91899080633378316</v>
      </c>
      <c r="E52" s="48">
        <f>IF(27157.87198="","-",27157.87198/3323417.92643*100)</f>
        <v>0.8171669221623552</v>
      </c>
      <c r="F52" s="48">
        <f>IF(OR(3703581.02097="",38935.95398="",34661.19101=""),"-",(34661.19101-38935.95398)/3703581.02097*100)</f>
        <v>-0.11542242348137961</v>
      </c>
      <c r="G52" s="48">
        <f>IF(OR(3771658.08092="",27157.87198="",34661.19101=""),"-",(27157.87198-34661.19101)/3771658.08092*100)</f>
        <v>-0.19893953452349419</v>
      </c>
    </row>
    <row r="53" spans="1:7" s="9" customFormat="1" x14ac:dyDescent="0.25">
      <c r="A53" s="47" t="s">
        <v>30</v>
      </c>
      <c r="B53" s="48">
        <f>IF(34592.19683="","-",34592.19683)</f>
        <v>34592.196830000001</v>
      </c>
      <c r="C53" s="48">
        <f>IF(OR(42043.57775="",34592.19683=""),"-",34592.19683/42043.57775*100)</f>
        <v>82.277005624241866</v>
      </c>
      <c r="D53" s="48">
        <f>IF(42043.57775="","-",42043.57775/3771658.08092*100)</f>
        <v>1.1147239979861732</v>
      </c>
      <c r="E53" s="48">
        <f>IF(34592.19683="","-",34592.19683/3323417.92643*100)</f>
        <v>1.0408620762047456</v>
      </c>
      <c r="F53" s="48">
        <f>IF(OR(3703581.02097="",42263.66637="",42043.57775=""),"-",(42043.57775-42263.66637)/3703581.02097*100)</f>
        <v>-5.942589584346643E-3</v>
      </c>
      <c r="G53" s="48">
        <f>IF(OR(3771658.08092="",34592.19683="",42043.57775=""),"-",(34592.19683-42043.57775)/3771658.08092*100)</f>
        <v>-0.19756247146831565</v>
      </c>
    </row>
    <row r="54" spans="1:7" s="9" customFormat="1" x14ac:dyDescent="0.25">
      <c r="A54" s="47" t="s">
        <v>204</v>
      </c>
      <c r="B54" s="48">
        <f>IF(53561.42762="","-",53561.42762)</f>
        <v>53561.427620000002</v>
      </c>
      <c r="C54" s="48">
        <f>IF(OR(59718.17974="",53561.42762=""),"-",53561.42762/59718.17974*100)</f>
        <v>89.690321863785599</v>
      </c>
      <c r="D54" s="48">
        <f>IF(59718.17974="","-",59718.17974/3771658.08092*100)</f>
        <v>1.5833402301789048</v>
      </c>
      <c r="E54" s="48">
        <f>IF(53561.42762="","-",53561.42762/3323417.92643*100)</f>
        <v>1.6116368391120592</v>
      </c>
      <c r="F54" s="48">
        <f>IF(OR(3703581.02097="",54644.32357="",59718.17974=""),"-",(59718.17974-54644.32357)/3703581.02097*100)</f>
        <v>0.13699865457975352</v>
      </c>
      <c r="G54" s="48">
        <f>IF(OR(3771658.08092="",53561.42762="",59718.17974=""),"-",(53561.42762-59718.17974)/3771658.08092*100)</f>
        <v>-0.1632372815326413</v>
      </c>
    </row>
    <row r="55" spans="1:7" s="9" customFormat="1" ht="25.5" x14ac:dyDescent="0.25">
      <c r="A55" s="47" t="s">
        <v>205</v>
      </c>
      <c r="B55" s="48">
        <f>IF(59406.92576="","-",59406.92576)</f>
        <v>59406.925759999998</v>
      </c>
      <c r="C55" s="48">
        <f>IF(OR(69387.46492="",59406.92576=""),"-",59406.92576/69387.46492*100)</f>
        <v>85.616221645354784</v>
      </c>
      <c r="D55" s="48">
        <f>IF(69387.46492="","-",69387.46492/3771658.08092*100)</f>
        <v>1.8397071906124292</v>
      </c>
      <c r="E55" s="48">
        <f>IF(59406.92576="","-",59406.92576/3323417.92643*100)</f>
        <v>1.7875249840700786</v>
      </c>
      <c r="F55" s="48">
        <f>IF(OR(3703581.02097="",65242.72963="",69387.46492=""),"-",(69387.46492-65242.72963)/3703581.02097*100)</f>
        <v>0.11191155982634489</v>
      </c>
      <c r="G55" s="48">
        <f>IF(OR(3771658.08092="",59406.92576="",69387.46492=""),"-",(59406.92576-69387.46492)/3771658.08092*100)</f>
        <v>-0.26461940467216216</v>
      </c>
    </row>
    <row r="56" spans="1:7" s="9" customFormat="1" ht="25.5" x14ac:dyDescent="0.25">
      <c r="A56" s="47" t="s">
        <v>206</v>
      </c>
      <c r="B56" s="48">
        <f>IF(160456.75449="","-",160456.75449)</f>
        <v>160456.75448999999</v>
      </c>
      <c r="C56" s="48">
        <f>IF(OR(181354.38769="",160456.75449=""),"-",160456.75449/181354.38769*100)</f>
        <v>88.476907856389118</v>
      </c>
      <c r="D56" s="48">
        <f>IF(181354.38769="","-",181354.38769/3771658.08092*100)</f>
        <v>4.8083464566269276</v>
      </c>
      <c r="E56" s="48">
        <f>IF(160456.75449="","-",160456.75449/3323417.92643*100)</f>
        <v>4.8280643013309463</v>
      </c>
      <c r="F56" s="48">
        <f>IF(OR(3703581.02097="",199077.68464="",181354.38769=""),"-",(181354.38769-199077.68464)/3703581.02097*100)</f>
        <v>-0.47854486913204086</v>
      </c>
      <c r="G56" s="48">
        <f>IF(OR(3771658.08092="",160456.75449="",181354.38769=""),"-",(160456.75449-181354.38769)/3771658.08092*100)</f>
        <v>-0.55407019278116976</v>
      </c>
    </row>
    <row r="57" spans="1:7" s="9" customFormat="1" x14ac:dyDescent="0.25">
      <c r="A57" s="47" t="s">
        <v>31</v>
      </c>
      <c r="B57" s="48">
        <f>IF(86844.46871="","-",86844.46871)</f>
        <v>86844.468710000001</v>
      </c>
      <c r="C57" s="48">
        <f>IF(OR(84458.46204="",86844.46871=""),"-",86844.46871/84458.46204*100)</f>
        <v>102.82506525973676</v>
      </c>
      <c r="D57" s="48">
        <f>IF(84458.46204="","-",84458.46204/3771658.08092*100)</f>
        <v>2.2392926460449063</v>
      </c>
      <c r="E57" s="48">
        <f>IF(86844.46871="","-",86844.46871/3323417.92643*100)</f>
        <v>2.6131070672561463</v>
      </c>
      <c r="F57" s="48">
        <f>IF(OR(3703581.02097="",81175.50183="",84458.46204=""),"-",(84458.46204-81175.50183)/3703581.02097*100)</f>
        <v>8.8642861906128065E-2</v>
      </c>
      <c r="G57" s="48">
        <f>IF(OR(3771658.08092="",86844.46871="",84458.46204=""),"-",(86844.46871-84458.46204)/3771658.08092*100)</f>
        <v>6.3261478607254798E-2</v>
      </c>
    </row>
    <row r="58" spans="1:7" s="9" customFormat="1" ht="16.5" customHeight="1" x14ac:dyDescent="0.25">
      <c r="A58" s="47" t="s">
        <v>207</v>
      </c>
      <c r="B58" s="48">
        <f>IF(84764.92542="","-",84764.92542)</f>
        <v>84764.92542</v>
      </c>
      <c r="C58" s="48">
        <f>IF(OR(90041.39331="",84764.92542=""),"-",84764.92542/90041.39331*100)</f>
        <v>94.139953085983635</v>
      </c>
      <c r="D58" s="48">
        <f>IF(90041.39331="","-",90041.39331/3771658.08092*100)</f>
        <v>2.3873159066432845</v>
      </c>
      <c r="E58" s="48">
        <f>IF(84764.92542="","-",84764.92542/3323417.92643*100)</f>
        <v>2.5505346392307056</v>
      </c>
      <c r="F58" s="48">
        <f>IF(OR(3703581.02097="",90172.15079="",90041.39331=""),"-",(90041.39331-90172.15079)/3703581.02097*100)</f>
        <v>-3.5305689077581915E-3</v>
      </c>
      <c r="G58" s="48">
        <f>IF(OR(3771658.08092="",84764.92542="",90041.39331=""),"-",(84764.92542-90041.39331)/3771658.08092*100)</f>
        <v>-0.13989783211507179</v>
      </c>
    </row>
    <row r="59" spans="1:7" s="9" customFormat="1" ht="16.5" customHeight="1" x14ac:dyDescent="0.25">
      <c r="A59" s="47" t="s">
        <v>32</v>
      </c>
      <c r="B59" s="48">
        <f>IF(40353.95096="","-",40353.95096)</f>
        <v>40353.950960000002</v>
      </c>
      <c r="C59" s="48">
        <f>IF(OR(63100.43913="",40353.95096=""),"-",40353.95096/63100.43913*100)</f>
        <v>63.951933641638362</v>
      </c>
      <c r="D59" s="48">
        <f>IF(63100.43913="","-",63100.43913/3771658.08092*100)</f>
        <v>1.6730158931747137</v>
      </c>
      <c r="E59" s="48">
        <f>IF(40353.95096="","-",40353.95096/3323417.92643*100)</f>
        <v>1.2142304053630724</v>
      </c>
      <c r="F59" s="48">
        <f>IF(OR(3703581.02097="",70551.67798="",63100.43913=""),"-",(63100.43913-70551.67798)/3703581.02097*100)</f>
        <v>-0.20119011323933314</v>
      </c>
      <c r="G59" s="48">
        <f>IF(OR(3771658.08092="",40353.95096="",63100.43913=""),"-",(40353.95096-63100.43913)/3771658.08092*100)</f>
        <v>-0.60308987935755753</v>
      </c>
    </row>
    <row r="60" spans="1:7" s="9" customFormat="1" ht="16.5" customHeight="1" x14ac:dyDescent="0.25">
      <c r="A60" s="47" t="s">
        <v>33</v>
      </c>
      <c r="B60" s="48">
        <f>IF(101605.99692="","-",101605.99692)</f>
        <v>101605.99692000001</v>
      </c>
      <c r="C60" s="48">
        <f>IF(OR(113346.94657="",101605.99692=""),"-",101605.99692/113346.94657*100)</f>
        <v>89.641582763988168</v>
      </c>
      <c r="D60" s="48">
        <f>IF(113346.94657="","-",113346.94657/3771658.08092*100)</f>
        <v>3.0052285795310452</v>
      </c>
      <c r="E60" s="48">
        <f>IF(101605.99692="","-",101605.99692/3323417.92643*100)</f>
        <v>3.0572741427420986</v>
      </c>
      <c r="F60" s="48">
        <f>IF(OR(3703581.02097="",108546.12966="",113346.94657=""),"-",(113346.94657-108546.12966)/3703581.02097*100)</f>
        <v>0.12962635035705575</v>
      </c>
      <c r="G60" s="48">
        <f>IF(OR(3771658.08092="",101605.99692="",113346.94657=""),"-",(101605.99692-113346.94657)/3771658.08092*100)</f>
        <v>-0.31129411516369715</v>
      </c>
    </row>
    <row r="61" spans="1:7" s="9" customFormat="1" ht="15.75" customHeight="1" x14ac:dyDescent="0.25">
      <c r="A61" s="55" t="s">
        <v>208</v>
      </c>
      <c r="B61" s="46">
        <f>IF(836147.0483="","-",836147.0483)</f>
        <v>836147.04830000002</v>
      </c>
      <c r="C61" s="46">
        <f>IF(915321.26773="","-",836147.0483/915321.26773*100)</f>
        <v>91.350116923825851</v>
      </c>
      <c r="D61" s="46">
        <f>IF(915321.26773="","-",915321.26773/3771658.08092*100)</f>
        <v>24.268405250211085</v>
      </c>
      <c r="E61" s="46">
        <f>IF(836147.0483="","-",836147.0483/3323417.92643*100)</f>
        <v>25.159250711456121</v>
      </c>
      <c r="F61" s="46">
        <f>IF(3703581.02097="","-",(915321.26773-891842.92748)/3703581.02097*100)</f>
        <v>0.63393618546654151</v>
      </c>
      <c r="G61" s="46">
        <f>IF(3771658.08092="","-",(836147.0483-915321.26773)/3771658.08092*100)</f>
        <v>-2.0991886785953673</v>
      </c>
    </row>
    <row r="62" spans="1:7" s="9" customFormat="1" ht="25.5" x14ac:dyDescent="0.25">
      <c r="A62" s="47" t="s">
        <v>209</v>
      </c>
      <c r="B62" s="48">
        <f>IF(10552.91044="","-",10552.91044)</f>
        <v>10552.91044</v>
      </c>
      <c r="C62" s="48">
        <f>IF(OR(14085.90324="",10552.91044=""),"-",10552.91044/14085.90324*100)</f>
        <v>74.918237476122258</v>
      </c>
      <c r="D62" s="48">
        <f>IF(14085.90324="","-",14085.90324/3771658.08092*100)</f>
        <v>0.37346713137273835</v>
      </c>
      <c r="E62" s="48">
        <f>IF(10552.91044="","-",10552.91044/3323417.92643*100)</f>
        <v>0.31753185045059584</v>
      </c>
      <c r="F62" s="48">
        <f>IF(OR(3703581.02097="",17441.60754="",14085.90324=""),"-",(14085.90324-17441.60754)/3703581.02097*100)</f>
        <v>-9.0607017397478548E-2</v>
      </c>
      <c r="G62" s="48">
        <f>IF(OR(3771658.08092="",10552.91044="",14085.90324=""),"-",(10552.91044-14085.90324)/3771658.08092*100)</f>
        <v>-9.3672138995648732E-2</v>
      </c>
    </row>
    <row r="63" spans="1:7" s="9" customFormat="1" ht="25.5" x14ac:dyDescent="0.25">
      <c r="A63" s="47" t="s">
        <v>210</v>
      </c>
      <c r="B63" s="48">
        <f>IF(106586.07874="","-",106586.07874)</f>
        <v>106586.07874</v>
      </c>
      <c r="C63" s="48">
        <f>IF(OR(135205.08947="",106586.07874=""),"-",106586.07874/135205.08947*100)</f>
        <v>78.832889470222085</v>
      </c>
      <c r="D63" s="48">
        <f>IF(135205.08947="","-",135205.08947/3771658.08092*100)</f>
        <v>3.5847652827803564</v>
      </c>
      <c r="E63" s="48">
        <f>IF(106586.07874="","-",106586.07874/3323417.92643*100)</f>
        <v>3.2071223390942669</v>
      </c>
      <c r="F63" s="48">
        <f>IF(OR(3703581.02097="",148436.24501="",135205.08947=""),"-",(135205.08947-148436.24501)/3703581.02097*100)</f>
        <v>-0.35725303335026415</v>
      </c>
      <c r="G63" s="48">
        <f>IF(OR(3771658.08092="",106586.07874="",135205.08947=""),"-",(106586.07874-135205.08947)/3771658.08092*100)</f>
        <v>-0.75879122963922352</v>
      </c>
    </row>
    <row r="64" spans="1:7" s="9" customFormat="1" ht="25.5" x14ac:dyDescent="0.25">
      <c r="A64" s="47" t="s">
        <v>211</v>
      </c>
      <c r="B64" s="48">
        <f>IF(9050.68682="","-",9050.68682)</f>
        <v>9050.6868200000008</v>
      </c>
      <c r="C64" s="48">
        <f>IF(OR(7149.03523="",9050.68682=""),"-",9050.68682/7149.03523*100)</f>
        <v>126.60011496404391</v>
      </c>
      <c r="D64" s="48">
        <f>IF(7149.03523="","-",7149.03523/3771658.08092*100)</f>
        <v>0.18954621751545875</v>
      </c>
      <c r="E64" s="48">
        <f>IF(9050.68682="","-",9050.68682/3323417.92643*100)</f>
        <v>0.27233068546760253</v>
      </c>
      <c r="F64" s="48">
        <f>IF(OR(3703581.02097="",9358.15185="",7149.03523=""),"-",(7149.03523-9358.15185)/3703581.02097*100)</f>
        <v>-5.9648124544644444E-2</v>
      </c>
      <c r="G64" s="48">
        <f>IF(OR(3771658.08092="",9050.68682="",7149.03523=""),"-",(9050.68682-7149.03523)/3771658.08092*100)</f>
        <v>5.0419511769108735E-2</v>
      </c>
    </row>
    <row r="65" spans="1:7" s="9" customFormat="1" ht="27" customHeight="1" x14ac:dyDescent="0.25">
      <c r="A65" s="47" t="s">
        <v>212</v>
      </c>
      <c r="B65" s="48">
        <f>IF(129600.23134="","-",129600.23134)</f>
        <v>129600.23134</v>
      </c>
      <c r="C65" s="48">
        <f>IF(OR(126346.86565="",129600.23134=""),"-",129600.23134/126346.86565*100)</f>
        <v>102.57494768331831</v>
      </c>
      <c r="D65" s="48">
        <f>IF(126346.86565="","-",126346.86565/3771658.08092*100)</f>
        <v>3.3499024285674617</v>
      </c>
      <c r="E65" s="48">
        <f>IF(129600.23134="","-",129600.23134/3323417.92643*100)</f>
        <v>3.8996067966455232</v>
      </c>
      <c r="F65" s="48">
        <f>IF(OR(3703581.02097="",116508.57263="",126346.86565=""),"-",(126346.86565-116508.57263)/3703581.02097*100)</f>
        <v>0.26564271077896601</v>
      </c>
      <c r="G65" s="48">
        <f>IF(OR(3771658.08092="",129600.23134="",126346.86565=""),"-",(129600.23134-126346.86565)/3771658.08092*100)</f>
        <v>8.625823497782216E-2</v>
      </c>
    </row>
    <row r="66" spans="1:7" s="9" customFormat="1" ht="25.5" x14ac:dyDescent="0.25">
      <c r="A66" s="47" t="s">
        <v>213</v>
      </c>
      <c r="B66" s="48">
        <f>IF(30769.14121="","-",30769.14121)</f>
        <v>30769.141210000002</v>
      </c>
      <c r="C66" s="48">
        <f>IF(OR(28855.74785="",30769.14121=""),"-",30769.14121/28855.74785*100)</f>
        <v>106.63089159895054</v>
      </c>
      <c r="D66" s="48">
        <f>IF(28855.74785="","-",28855.74785/3771658.08092*100)</f>
        <v>0.76506796827567602</v>
      </c>
      <c r="E66" s="48">
        <f>IF(30769.14121="","-",30769.14121/3323417.92643*100)</f>
        <v>0.92582822537314968</v>
      </c>
      <c r="F66" s="48">
        <f>IF(OR(3703581.02097="",34341.96422="",28855.74785=""),"-",(28855.74785-34341.96422)/3703581.02097*100)</f>
        <v>-0.14813274878925464</v>
      </c>
      <c r="G66" s="48">
        <f>IF(OR(3771658.08092="",30769.14121="",28855.74785=""),"-",(30769.14121-28855.74785)/3771658.08092*100)</f>
        <v>5.0730827634653412E-2</v>
      </c>
    </row>
    <row r="67" spans="1:7" s="9" customFormat="1" ht="38.25" x14ac:dyDescent="0.25">
      <c r="A67" s="47" t="s">
        <v>214</v>
      </c>
      <c r="B67" s="48">
        <f>IF(94940.90339="","-",94940.90339)</f>
        <v>94940.903390000007</v>
      </c>
      <c r="C67" s="48">
        <f>IF(OR(104317.97775="",94940.90339=""),"-",94940.90339/104317.97775*100)</f>
        <v>91.011065817943347</v>
      </c>
      <c r="D67" s="48">
        <f>IF(104317.97775="","-",104317.97775/3771658.08092*100)</f>
        <v>2.7658386712656169</v>
      </c>
      <c r="E67" s="48">
        <f>IF(94940.90339="","-",94940.90339/3323417.92643*100)</f>
        <v>2.8567247782762331</v>
      </c>
      <c r="F67" s="48">
        <f>IF(OR(3703581.02097="",91359.94576="",104317.97775=""),"-",(104317.97775-91359.94576)/3703581.02097*100)</f>
        <v>0.34987845322217853</v>
      </c>
      <c r="G67" s="48">
        <f>IF(OR(3771658.08092="",94940.90339="",104317.97775=""),"-",(94940.90339-104317.97775)/3771658.08092*100)</f>
        <v>-0.24861941774193647</v>
      </c>
    </row>
    <row r="68" spans="1:7" s="9" customFormat="1" ht="51" x14ac:dyDescent="0.25">
      <c r="A68" s="47" t="s">
        <v>215</v>
      </c>
      <c r="B68" s="48">
        <f>IF(234055.88392="","-",234055.88392)</f>
        <v>234055.88391999999</v>
      </c>
      <c r="C68" s="48">
        <f>IF(OR(281489.209="",234055.88392=""),"-",234055.88392/281489.209*100)</f>
        <v>83.149149749466957</v>
      </c>
      <c r="D68" s="48">
        <f>IF(281489.209="","-",281489.209/3771658.08092*100)</f>
        <v>7.4632748504959352</v>
      </c>
      <c r="E68" s="48">
        <f>IF(234055.88392="","-",234055.88392/3323417.92643*100)</f>
        <v>7.0426256673478838</v>
      </c>
      <c r="F68" s="48">
        <f>IF(OR(3703581.02097="",277270.66782="",281489.209=""),"-",(281489.209-277270.66782)/3703581.02097*100)</f>
        <v>0.11390438486735543</v>
      </c>
      <c r="G68" s="48">
        <f>IF(OR(3771658.08092="",234055.88392="",281489.209=""),"-",(234055.88392-281489.209)/3771658.08092*100)</f>
        <v>-1.2576252688427638</v>
      </c>
    </row>
    <row r="69" spans="1:7" s="9" customFormat="1" ht="25.5" x14ac:dyDescent="0.25">
      <c r="A69" s="47" t="s">
        <v>216</v>
      </c>
      <c r="B69" s="48">
        <f>IF(168672.44594="","-",168672.44594)</f>
        <v>168672.44594000001</v>
      </c>
      <c r="C69" s="48">
        <f>IF(OR(213621.69519="",168672.44594=""),"-",168672.44594/213621.69519*100)</f>
        <v>78.958481155193013</v>
      </c>
      <c r="D69" s="48">
        <f>IF(213621.69519="","-",213621.69519/3771658.08092*100)</f>
        <v>5.6638669414564857</v>
      </c>
      <c r="E69" s="48">
        <f>IF(168672.44594="","-",168672.44594/3323417.92643*100)</f>
        <v>5.07527038951695</v>
      </c>
      <c r="F69" s="48">
        <f>IF(OR(3703581.02097="",194740.48519="",213621.69519=""),"-",(213621.69519-194740.48519)/3703581.02097*100)</f>
        <v>0.509809557104136</v>
      </c>
      <c r="G69" s="48">
        <f>IF(OR(3771658.08092="",168672.44594="",213621.69519=""),"-",(168672.44594-213621.69519)/3771658.08092*100)</f>
        <v>-1.1917636298313596</v>
      </c>
    </row>
    <row r="70" spans="1:7" s="9" customFormat="1" x14ac:dyDescent="0.25">
      <c r="A70" s="47" t="s">
        <v>34</v>
      </c>
      <c r="B70" s="48">
        <f>IF(51918.7665="","-",51918.7665)</f>
        <v>51918.766499999998</v>
      </c>
      <c r="C70" s="48" t="s">
        <v>286</v>
      </c>
      <c r="D70" s="48">
        <f>IF(4249.74435="","-",4249.74435/3771658.08092*100)</f>
        <v>0.1126757584813569</v>
      </c>
      <c r="E70" s="48">
        <f>IF(51918.7665="","-",51918.7665/3323417.92643*100)</f>
        <v>1.5622099792839144</v>
      </c>
      <c r="F70" s="48">
        <f>IF(OR(3703581.02097="",2385.28746="",4249.74435=""),"-",(4249.74435-2385.28746)/3703581.02097*100)</f>
        <v>5.0342003575547072E-2</v>
      </c>
      <c r="G70" s="48">
        <f>IF(OR(3771658.08092="",51918.7665="",4249.74435=""),"-",(51918.7665-4249.74435)/3771658.08092*100)</f>
        <v>1.2638744320739792</v>
      </c>
    </row>
    <row r="71" spans="1:7" s="9" customFormat="1" x14ac:dyDescent="0.25">
      <c r="A71" s="55" t="s">
        <v>35</v>
      </c>
      <c r="B71" s="46">
        <f>IF(339847.7323="","-",339847.7323)</f>
        <v>339847.73229999997</v>
      </c>
      <c r="C71" s="46">
        <f>IF(402790.00808="","-",339847.7323/402790.00808*100)</f>
        <v>84.373426719289725</v>
      </c>
      <c r="D71" s="46">
        <f>IF(402790.00808="","-",402790.00808/3771658.08092*100)</f>
        <v>10.679388201110468</v>
      </c>
      <c r="E71" s="46">
        <f>IF(339847.7323="","-",339847.7323/3323417.92643*100)</f>
        <v>10.225850008128914</v>
      </c>
      <c r="F71" s="46">
        <f>IF(3703581.02097="","-",(402790.00808-370991.37623)/3703581.02097*100)</f>
        <v>0.85859150022514341</v>
      </c>
      <c r="G71" s="46">
        <f>IF(3771658.08092="","-",(339847.7323-402790.00808)/3771658.08092*100)</f>
        <v>-1.6688224231780537</v>
      </c>
    </row>
    <row r="72" spans="1:7" s="9" customFormat="1" ht="38.25" x14ac:dyDescent="0.25">
      <c r="A72" s="47" t="s">
        <v>242</v>
      </c>
      <c r="B72" s="48">
        <f>IF(29016.86847="","-",29016.86847)</f>
        <v>29016.868470000001</v>
      </c>
      <c r="C72" s="48">
        <f>IF(OR(29536.12427="",29016.86847=""),"-",29016.86847/29536.12427*100)</f>
        <v>98.24196365354743</v>
      </c>
      <c r="D72" s="48">
        <f>IF(29536.12427="","-",29536.12427/3771658.08092*100)</f>
        <v>0.78310715436844192</v>
      </c>
      <c r="E72" s="48">
        <f>IF(29016.86847="","-",29016.86847/3323417.92643*100)</f>
        <v>0.87310320616732617</v>
      </c>
      <c r="F72" s="48">
        <f>IF(OR(3703581.02097="",25956.52891="",29536.12427=""),"-",(29536.12427-25956.52891)/3703581.02097*100)</f>
        <v>9.6652276262677042E-2</v>
      </c>
      <c r="G72" s="48">
        <f>IF(OR(3771658.08092="",29016.86847="",29536.12427=""),"-",(29016.86847-29536.12427)/3771658.08092*100)</f>
        <v>-1.376730840546765E-2</v>
      </c>
    </row>
    <row r="73" spans="1:7" s="9" customFormat="1" x14ac:dyDescent="0.25">
      <c r="A73" s="47" t="s">
        <v>217</v>
      </c>
      <c r="B73" s="48">
        <f>IF(31644.80328="","-",31644.80328)</f>
        <v>31644.80328</v>
      </c>
      <c r="C73" s="48">
        <f>IF(OR(35894.20724="",31644.80328=""),"-",31644.80328/35894.20724*100)</f>
        <v>88.161309897201107</v>
      </c>
      <c r="D73" s="48">
        <f>IF(35894.20724="","-",35894.20724/3771658.08092*100)</f>
        <v>0.95168242905105882</v>
      </c>
      <c r="E73" s="48">
        <f>IF(31644.80328="","-",31644.80328/3323417.92643*100)</f>
        <v>0.95217646352388496</v>
      </c>
      <c r="F73" s="48">
        <f>IF(OR(3703581.02097="",33455.44709="",35894.20724=""),"-",(35894.20724-33455.44709)/3703581.02097*100)</f>
        <v>6.5848705244776026E-2</v>
      </c>
      <c r="G73" s="48">
        <f>IF(OR(3771658.08092="",31644.80328="",35894.20724=""),"-",(31644.80328-35894.20724)/3771658.08092*100)</f>
        <v>-0.11266673353814377</v>
      </c>
    </row>
    <row r="74" spans="1:7" x14ac:dyDescent="0.25">
      <c r="A74" s="47" t="s">
        <v>218</v>
      </c>
      <c r="B74" s="48">
        <f>IF(5333.98929="","-",5333.98929)</f>
        <v>5333.9892900000004</v>
      </c>
      <c r="C74" s="48">
        <f>IF(OR(6311.92244="",5333.98929=""),"-",5333.98929/6311.92244*100)</f>
        <v>84.506572137156994</v>
      </c>
      <c r="D74" s="48">
        <f>IF(6311.92244="","-",6311.92244/3771658.08092*100)</f>
        <v>0.16735139571454385</v>
      </c>
      <c r="E74" s="48">
        <f>IF(5333.98929="","-",5333.98929/3323417.92643*100)</f>
        <v>0.1604970969067904</v>
      </c>
      <c r="F74" s="48">
        <f>IF(OR(3703581.02097="",5635.68427="",6311.92244=""),"-",(6311.92244-5635.68427)/3703581.02097*100)</f>
        <v>1.8259035408462264E-2</v>
      </c>
      <c r="G74" s="48">
        <f>IF(OR(3771658.08092="",5333.98929="",6311.92244=""),"-",(5333.98929-6311.92244)/3771658.08092*100)</f>
        <v>-2.5928467772493788E-2</v>
      </c>
    </row>
    <row r="75" spans="1:7" x14ac:dyDescent="0.25">
      <c r="A75" s="47" t="s">
        <v>219</v>
      </c>
      <c r="B75" s="48">
        <f>IF(76392.85546="","-",76392.85546)</f>
        <v>76392.855460000006</v>
      </c>
      <c r="C75" s="48">
        <f>IF(OR(91556.31017="",76392.85546=""),"-",76392.85546/91556.31017*100)</f>
        <v>83.438110730058057</v>
      </c>
      <c r="D75" s="48">
        <f>IF(91556.31017="","-",91556.31017/3771658.08092*100)</f>
        <v>2.4274817124373893</v>
      </c>
      <c r="E75" s="48">
        <f>IF(76392.85546="","-",76392.85546/3323417.92643*100)</f>
        <v>2.2986231991009585</v>
      </c>
      <c r="F75" s="48">
        <f>IF(OR(3703581.02097="",94319.58328="",91556.31017=""),"-",(91556.31017-94319.58328)/3703581.02097*100)</f>
        <v>-7.4610845404869369E-2</v>
      </c>
      <c r="G75" s="48">
        <f>IF(OR(3771658.08092="",76392.85546="",91556.31017=""),"-",(76392.85546-91556.31017)/3771658.08092*100)</f>
        <v>-0.40203683326197087</v>
      </c>
    </row>
    <row r="76" spans="1:7" x14ac:dyDescent="0.25">
      <c r="A76" s="47" t="s">
        <v>220</v>
      </c>
      <c r="B76" s="48">
        <f>IF(23980.8921="","-",23980.8921)</f>
        <v>23980.892100000001</v>
      </c>
      <c r="C76" s="48">
        <f>IF(OR(31032.93703="",23980.8921=""),"-",23980.8921/31032.93703*100)</f>
        <v>77.275612285157919</v>
      </c>
      <c r="D76" s="48">
        <f>IF(31032.93703="","-",31032.93703/3771658.08092*100)</f>
        <v>0.82279295641852834</v>
      </c>
      <c r="E76" s="48">
        <f>IF(23980.8921="","-",23980.8921/3323417.92643*100)</f>
        <v>0.72157317047874758</v>
      </c>
      <c r="F76" s="48">
        <f>IF(OR(3703581.02097="",27632.80262="",31032.93703=""),"-",(31032.93703-27632.80262)/3703581.02097*100)</f>
        <v>9.1806670105180468E-2</v>
      </c>
      <c r="G76" s="48">
        <f>IF(OR(3771658.08092="",23980.8921="",31032.93703=""),"-",(23980.8921-31032.93703)/3771658.08092*100)</f>
        <v>-0.18697466150695805</v>
      </c>
    </row>
    <row r="77" spans="1:7" ht="25.5" x14ac:dyDescent="0.25">
      <c r="A77" s="47" t="s">
        <v>243</v>
      </c>
      <c r="B77" s="48">
        <f>IF(34784.17834="","-",34784.17834)</f>
        <v>34784.178339999999</v>
      </c>
      <c r="C77" s="48">
        <f>IF(OR(41954.95517="",34784.17834=""),"-",34784.17834/41954.95517*100)</f>
        <v>82.908391152024194</v>
      </c>
      <c r="D77" s="48">
        <f>IF(41954.95517="","-",41954.95517/3771658.08092*100)</f>
        <v>1.1123742998401953</v>
      </c>
      <c r="E77" s="48">
        <f>IF(34784.17834="","-",34784.17834/3323417.92643*100)</f>
        <v>1.0466387047916361</v>
      </c>
      <c r="F77" s="48">
        <f>IF(OR(3703581.02097="",36820.64316="",41954.95517=""),"-",(41954.95517-36820.64316)/3703581.02097*100)</f>
        <v>0.13863101633065611</v>
      </c>
      <c r="G77" s="48">
        <f>IF(OR(3771658.08092="",34784.17834="",41954.95517=""),"-",(34784.17834-41954.95517)/3771658.08092*100)</f>
        <v>-0.19012266425409574</v>
      </c>
    </row>
    <row r="78" spans="1:7" ht="25.5" x14ac:dyDescent="0.25">
      <c r="A78" s="47" t="s">
        <v>221</v>
      </c>
      <c r="B78" s="48">
        <f>IF(6646.78349="","-",6646.78349)</f>
        <v>6646.7834899999998</v>
      </c>
      <c r="C78" s="48">
        <f>IF(OR(7713.29996="",6646.78349=""),"-",6646.78349/7713.29996*100)</f>
        <v>86.173019647481723</v>
      </c>
      <c r="D78" s="48">
        <f>IF(7713.29996="","-",7713.29996/3771658.08092*100)</f>
        <v>0.20450687189859312</v>
      </c>
      <c r="E78" s="48">
        <f>IF(6646.78349="","-",6646.78349/3323417.92643*100)</f>
        <v>0.19999842442746715</v>
      </c>
      <c r="F78" s="48">
        <f>IF(OR(3703581.02097="",8079.84848="",7713.29996=""),"-",(7713.29996-8079.84848)/3703581.02097*100)</f>
        <v>-9.8971378761412154E-3</v>
      </c>
      <c r="G78" s="48">
        <f>IF(OR(3771658.08092="",6646.78349="",7713.29996=""),"-",(6646.78349-7713.29996)/3771658.08092*100)</f>
        <v>-2.8277124996968203E-2</v>
      </c>
    </row>
    <row r="79" spans="1:7" x14ac:dyDescent="0.25">
      <c r="A79" s="47" t="s">
        <v>36</v>
      </c>
      <c r="B79" s="48">
        <f>IF(132047.36187="","-",132047.36187)</f>
        <v>132047.36186999999</v>
      </c>
      <c r="C79" s="48">
        <f>IF(OR(158790.2518="",132047.36187=""),"-",132047.36187/158790.2518*100)</f>
        <v>83.158355360703567</v>
      </c>
      <c r="D79" s="48">
        <f>IF(158790.2518="","-",158790.2518/3771658.08092*100)</f>
        <v>4.2100913813817167</v>
      </c>
      <c r="E79" s="48">
        <f>IF(132047.36187="","-",132047.36187/3323417.92643*100)</f>
        <v>3.9732397427321051</v>
      </c>
      <c r="F79" s="48">
        <f>IF(OR(3703581.02097="",139090.83842="",158790.2518=""),"-",(158790.2518-139090.83842)/3703581.02097*100)</f>
        <v>0.53190178015440215</v>
      </c>
      <c r="G79" s="48">
        <f>IF(OR(3771658.08092="",132047.36187="",158790.2518=""),"-",(132047.36187-158790.2518)/3771658.08092*100)</f>
        <v>-0.70904862944195501</v>
      </c>
    </row>
    <row r="80" spans="1:7" ht="25.5" x14ac:dyDescent="0.25">
      <c r="A80" s="56" t="s">
        <v>222</v>
      </c>
      <c r="B80" s="57">
        <f>IF(178.88403="","-",178.88403)</f>
        <v>178.88403</v>
      </c>
      <c r="C80" s="57">
        <f>IF(141.89918="","-",178.88403/141.89918*100)</f>
        <v>126.06417457803491</v>
      </c>
      <c r="D80" s="57">
        <f>IF(141.89918="","-",141.89918/3771658.08092*100)</f>
        <v>3.7622493066865517E-3</v>
      </c>
      <c r="E80" s="57">
        <f>IF(178.88403="","-",178.88403/3323417.92643*100)</f>
        <v>5.3825318981821938E-3</v>
      </c>
      <c r="F80" s="57">
        <f>IF(3703581.02097="","-",(141.89918-303.21356)/3703581.02097*100)</f>
        <v>-4.355632537444809E-3</v>
      </c>
      <c r="G80" s="57">
        <f>IF(3771658.08092="","-",(178.88403-141.89918)/3771658.08092*100)</f>
        <v>9.8059922735569066E-4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H20" sqref="H19:H20"/>
    </sheetView>
  </sheetViews>
  <sheetFormatPr defaultRowHeight="15.75" x14ac:dyDescent="0.25"/>
  <cols>
    <col min="1" max="1" width="42.125" customWidth="1"/>
    <col min="2" max="2" width="13.75" customWidth="1"/>
    <col min="3" max="3" width="13.875" customWidth="1"/>
    <col min="4" max="4" width="17.25" customWidth="1"/>
    <col min="6" max="6" width="12.125" bestFit="1" customWidth="1"/>
  </cols>
  <sheetData>
    <row r="1" spans="1:6" x14ac:dyDescent="0.25">
      <c r="A1" s="98" t="s">
        <v>162</v>
      </c>
      <c r="B1" s="98"/>
      <c r="C1" s="98"/>
      <c r="D1" s="98"/>
    </row>
    <row r="2" spans="1:6" x14ac:dyDescent="0.25">
      <c r="A2" s="98" t="s">
        <v>23</v>
      </c>
      <c r="B2" s="98"/>
      <c r="C2" s="98"/>
      <c r="D2" s="98"/>
    </row>
    <row r="3" spans="1:6" x14ac:dyDescent="0.25">
      <c r="A3" s="5"/>
    </row>
    <row r="4" spans="1:6" ht="25.5" customHeight="1" x14ac:dyDescent="0.25">
      <c r="A4" s="99"/>
      <c r="B4" s="103" t="s">
        <v>256</v>
      </c>
      <c r="C4" s="104"/>
      <c r="D4" s="110" t="s">
        <v>258</v>
      </c>
      <c r="E4" s="1"/>
    </row>
    <row r="5" spans="1:6" ht="27" customHeight="1" x14ac:dyDescent="0.25">
      <c r="A5" s="100"/>
      <c r="B5" s="21">
        <v>2019</v>
      </c>
      <c r="C5" s="20">
        <v>2020</v>
      </c>
      <c r="D5" s="115"/>
      <c r="E5" s="1"/>
    </row>
    <row r="6" spans="1:6" ht="14.25" customHeight="1" x14ac:dyDescent="0.25">
      <c r="A6" s="43" t="s">
        <v>140</v>
      </c>
      <c r="B6" s="44">
        <f>IF(-1984474.66172="","-",-1984474.66172)</f>
        <v>-1984474.66172</v>
      </c>
      <c r="C6" s="44">
        <f>IF(-1778469.94324="","-",-1778469.94324)</f>
        <v>-1778469.9432399999</v>
      </c>
      <c r="D6" s="59">
        <f>IF(-1984474.66172="","-",-1778469.94324/-1984474.66172*100)</f>
        <v>89.619181214364815</v>
      </c>
      <c r="F6" s="18"/>
    </row>
    <row r="7" spans="1:6" x14ac:dyDescent="0.25">
      <c r="A7" s="35" t="s">
        <v>138</v>
      </c>
      <c r="B7" s="37"/>
      <c r="C7" s="54"/>
      <c r="D7" s="83"/>
    </row>
    <row r="8" spans="1:6" x14ac:dyDescent="0.25">
      <c r="A8" s="55" t="s">
        <v>223</v>
      </c>
      <c r="B8" s="46">
        <f>IF(17090.37872="","-",17090.37872)</f>
        <v>17090.378720000001</v>
      </c>
      <c r="C8" s="46">
        <f>IF(-35969.75806="","-",-35969.75806)</f>
        <v>-35969.75806</v>
      </c>
      <c r="D8" s="63" t="s">
        <v>22</v>
      </c>
    </row>
    <row r="9" spans="1:6" x14ac:dyDescent="0.25">
      <c r="A9" s="47" t="s">
        <v>24</v>
      </c>
      <c r="B9" s="48">
        <f>IF(OR(4114.68637="",4114.68637=0),"-",4114.68637)</f>
        <v>4114.6863700000004</v>
      </c>
      <c r="C9" s="48">
        <f>IF(OR(2926.2807="",2926.2807=0),"-",2926.2807)</f>
        <v>2926.2806999999998</v>
      </c>
      <c r="D9" s="80">
        <f>IF(OR(4114.68637="",2926.2807="",4114.68637=0,2926.2807=0),"-",2926.2807/4114.68637*100)</f>
        <v>71.117952545189965</v>
      </c>
    </row>
    <row r="10" spans="1:6" x14ac:dyDescent="0.25">
      <c r="A10" s="47" t="s">
        <v>224</v>
      </c>
      <c r="B10" s="48">
        <f>IF(OR(-26315.38226="",-26315.38226=0),"-",-26315.38226)</f>
        <v>-26315.382259999998</v>
      </c>
      <c r="C10" s="48">
        <f>IF(OR(-22809.2203399999="",-22809.2203399999=0),"-",-22809.2203399999)</f>
        <v>-22809.220339999902</v>
      </c>
      <c r="D10" s="80">
        <f>IF(OR(-26315.38226="",-22809.2203399999="",-26315.38226=0,-22809.2203399999=0),"-",-22809.2203399999/-26315.38226*100)</f>
        <v>86.676378532682207</v>
      </c>
    </row>
    <row r="11" spans="1:6" x14ac:dyDescent="0.25">
      <c r="A11" s="47" t="s">
        <v>225</v>
      </c>
      <c r="B11" s="48">
        <f>IF(OR(-29233.7766="",-29233.7766=0),"-",-29233.7766)</f>
        <v>-29233.776600000001</v>
      </c>
      <c r="C11" s="48">
        <f>IF(OR(-45722.95484="",-45722.95484=0),"-",-45722.95484)</f>
        <v>-45722.954839999999</v>
      </c>
      <c r="D11" s="80" t="s">
        <v>105</v>
      </c>
    </row>
    <row r="12" spans="1:6" x14ac:dyDescent="0.25">
      <c r="A12" s="47" t="s">
        <v>226</v>
      </c>
      <c r="B12" s="48">
        <f>IF(OR(-34574.8971="",-34574.8971=0),"-",-34574.8971)</f>
        <v>-34574.897100000002</v>
      </c>
      <c r="C12" s="48">
        <f>IF(OR(-34782.33329="",-34782.33329=0),"-",-34782.33329)</f>
        <v>-34782.333290000002</v>
      </c>
      <c r="D12" s="80">
        <f>IF(OR(-34574.8971="",-34782.33329="",-34574.8971=0,-34782.33329=0),"-",-34782.33329/-34574.8971*100)</f>
        <v>100.599961843415</v>
      </c>
    </row>
    <row r="13" spans="1:6" x14ac:dyDescent="0.25">
      <c r="A13" s="47" t="s">
        <v>227</v>
      </c>
      <c r="B13" s="48">
        <f>IF(OR(117540.99639="",117540.99639=0),"-",117540.99639)</f>
        <v>117540.99639</v>
      </c>
      <c r="C13" s="48">
        <f>IF(OR(59839.74934="",59839.74934=0),"-",59839.74934)</f>
        <v>59839.749340000002</v>
      </c>
      <c r="D13" s="80">
        <f>IF(OR(117540.99639="",59839.74934="",117540.99639=0,59839.74934=0),"-",59839.74934/117540.99639*100)</f>
        <v>50.909683580911832</v>
      </c>
    </row>
    <row r="14" spans="1:6" x14ac:dyDescent="0.25">
      <c r="A14" s="47" t="s">
        <v>228</v>
      </c>
      <c r="B14" s="48">
        <f>IF(OR(64584.24423="",64584.24423=0),"-",64584.24423)</f>
        <v>64584.244229999997</v>
      </c>
      <c r="C14" s="48">
        <f>IF(OR(86789.15244="",86789.15244=0),"-",86789.15244)</f>
        <v>86789.152440000005</v>
      </c>
      <c r="D14" s="80">
        <f>IF(OR(64584.24423="",86789.15244="",64584.24423=0,86789.15244=0),"-",86789.15244/64584.24423*100)</f>
        <v>134.3813084363471</v>
      </c>
    </row>
    <row r="15" spans="1:6" x14ac:dyDescent="0.25">
      <c r="A15" s="47" t="s">
        <v>185</v>
      </c>
      <c r="B15" s="48">
        <f>IF(OR(1257.27099="",1257.27099=0),"-",1257.27099)</f>
        <v>1257.27099</v>
      </c>
      <c r="C15" s="48">
        <f>IF(OR(1898.54335="",1898.54335=0),"-",1898.54335)</f>
        <v>1898.5433499999999</v>
      </c>
      <c r="D15" s="80" t="s">
        <v>128</v>
      </c>
    </row>
    <row r="16" spans="1:6" x14ac:dyDescent="0.25">
      <c r="A16" s="47" t="s">
        <v>229</v>
      </c>
      <c r="B16" s="48">
        <f>IF(OR(-25429.28622="",-25429.28622=0),"-",-25429.28622)</f>
        <v>-25429.286220000002</v>
      </c>
      <c r="C16" s="48">
        <f>IF(OR(-27653.73492="",-27653.73492=0),"-",-27653.73492)</f>
        <v>-27653.734919999999</v>
      </c>
      <c r="D16" s="80">
        <f>IF(OR(-25429.28622="",-27653.73492="",-25429.28622=0,-27653.73492=0),"-",-27653.73492/-25429.28622*100)</f>
        <v>108.74758607361335</v>
      </c>
    </row>
    <row r="17" spans="1:4" x14ac:dyDescent="0.25">
      <c r="A17" s="47" t="s">
        <v>186</v>
      </c>
      <c r="B17" s="48">
        <f>IF(OR(-8885.14541="",-8885.14541=0),"-",-8885.14541)</f>
        <v>-8885.1454099999992</v>
      </c>
      <c r="C17" s="48">
        <f>IF(OR(-7966.38733="",-7966.38733=0),"-",-7966.38733)</f>
        <v>-7966.3873299999996</v>
      </c>
      <c r="D17" s="80">
        <f>IF(OR(-8885.14541="",-7966.38733="",-8885.14541=0,-7966.38733=0),"-",-7966.38733/-8885.14541*100)</f>
        <v>89.659616836816639</v>
      </c>
    </row>
    <row r="18" spans="1:4" x14ac:dyDescent="0.25">
      <c r="A18" s="47" t="s">
        <v>230</v>
      </c>
      <c r="B18" s="48">
        <f>IF(OR(-45968.33167="",-45968.33167=0),"-",-45968.33167)</f>
        <v>-45968.33167</v>
      </c>
      <c r="C18" s="48">
        <f>IF(OR(-48488.85317="",-48488.85317=0),"-",-48488.85317)</f>
        <v>-48488.853170000002</v>
      </c>
      <c r="D18" s="80">
        <f>IF(OR(-45968.33167="",-48488.85317="",-45968.33167=0,-48488.85317=0),"-",-48488.85317/-45968.33167*100)</f>
        <v>105.48316940909332</v>
      </c>
    </row>
    <row r="19" spans="1:4" x14ac:dyDescent="0.25">
      <c r="A19" s="55" t="s">
        <v>231</v>
      </c>
      <c r="B19" s="46">
        <f>IF(57698.64766="","-",57698.64766)</f>
        <v>57698.647660000002</v>
      </c>
      <c r="C19" s="46">
        <f>IF(47536.42959="","-",47536.42959)</f>
        <v>47536.42959</v>
      </c>
      <c r="D19" s="63">
        <f>IF(57698.64766="","-",47536.42959/57698.64766*100)</f>
        <v>82.387424173469782</v>
      </c>
    </row>
    <row r="20" spans="1:4" x14ac:dyDescent="0.25">
      <c r="A20" s="47" t="s">
        <v>232</v>
      </c>
      <c r="B20" s="48">
        <f>IF(OR(79210.94391="",79210.94391=0),"-",79210.94391)</f>
        <v>79210.943910000002</v>
      </c>
      <c r="C20" s="48">
        <f>IF(OR(73985.11056="",73985.11056=0),"-",73985.11056)</f>
        <v>73985.110560000001</v>
      </c>
      <c r="D20" s="80">
        <f>IF(OR(79210.94391="",73985.11056="",79210.94391=0,73985.11056=0),"-",73985.11056/79210.94391*100)</f>
        <v>93.402637196272238</v>
      </c>
    </row>
    <row r="21" spans="1:4" x14ac:dyDescent="0.25">
      <c r="A21" s="47" t="s">
        <v>233</v>
      </c>
      <c r="B21" s="48">
        <f>IF(OR(-21512.29625="",-21512.29625=0),"-",-21512.29625)</f>
        <v>-21512.296249999999</v>
      </c>
      <c r="C21" s="48">
        <f>IF(OR(-26448.68097="",-26448.68097=0),"-",-26448.68097)</f>
        <v>-26448.680970000001</v>
      </c>
      <c r="D21" s="80">
        <f>IF(OR(-21512.29625="",-26448.68097="",-21512.29625=0,-26448.68097=0),"-",-26448.68097/-21512.29625*100)</f>
        <v>122.94680522540685</v>
      </c>
    </row>
    <row r="22" spans="1:4" x14ac:dyDescent="0.25">
      <c r="A22" s="55" t="s">
        <v>25</v>
      </c>
      <c r="B22" s="46">
        <f>IF(75090.9386="","-",75090.9386)</f>
        <v>75090.938599999994</v>
      </c>
      <c r="C22" s="46">
        <f>IF(34150.50963="","-",34150.50963)</f>
        <v>34150.50963</v>
      </c>
      <c r="D22" s="63">
        <f>IF(75090.9386="","-",34150.50963/75090.9386*100)</f>
        <v>45.478869044260428</v>
      </c>
    </row>
    <row r="23" spans="1:4" x14ac:dyDescent="0.25">
      <c r="A23" s="47" t="s">
        <v>240</v>
      </c>
      <c r="B23" s="48">
        <f>IF(OR(1047.15047="",1047.15047=0),"-",1047.15047)</f>
        <v>1047.15047</v>
      </c>
      <c r="C23" s="48">
        <f>IF(OR(805.19316="",805.19316=0),"-",805.19316)</f>
        <v>805.19316000000003</v>
      </c>
      <c r="D23" s="80">
        <f>IF(OR(1047.15047="",805.19316="",1047.15047=0,805.19316=0),"-",805.19316/1047.15047*100)</f>
        <v>76.893740018089289</v>
      </c>
    </row>
    <row r="24" spans="1:4" x14ac:dyDescent="0.25">
      <c r="A24" s="47" t="s">
        <v>234</v>
      </c>
      <c r="B24" s="48">
        <f>IF(OR(126932.57759="",126932.57759=0),"-",126932.57759)</f>
        <v>126932.57759</v>
      </c>
      <c r="C24" s="48">
        <f>IF(OR(75900.84399="",75900.84399=0),"-",75900.84399)</f>
        <v>75900.843989999994</v>
      </c>
      <c r="D24" s="80">
        <f>IF(OR(126932.57759="",75900.84399="",126932.57759=0,75900.84399=0),"-",75900.84399/126932.57759*100)</f>
        <v>59.796188993470508</v>
      </c>
    </row>
    <row r="25" spans="1:4" x14ac:dyDescent="0.25">
      <c r="A25" s="47" t="s">
        <v>235</v>
      </c>
      <c r="B25" s="48">
        <f>IF(OR(-1080.65145="",-1080.65145=0),"-",-1080.65145)</f>
        <v>-1080.6514500000001</v>
      </c>
      <c r="C25" s="48">
        <f>IF(OR(-854.89985="",-854.89985=0),"-",-854.89985)</f>
        <v>-854.89985000000001</v>
      </c>
      <c r="D25" s="80">
        <f>IF(OR(-1080.65145="",-854.89985="",-1080.65145=0,-854.89985=0),"-",-854.89985/-1080.65145*100)</f>
        <v>79.109675002055468</v>
      </c>
    </row>
    <row r="26" spans="1:4" x14ac:dyDescent="0.25">
      <c r="A26" s="47" t="s">
        <v>236</v>
      </c>
      <c r="B26" s="48">
        <f>IF(OR(-24665.33485="",-24665.33485=0),"-",-24665.33485)</f>
        <v>-24665.334849999999</v>
      </c>
      <c r="C26" s="48">
        <f>IF(OR(-23207.04049="",-23207.04049=0),"-",-23207.04049)</f>
        <v>-23207.040489999999</v>
      </c>
      <c r="D26" s="80">
        <f>IF(OR(-24665.33485="",-23207.04049="",-24665.33485=0,-23207.04049=0),"-",-23207.04049/-24665.33485*100)</f>
        <v>94.087676616318063</v>
      </c>
    </row>
    <row r="27" spans="1:4" x14ac:dyDescent="0.25">
      <c r="A27" s="47" t="s">
        <v>187</v>
      </c>
      <c r="B27" s="48">
        <f>IF(OR(1508.82983="",1508.82983=0),"-",1508.82983)</f>
        <v>1508.8298299999999</v>
      </c>
      <c r="C27" s="48">
        <f>IF(OR(935.11359="",935.11359=0),"-",935.11359)</f>
        <v>935.11359000000004</v>
      </c>
      <c r="D27" s="80">
        <f>IF(OR(1508.82983="",935.11359="",1508.82983=0,935.11359=0),"-",935.11359/1508.82983*100)</f>
        <v>61.976080496764837</v>
      </c>
    </row>
    <row r="28" spans="1:4" ht="25.5" x14ac:dyDescent="0.25">
      <c r="A28" s="47" t="s">
        <v>188</v>
      </c>
      <c r="B28" s="48">
        <f>IF(OR(-4765.88629="",-4765.88629=0),"-",-4765.88629)</f>
        <v>-4765.8862900000004</v>
      </c>
      <c r="C28" s="48">
        <f>IF(OR(-4430.69578="",-4430.69578=0),"-",-4430.69578)</f>
        <v>-4430.69578</v>
      </c>
      <c r="D28" s="80">
        <f>IF(OR(-4765.88629="",-4430.69578="",-4765.88629=0,-4430.69578=0),"-",-4430.69578/-4765.88629*100)</f>
        <v>92.966879828767361</v>
      </c>
    </row>
    <row r="29" spans="1:4" ht="25.5" x14ac:dyDescent="0.25">
      <c r="A29" s="47" t="s">
        <v>189</v>
      </c>
      <c r="B29" s="48">
        <f>IF(OR(-11733.52015="",-11733.52015=0),"-",-11733.52015)</f>
        <v>-11733.52015</v>
      </c>
      <c r="C29" s="48">
        <f>IF(OR(-4778.64747="",-4778.64747=0),"-",-4778.64747)</f>
        <v>-4778.6474699999999</v>
      </c>
      <c r="D29" s="80">
        <f>IF(OR(-11733.52015="",-4778.64747="",-11733.52015=0,-4778.64747=0),"-",-4778.64747/-11733.52015*100)</f>
        <v>40.726460677702079</v>
      </c>
    </row>
    <row r="30" spans="1:4" x14ac:dyDescent="0.25">
      <c r="A30" s="47" t="s">
        <v>190</v>
      </c>
      <c r="B30" s="48">
        <f>IF(OR(9971.03896="",9971.03896=0),"-",9971.03896)</f>
        <v>9971.0389599999999</v>
      </c>
      <c r="C30" s="48">
        <f>IF(OR(11126.46458="",11126.46458=0),"-",11126.46458)</f>
        <v>11126.46458</v>
      </c>
      <c r="D30" s="80">
        <f>IF(OR(9971.03896="",11126.46458="",9971.03896=0,11126.46458=0),"-",11126.46458/9971.03896*100)</f>
        <v>111.58781571945637</v>
      </c>
    </row>
    <row r="31" spans="1:4" x14ac:dyDescent="0.25">
      <c r="A31" s="47" t="s">
        <v>191</v>
      </c>
      <c r="B31" s="48">
        <f>IF(OR(-22123.26551="",-22123.26551=0),"-",-22123.26551)</f>
        <v>-22123.265510000001</v>
      </c>
      <c r="C31" s="48">
        <f>IF(OR(-21345.8221="",-21345.8221=0),"-",-21345.8221)</f>
        <v>-21345.822100000001</v>
      </c>
      <c r="D31" s="80">
        <f>IF(OR(-22123.26551="",-21345.8221="",-22123.26551=0,-21345.8221=0),"-",-21345.8221/-22123.26551*100)</f>
        <v>96.485855988806975</v>
      </c>
    </row>
    <row r="32" spans="1:4" x14ac:dyDescent="0.25">
      <c r="A32" s="55" t="s">
        <v>192</v>
      </c>
      <c r="B32" s="46">
        <f>IF(-577557.72331="","-",-577557.72331)</f>
        <v>-577557.72331000003</v>
      </c>
      <c r="C32" s="46">
        <f>IF(-378346.92505="","-",-378346.92505)</f>
        <v>-378346.92505000002</v>
      </c>
      <c r="D32" s="63">
        <f>IF(-577557.72331="","-",-378346.92505/-577557.72331*100)</f>
        <v>65.508071276699894</v>
      </c>
    </row>
    <row r="33" spans="1:4" x14ac:dyDescent="0.25">
      <c r="A33" s="47" t="s">
        <v>237</v>
      </c>
      <c r="B33" s="48">
        <f>IF(OR(-13353.62746="",-13353.62746=0),"-",-13353.62746)</f>
        <v>-13353.62746</v>
      </c>
      <c r="C33" s="48">
        <f>IF(OR(-10337.57989="",-10337.57989=0),"-",-10337.57989)</f>
        <v>-10337.579890000001</v>
      </c>
      <c r="D33" s="80">
        <f>IF(OR(-13353.62746="",-10337.57989="",-13353.62746=0,-10337.57989=0),"-",-10337.57989/-13353.62746*100)</f>
        <v>77.414020429771682</v>
      </c>
    </row>
    <row r="34" spans="1:4" x14ac:dyDescent="0.25">
      <c r="A34" s="47" t="s">
        <v>193</v>
      </c>
      <c r="B34" s="48">
        <f>IF(OR(-360220.99165="",-360220.99165=0),"-",-360220.99165)</f>
        <v>-360220.99164999998</v>
      </c>
      <c r="C34" s="48">
        <f>IF(OR(-233763.69463="",-233763.69463=0),"-",-233763.69463)</f>
        <v>-233763.69463000001</v>
      </c>
      <c r="D34" s="80">
        <f>IF(OR(-360220.99165="",-233763.69463="",-360220.99165=0,-233763.69463=0),"-",-233763.69463/-360220.99165*100)</f>
        <v>64.894523097957276</v>
      </c>
    </row>
    <row r="35" spans="1:4" x14ac:dyDescent="0.25">
      <c r="A35" s="47" t="s">
        <v>238</v>
      </c>
      <c r="B35" s="48">
        <f>IF(OR(-175926.22966="",-175926.22966=0),"-",-175926.22966)</f>
        <v>-175926.22966000001</v>
      </c>
      <c r="C35" s="48">
        <f>IF(OR(-126139.41458="",-126139.41458=0),"-",-126139.41458)</f>
        <v>-126139.41458</v>
      </c>
      <c r="D35" s="80">
        <f>IF(OR(-175926.22966="",-126139.41458="",-175926.22966=0,-126139.41458=0),"-",-126139.41458/-175926.22966*100)</f>
        <v>71.700175024372754</v>
      </c>
    </row>
    <row r="36" spans="1:4" x14ac:dyDescent="0.25">
      <c r="A36" s="47" t="s">
        <v>194</v>
      </c>
      <c r="B36" s="48">
        <f>IF(OR(-28056.87454="",-28056.87454=0),"-",-28056.87454)</f>
        <v>-28056.874540000001</v>
      </c>
      <c r="C36" s="48">
        <f>IF(OR(-8106.23595="",-8106.23595=0),"-",-8106.23595)</f>
        <v>-8106.2359500000002</v>
      </c>
      <c r="D36" s="80">
        <f>IF(OR(-28056.87454="",-8106.23595="",-28056.87454=0,-8106.23595=0),"-",-8106.23595/-28056.87454*100)</f>
        <v>28.892155961431619</v>
      </c>
    </row>
    <row r="37" spans="1:4" x14ac:dyDescent="0.25">
      <c r="A37" s="55" t="s">
        <v>195</v>
      </c>
      <c r="B37" s="46">
        <f>IF(28098.62729="","-",28098.62729)</f>
        <v>28098.62729</v>
      </c>
      <c r="C37" s="46">
        <f>IF(63345.67666="","-",63345.67666)</f>
        <v>63345.676659999997</v>
      </c>
      <c r="D37" s="63" t="s">
        <v>266</v>
      </c>
    </row>
    <row r="38" spans="1:4" x14ac:dyDescent="0.25">
      <c r="A38" s="47" t="s">
        <v>241</v>
      </c>
      <c r="B38" s="48">
        <f>IF(OR(-1040.47241="",-1040.47241=0),"-",-1040.47241)</f>
        <v>-1040.4724100000001</v>
      </c>
      <c r="C38" s="48">
        <f>IF(OR(-995.61881="",-995.61881=0),"-",-995.61881)</f>
        <v>-995.61881000000005</v>
      </c>
      <c r="D38" s="80">
        <f>IF(OR(-1040.47241="",-995.61881="",-1040.47241=0,-995.61881=0),"-",-995.61881/-1040.47241*100)</f>
        <v>95.689112025565379</v>
      </c>
    </row>
    <row r="39" spans="1:4" ht="14.25" customHeight="1" x14ac:dyDescent="0.25">
      <c r="A39" s="47" t="s">
        <v>196</v>
      </c>
      <c r="B39" s="48">
        <f>IF(OR(30777.20395="",30777.20395=0),"-",30777.20395)</f>
        <v>30777.203949999999</v>
      </c>
      <c r="C39" s="48">
        <f>IF(OR(65418.32769="",65418.32769=0),"-",65418.32769)</f>
        <v>65418.327689999998</v>
      </c>
      <c r="D39" s="80" t="s">
        <v>96</v>
      </c>
    </row>
    <row r="40" spans="1:4" ht="38.25" x14ac:dyDescent="0.25">
      <c r="A40" s="47" t="s">
        <v>239</v>
      </c>
      <c r="B40" s="48">
        <f>IF(OR(-1638.10425="",-1638.10425=0),"-",-1638.10425)</f>
        <v>-1638.1042500000001</v>
      </c>
      <c r="C40" s="48">
        <f>IF(OR(-1077.03222="",-1077.03222=0),"-",-1077.03222)</f>
        <v>-1077.0322200000001</v>
      </c>
      <c r="D40" s="80">
        <f>IF(OR(-1638.10425="",-1077.03222="",-1638.10425=0,-1077.03222=0),"-",-1077.03222/-1638.10425*100)</f>
        <v>65.74869822845524</v>
      </c>
    </row>
    <row r="41" spans="1:4" ht="15" customHeight="1" x14ac:dyDescent="0.25">
      <c r="A41" s="55" t="s">
        <v>197</v>
      </c>
      <c r="B41" s="46">
        <f>IF(-475227.40615="","-",-475227.40615)</f>
        <v>-475227.40615</v>
      </c>
      <c r="C41" s="46">
        <f>IF(-455620.36713="","-",-455620.36713)</f>
        <v>-455620.36713000003</v>
      </c>
      <c r="D41" s="63">
        <f>IF(-475227.40615="","-",-455620.36713/-475227.40615*100)</f>
        <v>95.874177548209147</v>
      </c>
    </row>
    <row r="42" spans="1:4" x14ac:dyDescent="0.25">
      <c r="A42" s="47" t="s">
        <v>26</v>
      </c>
      <c r="B42" s="48">
        <f>IF(OR(-1361.07602="",-1361.07602=0),"-",-1361.07602)</f>
        <v>-1361.07602</v>
      </c>
      <c r="C42" s="48">
        <f>IF(OR(23770.68096="",23770.68096=0),"-",23770.68096)</f>
        <v>23770.680960000002</v>
      </c>
      <c r="D42" s="80" t="s">
        <v>22</v>
      </c>
    </row>
    <row r="43" spans="1:4" x14ac:dyDescent="0.25">
      <c r="A43" s="47" t="s">
        <v>27</v>
      </c>
      <c r="B43" s="48">
        <f>IF(OR(-10273.1783="",-10273.1783=0),"-",-10273.1783)</f>
        <v>-10273.1783</v>
      </c>
      <c r="C43" s="48">
        <f>IF(OR(-9987.23361="",-9987.23361=0),"-",-9987.23361)</f>
        <v>-9987.2336099999993</v>
      </c>
      <c r="D43" s="80">
        <f>IF(OR(-10273.1783="",-9987.23361="",-10273.1783=0,-9987.23361=0),"-",-9987.23361/-10273.1783*100)</f>
        <v>97.216589825954841</v>
      </c>
    </row>
    <row r="44" spans="1:4" x14ac:dyDescent="0.25">
      <c r="A44" s="47" t="s">
        <v>198</v>
      </c>
      <c r="B44" s="48">
        <f>IF(OR(-24925.41776="",-24925.41776=0),"-",-24925.41776)</f>
        <v>-24925.41776</v>
      </c>
      <c r="C44" s="48">
        <f>IF(OR(-26086.81306="",-26086.81306=0),"-",-26086.81306)</f>
        <v>-26086.81306</v>
      </c>
      <c r="D44" s="80">
        <f>IF(OR(-24925.41776="",-26086.81306="",-24925.41776=0,-26086.81306=0),"-",-26086.81306/-24925.41776*100)</f>
        <v>104.65948178354625</v>
      </c>
    </row>
    <row r="45" spans="1:4" x14ac:dyDescent="0.25">
      <c r="A45" s="47" t="s">
        <v>199</v>
      </c>
      <c r="B45" s="48">
        <f>IF(OR(-108560.13748="",-108560.13748=0),"-",-108560.13748)</f>
        <v>-108560.13748</v>
      </c>
      <c r="C45" s="48">
        <f>IF(OR(-118797.63478="",-118797.63478=0),"-",-118797.63478)</f>
        <v>-118797.63477999999</v>
      </c>
      <c r="D45" s="80">
        <f>IF(OR(-108560.13748="",-118797.63478="",-108560.13748=0,-118797.63478=0),"-",-118797.63478/-108560.13748*100)</f>
        <v>109.43025454613672</v>
      </c>
    </row>
    <row r="46" spans="1:4" ht="25.5" x14ac:dyDescent="0.25">
      <c r="A46" s="47" t="s">
        <v>200</v>
      </c>
      <c r="B46" s="48">
        <f>IF(OR(-62274.98775="",-62274.98775=0),"-",-62274.98775)</f>
        <v>-62274.98775</v>
      </c>
      <c r="C46" s="48">
        <f>IF(OR(-61965.83308="",-61965.83308=0),"-",-61965.83308)</f>
        <v>-61965.833079999997</v>
      </c>
      <c r="D46" s="80">
        <f>IF(OR(-62274.98775="",-61965.83308="",-62274.98775=0,-61965.83308=0),"-",-61965.83308/-62274.98775*100)</f>
        <v>99.503565265655141</v>
      </c>
    </row>
    <row r="47" spans="1:4" x14ac:dyDescent="0.25">
      <c r="A47" s="47" t="s">
        <v>201</v>
      </c>
      <c r="B47" s="48">
        <f>IF(OR(-63647.41906="",-63647.41906=0),"-",-63647.41906)</f>
        <v>-63647.41906</v>
      </c>
      <c r="C47" s="48">
        <f>IF(OR(-60167.8671="",-60167.8671=0),"-",-60167.8671)</f>
        <v>-60167.867100000003</v>
      </c>
      <c r="D47" s="80">
        <f>IF(OR(-63647.41906="",-60167.8671="",-63647.41906=0,-60167.8671=0),"-",-60167.8671/-63647.41906*100)</f>
        <v>94.533082391416613</v>
      </c>
    </row>
    <row r="48" spans="1:4" x14ac:dyDescent="0.25">
      <c r="A48" s="47" t="s">
        <v>28</v>
      </c>
      <c r="B48" s="48">
        <f>IF(OR(-33768.12693="",-33768.12693=0),"-",-33768.12693)</f>
        <v>-33768.126929999999</v>
      </c>
      <c r="C48" s="48">
        <f>IF(OR(-28641.14744="",-28641.14744=0),"-",-28641.14744)</f>
        <v>-28641.147440000001</v>
      </c>
      <c r="D48" s="80">
        <f>IF(OR(-33768.12693="",-28641.14744="",-33768.12693=0,-28641.14744=0),"-",-28641.14744/-33768.12693*100)</f>
        <v>84.817104304813753</v>
      </c>
    </row>
    <row r="49" spans="1:4" x14ac:dyDescent="0.25">
      <c r="A49" s="47" t="s">
        <v>29</v>
      </c>
      <c r="B49" s="48">
        <f>IF(OR(-73042.31817="",-73042.31817=0),"-",-73042.31817)</f>
        <v>-73042.318169999999</v>
      </c>
      <c r="C49" s="48">
        <f>IF(OR(-71509.93691="",-71509.93691=0),"-",-71509.93691)</f>
        <v>-71509.936910000004</v>
      </c>
      <c r="D49" s="80">
        <f>IF(OR(-73042.31817="",-71509.93691="",-73042.31817=0,-71509.93691=0),"-",-71509.93691/-73042.31817*100)</f>
        <v>97.902063764688435</v>
      </c>
    </row>
    <row r="50" spans="1:4" x14ac:dyDescent="0.25">
      <c r="A50" s="47" t="s">
        <v>202</v>
      </c>
      <c r="B50" s="48">
        <f>IF(OR(-97374.74468="",-97374.74468=0),"-",-97374.74468)</f>
        <v>-97374.744680000003</v>
      </c>
      <c r="C50" s="48">
        <f>IF(OR(-102234.58211="",-102234.58211=0),"-",-102234.58211)</f>
        <v>-102234.58211</v>
      </c>
      <c r="D50" s="80">
        <f>IF(OR(-97374.74468="",-102234.58211="",-97374.74468=0,-102234.58211=0),"-",-102234.58211/-97374.74468*100)</f>
        <v>104.99086025434086</v>
      </c>
    </row>
    <row r="51" spans="1:4" ht="25.5" x14ac:dyDescent="0.25">
      <c r="A51" s="55" t="s">
        <v>245</v>
      </c>
      <c r="B51" s="46">
        <f>IF(-621345.71399="","-",-621345.71399)</f>
        <v>-621345.71398999996</v>
      </c>
      <c r="C51" s="46">
        <f>IF(-542323.72922="","-",-542323.72922)</f>
        <v>-542323.72921999998</v>
      </c>
      <c r="D51" s="63">
        <f>IF(-621345.71399="","-",-542323.72922/-621345.71399*100)</f>
        <v>87.282122819749304</v>
      </c>
    </row>
    <row r="52" spans="1:4" x14ac:dyDescent="0.25">
      <c r="A52" s="47" t="s">
        <v>203</v>
      </c>
      <c r="B52" s="48">
        <f>IF(OR(-34289.25462="",-34289.25462=0),"-",-34289.25462)</f>
        <v>-34289.25462</v>
      </c>
      <c r="C52" s="48">
        <f>IF(OR(-26731.58492="",-26731.58492=0),"-",-26731.58492)</f>
        <v>-26731.584920000001</v>
      </c>
      <c r="D52" s="80">
        <f>IF(OR(-34289.25462="",-26731.58492="",-34289.25462=0,-26731.58492=0),"-",-26731.58492/-34289.25462*100)</f>
        <v>77.959072648981376</v>
      </c>
    </row>
    <row r="53" spans="1:4" x14ac:dyDescent="0.25">
      <c r="A53" s="47" t="s">
        <v>30</v>
      </c>
      <c r="B53" s="48">
        <f>IF(OR(-40815.23287="",-40815.23287=0),"-",-40815.23287)</f>
        <v>-40815.23287</v>
      </c>
      <c r="C53" s="48">
        <f>IF(OR(-33838.65637="",-33838.65637=0),"-",-33838.65637)</f>
        <v>-33838.656369999997</v>
      </c>
      <c r="D53" s="80">
        <f>IF(OR(-40815.23287="",-33838.65637="",-40815.23287=0,-33838.65637=0),"-",-33838.65637/-40815.23287*100)</f>
        <v>82.906929571562188</v>
      </c>
    </row>
    <row r="54" spans="1:4" x14ac:dyDescent="0.25">
      <c r="A54" s="47" t="s">
        <v>204</v>
      </c>
      <c r="B54" s="48">
        <f>IF(OR(-45932.27599="",-45932.27599=0),"-",-45932.27599)</f>
        <v>-45932.275990000002</v>
      </c>
      <c r="C54" s="48">
        <f>IF(OR(-41417.53655="",-41417.53655=0),"-",-41417.53655)</f>
        <v>-41417.536549999997</v>
      </c>
      <c r="D54" s="80">
        <f>IF(OR(-45932.27599="",-41417.53655="",-45932.27599=0,-41417.53655=0),"-",-41417.53655/-45932.27599*100)</f>
        <v>90.17087800965291</v>
      </c>
    </row>
    <row r="55" spans="1:4" ht="25.5" x14ac:dyDescent="0.25">
      <c r="A55" s="47" t="s">
        <v>205</v>
      </c>
      <c r="B55" s="48">
        <f>IF(OR(-62194.06704="",-62194.06704=0),"-",-62194.06704)</f>
        <v>-62194.067040000002</v>
      </c>
      <c r="C55" s="48">
        <f>IF(OR(-53450.0567="",-53450.0567=0),"-",-53450.0567)</f>
        <v>-53450.056700000001</v>
      </c>
      <c r="D55" s="80">
        <f>IF(OR(-62194.06704="",-53450.0567="",-62194.06704=0,-53450.0567=0),"-",-53450.0567/-62194.06704*100)</f>
        <v>85.940764519586239</v>
      </c>
    </row>
    <row r="56" spans="1:4" ht="25.5" x14ac:dyDescent="0.25">
      <c r="A56" s="47" t="s">
        <v>206</v>
      </c>
      <c r="B56" s="48">
        <f>IF(OR(-139035.08002="",-139035.08002=0),"-",-139035.08002)</f>
        <v>-139035.08001999999</v>
      </c>
      <c r="C56" s="48">
        <f>IF(OR(-123421.95987="",-123421.95987=0),"-",-123421.95987)</f>
        <v>-123421.95987000001</v>
      </c>
      <c r="D56" s="80">
        <f>IF(OR(-139035.08002="",-123421.95987="",-139035.08002=0,-123421.95987=0),"-",-123421.95987/-139035.08002*100)</f>
        <v>88.770373528929497</v>
      </c>
    </row>
    <row r="57" spans="1:4" x14ac:dyDescent="0.25">
      <c r="A57" s="47" t="s">
        <v>31</v>
      </c>
      <c r="B57" s="48">
        <f>IF(OR(-51750.8763="",-51750.8763=0),"-",-51750.8763)</f>
        <v>-51750.876300000004</v>
      </c>
      <c r="C57" s="48">
        <f>IF(OR(-55667.75462="",-55667.75462=0),"-",-55667.75462)</f>
        <v>-55667.75462</v>
      </c>
      <c r="D57" s="80">
        <f>IF(OR(-51750.8763="",-55667.75462="",-51750.8763=0,-55667.75462=0),"-",-55667.75462/-51750.8763*100)</f>
        <v>107.56871883153019</v>
      </c>
    </row>
    <row r="58" spans="1:4" x14ac:dyDescent="0.25">
      <c r="A58" s="47" t="s">
        <v>207</v>
      </c>
      <c r="B58" s="48">
        <f>IF(OR(-87639.84515="",-87639.84515=0),"-",-87639.84515)</f>
        <v>-87639.845149999994</v>
      </c>
      <c r="C58" s="48">
        <f>IF(OR(-83801.43049="",-83801.43049=0),"-",-83801.43049)</f>
        <v>-83801.430489999999</v>
      </c>
      <c r="D58" s="80">
        <f>IF(OR(-87639.84515="",-83801.43049="",-87639.84515=0,-83801.43049=0),"-",-83801.43049/-87639.84515*100)</f>
        <v>95.620240253242855</v>
      </c>
    </row>
    <row r="59" spans="1:4" x14ac:dyDescent="0.25">
      <c r="A59" s="47" t="s">
        <v>32</v>
      </c>
      <c r="B59" s="48">
        <f>IF(OR(-62161.77832="",-62161.77832=0),"-",-62161.77832)</f>
        <v>-62161.778319999998</v>
      </c>
      <c r="C59" s="48">
        <f>IF(OR(-38931.84111="",-38931.84111=0),"-",-38931.84111)</f>
        <v>-38931.841110000001</v>
      </c>
      <c r="D59" s="80">
        <f>IF(OR(-62161.77832="",-38931.84111="",-62161.77832=0,-38931.84111=0),"-",-38931.84111/-62161.77832*100)</f>
        <v>62.629870254973106</v>
      </c>
    </row>
    <row r="60" spans="1:4" x14ac:dyDescent="0.25">
      <c r="A60" s="47" t="s">
        <v>33</v>
      </c>
      <c r="B60" s="48">
        <f>IF(OR(-97527.30368="",-97527.30368=0),"-",-97527.30368)</f>
        <v>-97527.303679999997</v>
      </c>
      <c r="C60" s="48">
        <f>IF(OR(-85062.90859="",-85062.90859=0),"-",-85062.90859)</f>
        <v>-85062.908590000006</v>
      </c>
      <c r="D60" s="80">
        <f>IF(OR(-97527.30368="",-85062.90859="",-97527.30368=0,-85062.90859=0),"-",-85062.90859/-97527.30368*100)</f>
        <v>87.219584034746489</v>
      </c>
    </row>
    <row r="61" spans="1:4" x14ac:dyDescent="0.25">
      <c r="A61" s="55" t="s">
        <v>208</v>
      </c>
      <c r="B61" s="46">
        <f>IF(-472446.78512="","-",-472446.78512)</f>
        <v>-472446.78512000002</v>
      </c>
      <c r="C61" s="46">
        <f>IF(-491593.26663="","-",-491593.26663)</f>
        <v>-491593.26663000003</v>
      </c>
      <c r="D61" s="63">
        <f>IF(-472446.78512="","-",-491593.26663/-472446.78512*100)</f>
        <v>104.05262182176493</v>
      </c>
    </row>
    <row r="62" spans="1:4" x14ac:dyDescent="0.25">
      <c r="A62" s="47" t="s">
        <v>209</v>
      </c>
      <c r="B62" s="48">
        <f>IF(OR(-12010.4847="",-12010.4847=0),"-",-12010.4847)</f>
        <v>-12010.484700000001</v>
      </c>
      <c r="C62" s="48">
        <f>IF(OR(-9316.35758="",-9316.35758=0),"-",-9316.35758)</f>
        <v>-9316.3575799999999</v>
      </c>
      <c r="D62" s="80">
        <f>IF(OR(-12010.4847="",-9316.35758="",-12010.4847=0,-9316.35758=0),"-",-9316.35758/-12010.4847*100)</f>
        <v>77.568539594409529</v>
      </c>
    </row>
    <row r="63" spans="1:4" x14ac:dyDescent="0.25">
      <c r="A63" s="47" t="s">
        <v>210</v>
      </c>
      <c r="B63" s="48">
        <f>IF(OR(-125797.91964="",-125797.91964=0),"-",-125797.91964)</f>
        <v>-125797.91963999999</v>
      </c>
      <c r="C63" s="48">
        <f>IF(OR(-98822.32758="",-98822.32758=0),"-",-98822.32758)</f>
        <v>-98822.327579999997</v>
      </c>
      <c r="D63" s="80">
        <f>IF(OR(-125797.91964="",-98822.32758="",-125797.91964=0,-98822.32758=0),"-",-98822.32758/-125797.91964*100)</f>
        <v>78.556408454768629</v>
      </c>
    </row>
    <row r="64" spans="1:4" x14ac:dyDescent="0.25">
      <c r="A64" s="47" t="s">
        <v>211</v>
      </c>
      <c r="B64" s="48">
        <f>IF(OR(-5469.68986="",-5469.68986=0),"-",-5469.68986)</f>
        <v>-5469.6898600000004</v>
      </c>
      <c r="C64" s="48">
        <f>IF(OR(-7044.8952="",-7044.8952=0),"-",-7044.8952)</f>
        <v>-7044.8951999999999</v>
      </c>
      <c r="D64" s="80">
        <f>IF(OR(-5469.68986="",-7044.8952="",-5469.68986=0,-7044.8952=0),"-",-7044.8952/-5469.68986*100)</f>
        <v>128.79880542258019</v>
      </c>
    </row>
    <row r="65" spans="1:4" ht="25.5" x14ac:dyDescent="0.25">
      <c r="A65" s="47" t="s">
        <v>212</v>
      </c>
      <c r="B65" s="48">
        <f>IF(OR(-110583.55115="",-110583.55115=0),"-",-110583.55115)</f>
        <v>-110583.55115</v>
      </c>
      <c r="C65" s="48">
        <f>IF(OR(-116339.69694="",-116339.69694=0),"-",-116339.69694)</f>
        <v>-116339.69693999999</v>
      </c>
      <c r="D65" s="80">
        <f>IF(OR(-110583.55115="",-116339.69694="",-110583.55115=0,-116339.69694=0),"-",-116339.69694/-110583.55115*100)</f>
        <v>105.20524592504007</v>
      </c>
    </row>
    <row r="66" spans="1:4" ht="25.5" x14ac:dyDescent="0.25">
      <c r="A66" s="47" t="s">
        <v>213</v>
      </c>
      <c r="B66" s="48">
        <f>IF(OR(-28111.82936="",-28111.82936=0),"-",-28111.82936)</f>
        <v>-28111.82936</v>
      </c>
      <c r="C66" s="48">
        <f>IF(OR(-29526.87585="",-29526.87585=0),"-",-29526.87585)</f>
        <v>-29526.87585</v>
      </c>
      <c r="D66" s="80">
        <f>IF(OR(-28111.82936="",-29526.87585="",-28111.82936=0,-29526.87585=0),"-",-29526.87585/-28111.82936*100)</f>
        <v>105.03363360626206</v>
      </c>
    </row>
    <row r="67" spans="1:4" ht="25.5" x14ac:dyDescent="0.25">
      <c r="A67" s="47" t="s">
        <v>214</v>
      </c>
      <c r="B67" s="48">
        <f>IF(OR(-102061.24604="",-102061.24604=0),"-",-102061.24604)</f>
        <v>-102061.24604</v>
      </c>
      <c r="C67" s="48">
        <f>IF(OR(-93256.32417="",-93256.32417=0),"-",-93256.32417)</f>
        <v>-93256.324170000007</v>
      </c>
      <c r="D67" s="80">
        <f>IF(OR(-102061.24604="",-93256.32417="",-102061.24604=0,-93256.32417=0),"-",-93256.32417/-102061.24604*100)</f>
        <v>91.37290380861198</v>
      </c>
    </row>
    <row r="68" spans="1:4" ht="26.25" customHeight="1" x14ac:dyDescent="0.25">
      <c r="A68" s="47" t="s">
        <v>215</v>
      </c>
      <c r="B68" s="48">
        <f>IF(OR(110168.74824="",110168.74824=0),"-",110168.74824)</f>
        <v>110168.74824</v>
      </c>
      <c r="C68" s="48">
        <f>IF(OR(50224.34582="",50224.34582=0),"-",50224.34582)</f>
        <v>50224.345820000002</v>
      </c>
      <c r="D68" s="80">
        <f>IF(OR(110168.74824="",50224.34582="",110168.74824=0,50224.34582=0),"-",50224.34582/110168.74824*100)</f>
        <v>45.588559934063568</v>
      </c>
    </row>
    <row r="69" spans="1:4" x14ac:dyDescent="0.25">
      <c r="A69" s="47" t="s">
        <v>216</v>
      </c>
      <c r="B69" s="48">
        <f>IF(OR(-197189.90172="",-197189.90172=0),"-",-197189.90172)</f>
        <v>-197189.90171999999</v>
      </c>
      <c r="C69" s="48">
        <f>IF(OR(-153987.32707="",-153987.32707=0),"-",-153987.32707)</f>
        <v>-153987.32707</v>
      </c>
      <c r="D69" s="80">
        <f>IF(OR(-197189.90172="",-153987.32707="",-197189.90172=0,-153987.32707=0),"-",-153987.32707/-197189.90172*100)</f>
        <v>78.090878755370781</v>
      </c>
    </row>
    <row r="70" spans="1:4" x14ac:dyDescent="0.25">
      <c r="A70" s="47" t="s">
        <v>34</v>
      </c>
      <c r="B70" s="48">
        <f>IF(OR(-1390.91089="",-1390.91089=0),"-",-1390.91089)</f>
        <v>-1390.9108900000001</v>
      </c>
      <c r="C70" s="48">
        <f>IF(OR(-33523.80806="",-33523.80806=0),"-",-33523.80806)</f>
        <v>-33523.808060000003</v>
      </c>
      <c r="D70" s="80" t="s">
        <v>283</v>
      </c>
    </row>
    <row r="71" spans="1:4" x14ac:dyDescent="0.25">
      <c r="A71" s="55" t="s">
        <v>35</v>
      </c>
      <c r="B71" s="46">
        <f>IF(-16196.71365="","-",-16196.71365)</f>
        <v>-16196.71365</v>
      </c>
      <c r="C71" s="46">
        <f>IF(-19878.0248="","-",-19878.0248)</f>
        <v>-19878.024799999999</v>
      </c>
      <c r="D71" s="63">
        <f>IF(-16196.71365="","-",-19878.0248/-16196.71365*100)</f>
        <v>122.72875368146057</v>
      </c>
    </row>
    <row r="72" spans="1:4" ht="25.5" x14ac:dyDescent="0.25">
      <c r="A72" s="47" t="s">
        <v>242</v>
      </c>
      <c r="B72" s="48">
        <f>IF(OR(-23727.48586="",-23727.48586=0),"-",-23727.48586)</f>
        <v>-23727.485860000001</v>
      </c>
      <c r="C72" s="48">
        <f>IF(OR(-22233.66224="",-22233.66224=0),"-",-22233.66224)</f>
        <v>-22233.662240000001</v>
      </c>
      <c r="D72" s="80">
        <f>IF(OR(-23727.48586="",-22233.66224="",-23727.48586=0,-22233.66224=0),"-",-22233.66224/-23727.48586*100)</f>
        <v>93.704248192100707</v>
      </c>
    </row>
    <row r="73" spans="1:4" x14ac:dyDescent="0.25">
      <c r="A73" s="47" t="s">
        <v>217</v>
      </c>
      <c r="B73" s="48">
        <f>IF(OR(60814.84263="",60814.84263=0),"-",60814.84263)</f>
        <v>60814.842629999999</v>
      </c>
      <c r="C73" s="48">
        <f>IF(OR(45701.31275="",45701.31275=0),"-",45701.31275)</f>
        <v>45701.312749999997</v>
      </c>
      <c r="D73" s="80">
        <f>IF(OR(60814.84263="",45701.31275="",60814.84263=0,45701.31275=0),"-",45701.31275/60814.84263*100)</f>
        <v>75.148287446945588</v>
      </c>
    </row>
    <row r="74" spans="1:4" x14ac:dyDescent="0.25">
      <c r="A74" s="47" t="s">
        <v>218</v>
      </c>
      <c r="B74" s="48">
        <f>IF(OR(2624.97307="",2624.97307=0),"-",2624.97307)</f>
        <v>2624.97307</v>
      </c>
      <c r="C74" s="48">
        <f>IF(OR(2854.13057="",2854.13057=0),"-",2854.13057)</f>
        <v>2854.1305699999998</v>
      </c>
      <c r="D74" s="80">
        <f>IF(OR(2624.97307="",2854.13057="",2624.97307=0,2854.13057=0),"-",2854.13057/2624.97307*100)</f>
        <v>108.72989908425994</v>
      </c>
    </row>
    <row r="75" spans="1:4" x14ac:dyDescent="0.25">
      <c r="A75" s="47" t="s">
        <v>219</v>
      </c>
      <c r="B75" s="48">
        <f>IF(OR(98697.42875="",98697.42875=0),"-",98697.42875)</f>
        <v>98697.428750000006</v>
      </c>
      <c r="C75" s="48">
        <f>IF(OR(80423.83565="",80423.83565=0),"-",80423.83565)</f>
        <v>80423.835649999994</v>
      </c>
      <c r="D75" s="80">
        <f>IF(OR(98697.42875="",80423.83565="",98697.42875=0,80423.83565=0),"-",80423.83565/98697.42875*100)</f>
        <v>81.485238945497855</v>
      </c>
    </row>
    <row r="76" spans="1:4" x14ac:dyDescent="0.25">
      <c r="A76" s="47" t="s">
        <v>220</v>
      </c>
      <c r="B76" s="48">
        <f>IF(OR(-7545.24616="",-7545.24616=0),"-",-7545.24616)</f>
        <v>-7545.2461599999997</v>
      </c>
      <c r="C76" s="48">
        <f>IF(OR(-2566.09844="",-2566.09844=0),"-",-2566.09844)</f>
        <v>-2566.0984400000002</v>
      </c>
      <c r="D76" s="80">
        <f>IF(OR(-7545.24616="",-2566.09844="",-7545.24616=0,-2566.09844=0),"-",-2566.09844/-7545.24616*100)</f>
        <v>34.009472793661651</v>
      </c>
    </row>
    <row r="77" spans="1:4" x14ac:dyDescent="0.25">
      <c r="A77" s="47" t="s">
        <v>243</v>
      </c>
      <c r="B77" s="48">
        <f>IF(OR(-26390.00075="",-26390.00075=0),"-",-26390.00075)</f>
        <v>-26390.000749999999</v>
      </c>
      <c r="C77" s="48">
        <f>IF(OR(-21958.49749="",-21958.49749=0),"-",-21958.49749)</f>
        <v>-21958.497490000002</v>
      </c>
      <c r="D77" s="80">
        <f>IF(OR(-26390.00075="",-21958.49749="",-26390.00075=0,-21958.49749=0),"-",-21958.49749/-26390.00075*100)</f>
        <v>83.20764253862329</v>
      </c>
    </row>
    <row r="78" spans="1:4" ht="25.5" x14ac:dyDescent="0.25">
      <c r="A78" s="47" t="s">
        <v>221</v>
      </c>
      <c r="B78" s="48">
        <f>IF(OR(-5049.71709="",-5049.71709=0),"-",-5049.71709)</f>
        <v>-5049.7170900000001</v>
      </c>
      <c r="C78" s="48">
        <f>IF(OR(-4740.84553="",-4740.84553=0),"-",-4740.84553)</f>
        <v>-4740.8455299999996</v>
      </c>
      <c r="D78" s="80">
        <f>IF(OR(-5049.71709="",-4740.84553="",-5049.71709=0,-4740.84553=0),"-",-4740.84553/-5049.71709*100)</f>
        <v>93.883388821689408</v>
      </c>
    </row>
    <row r="79" spans="1:4" x14ac:dyDescent="0.25">
      <c r="A79" s="47" t="s">
        <v>36</v>
      </c>
      <c r="B79" s="48">
        <f>IF(OR(-115621.50824="",-115621.50824=0),"-",-115621.50824)</f>
        <v>-115621.50824</v>
      </c>
      <c r="C79" s="48">
        <f>IF(OR(-97358.20007="",-97358.20007=0),"-",-97358.20007)</f>
        <v>-97358.200070000006</v>
      </c>
      <c r="D79" s="80">
        <f>IF(OR(-115621.50824="",-97358.20007="",-115621.50824=0,-97358.20007=0),"-",-97358.20007/-115621.50824*100)</f>
        <v>84.20422943100678</v>
      </c>
    </row>
    <row r="80" spans="1:4" x14ac:dyDescent="0.25">
      <c r="A80" s="56" t="s">
        <v>222</v>
      </c>
      <c r="B80" s="57">
        <f>IF(321.08823="","-",321.08823)</f>
        <v>321.08823000000001</v>
      </c>
      <c r="C80" s="57">
        <f>IF(229.51177="","-",229.51177)</f>
        <v>229.51177000000001</v>
      </c>
      <c r="D80" s="84">
        <f>IF(321.08823="","-",229.51177/321.08823*100)</f>
        <v>71.479346969522993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2020-10-13T08:31:41Z</cp:lastPrinted>
  <dcterms:created xsi:type="dcterms:W3CDTF">2016-09-01T07:59:47Z</dcterms:created>
  <dcterms:modified xsi:type="dcterms:W3CDTF">2020-10-13T08:34:18Z</dcterms:modified>
</cp:coreProperties>
</file>