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7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/>
</workbook>
</file>

<file path=xl/calcChain.xml><?xml version="1.0" encoding="utf-8"?>
<calcChain xmlns="http://schemas.openxmlformats.org/spreadsheetml/2006/main">
  <c r="D134" i="3" l="1"/>
  <c r="B134" i="3"/>
  <c r="D133" i="3"/>
  <c r="B133" i="3"/>
  <c r="D132" i="3"/>
  <c r="B132" i="3"/>
  <c r="D131" i="3"/>
  <c r="B131" i="3"/>
  <c r="D130" i="3"/>
  <c r="B130" i="3"/>
  <c r="B129" i="3"/>
  <c r="D128" i="3"/>
  <c r="B128" i="3"/>
  <c r="B127" i="3"/>
  <c r="B126" i="3"/>
  <c r="D125" i="3"/>
  <c r="B125" i="3"/>
  <c r="B124" i="3"/>
  <c r="D123" i="3"/>
  <c r="B123" i="3"/>
  <c r="B122" i="3"/>
  <c r="D121" i="3"/>
  <c r="B121" i="3"/>
  <c r="B120" i="3"/>
  <c r="D119" i="3"/>
  <c r="B119" i="3"/>
  <c r="D118" i="3"/>
  <c r="B118" i="3"/>
  <c r="B117" i="3"/>
  <c r="D116" i="3"/>
  <c r="B116" i="3"/>
  <c r="D115" i="3"/>
  <c r="B115" i="3"/>
  <c r="D114" i="3"/>
  <c r="B114" i="3"/>
  <c r="B113" i="3"/>
  <c r="D112" i="3"/>
  <c r="B112" i="3"/>
  <c r="D111" i="3"/>
  <c r="B111" i="3"/>
  <c r="B110" i="3"/>
  <c r="B109" i="3"/>
  <c r="D108" i="3"/>
  <c r="B108" i="3"/>
  <c r="D107" i="3"/>
  <c r="B107" i="3"/>
  <c r="D106" i="3"/>
  <c r="B106" i="3"/>
  <c r="B105" i="3"/>
  <c r="D104" i="3"/>
  <c r="B104" i="3"/>
  <c r="B103" i="3"/>
  <c r="D102" i="3"/>
  <c r="B102" i="3"/>
  <c r="B101" i="3"/>
  <c r="B100" i="3"/>
  <c r="D99" i="3"/>
  <c r="B99" i="3"/>
  <c r="B98" i="3"/>
  <c r="D97" i="3"/>
  <c r="B97" i="3"/>
  <c r="D96" i="3"/>
  <c r="B96" i="3"/>
  <c r="D95" i="3"/>
  <c r="B95" i="3"/>
  <c r="D94" i="3"/>
  <c r="B94" i="3"/>
  <c r="C93" i="3"/>
  <c r="B93" i="3"/>
  <c r="D92" i="3"/>
  <c r="B92" i="3"/>
  <c r="B91" i="3"/>
  <c r="D90" i="3"/>
  <c r="B90" i="3"/>
  <c r="D89" i="3"/>
  <c r="B89" i="3"/>
  <c r="D88" i="3"/>
  <c r="B88" i="3"/>
  <c r="D87" i="3"/>
  <c r="B87" i="3"/>
  <c r="D86" i="3"/>
  <c r="B86" i="3"/>
  <c r="B85" i="3"/>
  <c r="B84" i="3"/>
  <c r="D83" i="3"/>
  <c r="B83" i="3"/>
  <c r="B82" i="3"/>
  <c r="D81" i="3"/>
  <c r="B81" i="3"/>
  <c r="B80" i="3"/>
  <c r="D79" i="3"/>
  <c r="B79" i="3"/>
  <c r="D78" i="3"/>
  <c r="B78" i="3"/>
  <c r="D77" i="3"/>
  <c r="B77" i="3"/>
  <c r="B76" i="3"/>
  <c r="D75" i="3"/>
  <c r="B75" i="3"/>
  <c r="D74" i="3"/>
  <c r="B74" i="3"/>
  <c r="D73" i="3"/>
  <c r="B73" i="3"/>
  <c r="D72" i="3"/>
  <c r="B72" i="3"/>
  <c r="D71" i="3"/>
  <c r="B71" i="3"/>
  <c r="D70" i="3"/>
  <c r="B70" i="3"/>
  <c r="D69" i="3"/>
  <c r="B69" i="3"/>
  <c r="B68" i="3"/>
  <c r="D67" i="3"/>
  <c r="B67" i="3"/>
  <c r="D66" i="3"/>
  <c r="B66" i="3"/>
  <c r="D65" i="3"/>
  <c r="B65" i="3"/>
  <c r="D64" i="3"/>
  <c r="B64" i="3"/>
  <c r="B63" i="3"/>
  <c r="D62" i="3"/>
  <c r="B62" i="3"/>
  <c r="D61" i="3"/>
  <c r="B61" i="3"/>
  <c r="D60" i="3"/>
  <c r="B60" i="3"/>
  <c r="D59" i="3"/>
  <c r="B59" i="3"/>
  <c r="D58" i="3"/>
  <c r="B58" i="3"/>
  <c r="D57" i="3"/>
  <c r="B57" i="3"/>
  <c r="D56" i="3"/>
  <c r="B56" i="3"/>
  <c r="B55" i="3"/>
  <c r="D54" i="3"/>
  <c r="B54" i="3"/>
  <c r="D53" i="3"/>
  <c r="C53" i="3"/>
  <c r="B53" i="3"/>
  <c r="D52" i="3"/>
  <c r="B52" i="3"/>
  <c r="D51" i="3"/>
  <c r="B51" i="3"/>
  <c r="D50" i="3"/>
  <c r="B50" i="3"/>
  <c r="D49" i="3"/>
  <c r="B49" i="3"/>
  <c r="D48" i="3"/>
  <c r="B48" i="3"/>
  <c r="D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C40" i="3"/>
  <c r="B40" i="3"/>
  <c r="D39" i="3"/>
  <c r="C39" i="3"/>
  <c r="B39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C33" i="3"/>
  <c r="B33" i="3"/>
  <c r="C32" i="3"/>
  <c r="B32" i="3"/>
  <c r="C31" i="3"/>
  <c r="B31" i="3"/>
  <c r="C30" i="3"/>
  <c r="B30" i="3"/>
  <c r="C29" i="3"/>
  <c r="B29" i="3"/>
  <c r="D28" i="3"/>
  <c r="C28" i="3"/>
  <c r="B28" i="3"/>
  <c r="D27" i="3"/>
  <c r="C27" i="3"/>
  <c r="B27" i="3"/>
  <c r="D26" i="3"/>
  <c r="C26" i="3"/>
  <c r="B26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B5" i="3"/>
  <c r="E39" i="8" l="1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4" i="8"/>
  <c r="D34" i="8"/>
  <c r="B34" i="8"/>
  <c r="E32" i="8"/>
  <c r="D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5" i="8"/>
  <c r="D25" i="8"/>
  <c r="B25" i="8"/>
  <c r="E23" i="8"/>
  <c r="D23" i="8"/>
  <c r="B23" i="8"/>
  <c r="E22" i="8"/>
  <c r="D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B6" i="8"/>
  <c r="D39" i="7" l="1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B6" i="7"/>
  <c r="D80" i="4" l="1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C39" i="4"/>
  <c r="B39" i="4"/>
  <c r="D38" i="4"/>
  <c r="C38" i="4"/>
  <c r="B38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C15" i="4"/>
  <c r="B15" i="4"/>
  <c r="C14" i="4"/>
  <c r="B14" i="4"/>
  <c r="D13" i="4"/>
  <c r="C13" i="4"/>
  <c r="B13" i="4"/>
  <c r="D12" i="4"/>
  <c r="C12" i="4"/>
  <c r="B12" i="4"/>
  <c r="C11" i="4"/>
  <c r="B11" i="4"/>
  <c r="D10" i="4"/>
  <c r="C10" i="4"/>
  <c r="B10" i="4"/>
  <c r="D9" i="4"/>
  <c r="C9" i="4"/>
  <c r="B9" i="4"/>
  <c r="C8" i="4"/>
  <c r="B8" i="4"/>
  <c r="D6" i="4"/>
  <c r="C6" i="4"/>
  <c r="B6" i="4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39" i="5"/>
  <c r="F39" i="5"/>
  <c r="E39" i="5"/>
  <c r="D39" i="5"/>
  <c r="B39" i="5"/>
  <c r="G35" i="5" l="1"/>
  <c r="F35" i="5"/>
  <c r="E35" i="5"/>
  <c r="D35" i="5"/>
  <c r="C35" i="5"/>
  <c r="B35" i="5"/>
  <c r="G78" i="5" l="1"/>
  <c r="F78" i="5"/>
  <c r="E78" i="5"/>
  <c r="D78" i="5"/>
  <c r="C78" i="5"/>
  <c r="B78" i="5"/>
  <c r="G77" i="5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B64" i="5"/>
  <c r="G63" i="5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B57" i="5"/>
  <c r="G56" i="5"/>
  <c r="F56" i="5"/>
  <c r="E56" i="5"/>
  <c r="D56" i="5"/>
  <c r="C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B41" i="5"/>
  <c r="G40" i="5"/>
  <c r="F40" i="5"/>
  <c r="E40" i="5"/>
  <c r="D40" i="5"/>
  <c r="C40" i="5"/>
  <c r="B40" i="5"/>
  <c r="G38" i="5"/>
  <c r="F38" i="5"/>
  <c r="E38" i="5"/>
  <c r="D38" i="5"/>
  <c r="B38" i="5"/>
  <c r="G37" i="5"/>
  <c r="F37" i="5"/>
  <c r="E37" i="5"/>
  <c r="D37" i="5"/>
  <c r="B37" i="5"/>
  <c r="G36" i="5"/>
  <c r="F36" i="5"/>
  <c r="E36" i="5"/>
  <c r="D36" i="5"/>
  <c r="C36" i="5"/>
  <c r="B36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7" i="5"/>
  <c r="F7" i="5"/>
  <c r="C7" i="5"/>
  <c r="B7" i="5"/>
  <c r="G117" i="2" l="1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B114" i="2"/>
  <c r="G113" i="2"/>
  <c r="F113" i="2"/>
  <c r="E113" i="2"/>
  <c r="D113" i="2"/>
  <c r="B113" i="2"/>
  <c r="G112" i="2"/>
  <c r="F112" i="2"/>
  <c r="E112" i="2"/>
  <c r="D112" i="2"/>
  <c r="C112" i="2"/>
  <c r="B112" i="2"/>
  <c r="G111" i="2"/>
  <c r="F111" i="2"/>
  <c r="E111" i="2"/>
  <c r="D111" i="2"/>
  <c r="B111" i="2"/>
  <c r="G110" i="2"/>
  <c r="F110" i="2"/>
  <c r="E110" i="2"/>
  <c r="D110" i="2"/>
  <c r="B110" i="2"/>
  <c r="G109" i="2"/>
  <c r="F109" i="2"/>
  <c r="E109" i="2"/>
  <c r="D109" i="2"/>
  <c r="C109" i="2"/>
  <c r="B109" i="2"/>
  <c r="G108" i="2"/>
  <c r="F108" i="2"/>
  <c r="E108" i="2"/>
  <c r="D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B96" i="2"/>
  <c r="G95" i="2"/>
  <c r="F95" i="2"/>
  <c r="E95" i="2"/>
  <c r="D95" i="2"/>
  <c r="B95" i="2"/>
  <c r="G94" i="2"/>
  <c r="F94" i="2"/>
  <c r="E94" i="2"/>
  <c r="D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B42" i="2"/>
  <c r="G41" i="2"/>
  <c r="F41" i="2"/>
  <c r="E41" i="2"/>
  <c r="D41" i="2"/>
  <c r="C41" i="2"/>
  <c r="B41" i="2"/>
  <c r="G40" i="2"/>
  <c r="F40" i="2"/>
  <c r="E40" i="2"/>
  <c r="D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109" i="1" l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B103" i="1"/>
  <c r="G102" i="1"/>
  <c r="F102" i="1"/>
  <c r="E102" i="1"/>
  <c r="D102" i="1"/>
  <c r="C102" i="1"/>
  <c r="B102" i="1"/>
  <c r="G101" i="1"/>
  <c r="F101" i="1"/>
  <c r="E101" i="1"/>
  <c r="D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B87" i="1"/>
  <c r="G86" i="1"/>
  <c r="F86" i="1"/>
  <c r="E86" i="1"/>
  <c r="D86" i="1"/>
  <c r="C86" i="1"/>
  <c r="B86" i="1"/>
  <c r="G85" i="1"/>
  <c r="F85" i="1"/>
  <c r="E85" i="1"/>
  <c r="D85" i="1"/>
  <c r="B85" i="1"/>
  <c r="G84" i="1"/>
  <c r="F84" i="1"/>
  <c r="E84" i="1"/>
  <c r="D84" i="1"/>
  <c r="B84" i="1"/>
  <c r="G83" i="1"/>
  <c r="F83" i="1"/>
  <c r="E83" i="1"/>
  <c r="D83" i="1"/>
  <c r="C83" i="1"/>
  <c r="B83" i="1"/>
  <c r="G82" i="1"/>
  <c r="F82" i="1"/>
  <c r="E82" i="1"/>
  <c r="D82" i="1"/>
  <c r="B82" i="1"/>
  <c r="G81" i="1"/>
  <c r="F81" i="1"/>
  <c r="E81" i="1"/>
  <c r="D81" i="1"/>
  <c r="B81" i="1"/>
  <c r="G80" i="1"/>
  <c r="F80" i="1"/>
  <c r="E80" i="1"/>
  <c r="D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B74" i="1"/>
  <c r="G73" i="1"/>
  <c r="F73" i="1"/>
  <c r="E73" i="1"/>
  <c r="D73" i="1"/>
  <c r="C73" i="1"/>
  <c r="B73" i="1"/>
  <c r="G72" i="1"/>
  <c r="F72" i="1"/>
  <c r="E72" i="1"/>
  <c r="D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B29" i="1"/>
  <c r="G28" i="1"/>
  <c r="F28" i="1"/>
  <c r="E28" i="1"/>
  <c r="D28" i="1"/>
  <c r="C28" i="1"/>
  <c r="B28" i="1"/>
  <c r="G27" i="1"/>
  <c r="F27" i="1"/>
  <c r="E27" i="1"/>
  <c r="D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B14" i="1"/>
  <c r="G13" i="1"/>
  <c r="F13" i="1"/>
  <c r="E13" i="1"/>
  <c r="D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<sst xmlns="http://schemas.openxmlformats.org/spreadsheetml/2006/main" count="799" uniqueCount="306">
  <si>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</si>
  <si>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</si>
  <si>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</si>
  <si>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</si>
  <si>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</si>
  <si>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</si>
  <si>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</si>
  <si>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</si>
  <si>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</si>
  <si>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</si>
  <si>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</si>
  <si>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</si>
  <si>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</si>
  <si>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</si>
  <si>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</si>
  <si>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</si>
  <si>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</si>
  <si>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</si>
  <si>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</si>
  <si>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</si>
  <si>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</si>
  <si>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</si>
  <si>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</si>
  <si>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</si>
  <si>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</si>
  <si>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</si>
  <si>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</si>
  <si>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</si>
  <si>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</si>
  <si>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</si>
  <si>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</si>
  <si>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</si>
  <si>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</si>
  <si>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</si>
  <si>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</si>
  <si>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</si>
  <si>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</si>
  <si>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</si>
  <si>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</si>
  <si>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</si>
  <si>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</si>
  <si>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</si>
  <si>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</si>
  <si>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</si>
  <si>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</si>
  <si>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</si>
  <si>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</si>
  <si>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</si>
  <si>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</si>
  <si>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</si>
  <si>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</si>
  <si>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</si>
  <si>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</si>
  <si>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</si>
  <si>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</si>
  <si>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</si>
  <si>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</si>
  <si>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</si>
  <si>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</si>
  <si>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</si>
  <si>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</si>
  <si>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</si>
  <si>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</si>
  <si>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</si>
  <si>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</si>
  <si>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</si>
  <si>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</si>
  <si>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</si>
  <si>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</si>
  <si>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</si>
  <si>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</si>
  <si>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</si>
  <si>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</si>
  <si>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</si>
  <si>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</si>
  <si>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</si>
  <si>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</si>
  <si>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</si>
  <si>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</si>
  <si>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</si>
  <si>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</si>
  <si>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</si>
  <si>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</si>
  <si>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</si>
  <si>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</si>
  <si>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</si>
  <si>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</si>
  <si>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</si>
  <si>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</si>
  <si>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</si>
  <si>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</si>
  <si>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</si>
  <si>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</si>
  <si>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</si>
  <si>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</si>
  <si>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</si>
  <si>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</si>
  <si>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</si>
  <si>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</si>
  <si>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</si>
  <si>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</si>
  <si>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</si>
  <si>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</si>
  <si>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</si>
  <si>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</si>
  <si>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</si>
  <si>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</si>
  <si>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</si>
  <si>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</si>
  <si>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</si>
  <si>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</si>
  <si>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</si>
  <si>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</si>
  <si>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</si>
  <si>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</si>
  <si>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</si>
  <si>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</si>
  <si>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</si>
  <si>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</si>
  <si>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</si>
  <si>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</si>
  <si>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</si>
  <si>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</si>
  <si>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</si>
  <si>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</si>
  <si>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</si>
  <si>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</si>
  <si>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</si>
  <si>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</si>
  <si>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</si>
  <si>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</si>
  <si>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</si>
  <si>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</si>
  <si>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</si>
  <si>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</si>
  <si>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</si>
  <si>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</si>
  <si>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</si>
  <si>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</si>
  <si>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</si>
  <si>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</si>
  <si>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</si>
  <si>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</si>
  <si>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</si>
  <si>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</si>
  <si>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</si>
  <si>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de 2,5 ori</t>
  </si>
  <si>
    <t>Insulele Feroe</t>
  </si>
  <si>
    <t>Antigua şi Barbuda</t>
  </si>
  <si>
    <t>Insulele Folkland</t>
  </si>
  <si>
    <t>Laos</t>
  </si>
  <si>
    <t>de 2,6 ori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</si>
  <si>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</si>
  <si>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</si>
  <si>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</si>
  <si>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</si>
  <si>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</si>
  <si>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</si>
  <si>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</si>
  <si>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</si>
  <si>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</si>
  <si>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</si>
  <si>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</si>
  <si>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</si>
  <si>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</si>
  <si>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</si>
  <si>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</si>
  <si>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</si>
  <si>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</si>
  <si>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Ţările Uniunii Europene (UE-27) - total</t>
  </si>
  <si>
    <t>Țările Uniunii Europene (UE-27) - total</t>
  </si>
  <si>
    <t xml:space="preserve">Țările CSI - total </t>
  </si>
  <si>
    <t>Celelalte țări ale lumii - total</t>
  </si>
  <si>
    <t xml:space="preserve">Celelalte țări ale lumii - total </t>
  </si>
  <si>
    <t>Ţările CSI - total</t>
  </si>
  <si>
    <t>Celelalte ţări ale lumii - total</t>
  </si>
  <si>
    <t>Liberia</t>
  </si>
  <si>
    <t>Sri Lanka</t>
  </si>
  <si>
    <t>Cambodgia</t>
  </si>
  <si>
    <t>BALANŢA COMERCIALĂ – total, mii dolari SUA</t>
  </si>
  <si>
    <t>Mauritius</t>
  </si>
  <si>
    <t>Kosovo</t>
  </si>
  <si>
    <t>Ghana</t>
  </si>
  <si>
    <t>Montenegro</t>
  </si>
  <si>
    <t>Insulele Georgia şi Sandwich de Sud</t>
  </si>
  <si>
    <t>Paraguay</t>
  </si>
  <si>
    <t>de 2,7 ori</t>
  </si>
  <si>
    <t>de 2,9 ori</t>
  </si>
  <si>
    <t>Bosnia şi Herţegovina</t>
  </si>
  <si>
    <t>Guatemala</t>
  </si>
  <si>
    <t>Produse alimentare și animale vii</t>
  </si>
  <si>
    <t>Carne și preparate din carne</t>
  </si>
  <si>
    <t>Produse lactate și ouă de păsări</t>
  </si>
  <si>
    <t>Pește, crustacee, moluște</t>
  </si>
  <si>
    <t>Cereale și preparate pe bază de cereale</t>
  </si>
  <si>
    <t>Legume și fructe</t>
  </si>
  <si>
    <t>Zahăr, preparate pe bază de zahăr; miere</t>
  </si>
  <si>
    <t>Cafea, ceai, cacao, condimente și înlocuitori ai acestora</t>
  </si>
  <si>
    <t>Hrană destinată animalelor (exclusiv cereale nemăcinate)</t>
  </si>
  <si>
    <t>Produse și preparate alimentare diverse</t>
  </si>
  <si>
    <t xml:space="preserve">Băuturi și tutun </t>
  </si>
  <si>
    <t>Bauturi (alcoolice și nealcoolice)</t>
  </si>
  <si>
    <t>Tutun brut și prelucrat</t>
  </si>
  <si>
    <t>Piei crude, piei tăbăcite și blănuri brute</t>
  </si>
  <si>
    <t>Semințe și fructe oleaginoase</t>
  </si>
  <si>
    <t>Cauciuc brut (inclusiv cauciuc sintetic și regenerat)</t>
  </si>
  <si>
    <t>Lemn și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</si>
  <si>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</si>
  <si>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</si>
  <si>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</si>
  <si>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</si>
  <si>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</si>
  <si>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</si>
  <si>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</si>
  <si>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</si>
  <si>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</si>
  <si>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</si>
  <si>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</si>
  <si>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</si>
  <si>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</si>
  <si>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</si>
  <si>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</si>
  <si>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</si>
  <si>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</si>
  <si>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</si>
  <si>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</si>
  <si>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</si>
  <si>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</si>
  <si>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</si>
  <si>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</si>
  <si>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</si>
  <si>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</si>
  <si>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</si>
  <si>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</si>
  <si>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</si>
  <si>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</si>
  <si>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</si>
  <si>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</si>
  <si>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</si>
  <si>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</si>
  <si>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</si>
  <si>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</si>
  <si>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ştiintifice şi de control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</si>
  <si>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</si>
  <si>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</si>
  <si>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</si>
  <si>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</si>
  <si>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</si>
  <si>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</si>
  <si>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</si>
  <si>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</si>
  <si>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</si>
  <si>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</si>
  <si>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</si>
  <si>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</si>
  <si>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</si>
  <si>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</si>
  <si>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</si>
  <si>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</si>
  <si>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</si>
  <si>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</si>
  <si>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</si>
  <si>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</si>
  <si>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</si>
  <si>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</si>
  <si>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</si>
  <si>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</si>
  <si>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4,1 ori</t>
  </si>
  <si>
    <t>Mărfuri manufacturate, clasificate mai ales după materia primă</t>
  </si>
  <si>
    <t>Uleiuri și grăsimi de origine animală</t>
  </si>
  <si>
    <t>de 3,1 ori</t>
  </si>
  <si>
    <t>Ianuarie - iulie 2020</t>
  </si>
  <si>
    <t>în % faţă de ianuarie - iulie 2019¹</t>
  </si>
  <si>
    <t>ianuarie - iulie</t>
  </si>
  <si>
    <t>în % faţă de ianuarie-iulie 2019¹</t>
  </si>
  <si>
    <t>Ianuarie - iulie</t>
  </si>
  <si>
    <t>Ianuarie - iulie 2020         în % faţă de            ianuarie - iulie 2019¹</t>
  </si>
  <si>
    <t>Ianuarie - iulie 2020      în % faţă de                          ianuarie - iulie 2019¹</t>
  </si>
  <si>
    <t>de 2,4 ori</t>
  </si>
  <si>
    <t>de 114,8 ori</t>
  </si>
  <si>
    <t>de 12,0 ori</t>
  </si>
  <si>
    <t>de 138,8 ori</t>
  </si>
  <si>
    <t>de 9,2 ori</t>
  </si>
  <si>
    <t>de 4,0 ori</t>
  </si>
  <si>
    <t>de 6,9 ori</t>
  </si>
  <si>
    <t>de 7,2 ori</t>
  </si>
  <si>
    <t>de 15,8 ori</t>
  </si>
  <si>
    <t>de 3,8 ori</t>
  </si>
  <si>
    <t>de 10,7 ori</t>
  </si>
  <si>
    <t>de 9,3 ori</t>
  </si>
  <si>
    <t>de 10,4 ori</t>
  </si>
  <si>
    <t>de 5,0 ori</t>
  </si>
  <si>
    <t>de 2,8 ori</t>
  </si>
  <si>
    <t>de 6,5 ori</t>
  </si>
  <si>
    <t>de 8,2 ori</t>
  </si>
  <si>
    <t>de 13,1 ori</t>
  </si>
  <si>
    <t>de 2,2 ori</t>
  </si>
  <si>
    <t>de 29,6 ori</t>
  </si>
  <si>
    <t>de 7,5 ori</t>
  </si>
  <si>
    <t>de 4,5 ori</t>
  </si>
  <si>
    <t>de 1,8 ori</t>
  </si>
  <si>
    <t>de 4,8 ori</t>
  </si>
  <si>
    <t>de 14,8 ori</t>
  </si>
  <si>
    <t>de 16,8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</si>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</sst>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0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5" fillId="0" borderId="0" xfId="0" applyNumberFormat="1" applyFont="1" applyAlignment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24" fillId="0" borderId="0" xfId="0" applyNumberFormat="1" applyFont="1" applyFill="1" applyBorder="1" applyAlignment="1" applyProtection="1">
      <alignment horizontal="right" vertical="top"/>
    </xf>
    <xf numFmtId="0" fontId="2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0" fontId="11" fillId="0" borderId="0" xfId="0" applyFont="1"/>
    <xf numFmtId="4" fontId="27" fillId="0" borderId="0" xfId="0" applyNumberFormat="1" applyFont="1" applyAlignment="1">
      <alignment horizontal="right" vertical="top" wrapText="1" indent="1"/>
    </xf>
    <xf numFmtId="4" fontId="26" fillId="0" borderId="5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0" fontId="26" fillId="0" borderId="5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Fill="1" applyBorder="1" applyAlignment="1" applyProtection="1">
      <alignment horizontal="right" vertical="top"/>
    </xf>
    <xf numFmtId="4" fontId="26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Border="1" applyAlignment="1" applyProtection="1">
      <alignment horizontal="right" vertical="top"/>
    </xf>
    <xf numFmtId="4" fontId="28" fillId="0" borderId="0" xfId="0" applyNumberFormat="1" applyFont="1" applyAlignment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28" fillId="0" borderId="0" xfId="0" applyNumberFormat="1" applyFont="1" applyAlignment="1">
      <alignment horizontal="right" vertical="top"/>
    </xf>
    <xf numFmtId="4" fontId="26" fillId="0" borderId="0" xfId="0" applyNumberFormat="1" applyFont="1" applyFill="1" applyAlignment="1" applyProtection="1">
      <alignment horizontal="right" vertical="top"/>
    </xf>
    <xf numFmtId="4" fontId="26" fillId="0" borderId="5" xfId="0" applyNumberFormat="1" applyFont="1" applyFill="1" applyBorder="1" applyAlignment="1" applyProtection="1">
      <alignment horizontal="right" vertical="top" indent="1"/>
    </xf>
    <xf numFmtId="4" fontId="26" fillId="0" borderId="0" xfId="0" applyNumberFormat="1" applyFont="1" applyFill="1" applyAlignment="1" applyProtection="1">
      <alignment horizontal="right" vertical="top" wrapTex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wrapText="1" indent="1"/>
    </xf>
    <xf numFmtId="4" fontId="26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0" fontId="25" fillId="0" borderId="0" xfId="0" applyFont="1" applyAlignment="1">
      <alignment horizontal="right" vertical="top" indent="2"/>
    </xf>
    <xf numFmtId="4" fontId="30" fillId="0" borderId="0" xfId="0" applyNumberFormat="1" applyFont="1" applyAlignment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 indent="2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0"/>
  <sheetViews>
    <sheetView tabSelected="1" zoomScaleNormal="100" workbookViewId="0">
      <selection activeCell="A91" sqref="A91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1" t="s">
        <v>159</v>
      </c>
      <c r="B1" s="81"/>
      <c r="C1" s="81"/>
      <c r="D1" s="81"/>
      <c r="E1" s="81"/>
      <c r="F1" s="81"/>
      <c r="G1" s="81"/>
    </row>
    <row r="3" spans="1:7" ht="54" customHeight="1" x14ac:dyDescent="0.25">
      <c r="A3" s="82"/>
      <c r="B3" s="85" t="s">
        <v>271</v>
      </c>
      <c r="C3" s="86"/>
      <c r="D3" s="85" t="s">
        <v>109</v>
      </c>
      <c r="E3" s="86"/>
      <c r="F3" s="87" t="s">
        <v>1</v>
      </c>
      <c r="G3" s="88"/>
    </row>
    <row r="4" spans="1:7" ht="24" customHeight="1" x14ac:dyDescent="0.25">
      <c r="A4" s="83"/>
      <c r="B4" s="89" t="s">
        <v>100</v>
      </c>
      <c r="C4" s="91" t="s">
        <v>272</v>
      </c>
      <c r="D4" s="93" t="s">
        <v>273</v>
      </c>
      <c r="E4" s="93"/>
      <c r="F4" s="93" t="s">
        <v>273</v>
      </c>
      <c r="G4" s="85"/>
    </row>
    <row r="5" spans="1:7" ht="29.25" customHeight="1" x14ac:dyDescent="0.25">
      <c r="A5" s="84"/>
      <c r="B5" s="90"/>
      <c r="C5" s="92"/>
      <c r="D5" s="23">
        <v>2019</v>
      </c>
      <c r="E5" s="23">
        <v>2020</v>
      </c>
      <c r="F5" s="23" t="s">
        <v>122</v>
      </c>
      <c r="G5" s="19" t="s">
        <v>141</v>
      </c>
    </row>
    <row r="6" spans="1:7" ht="15.75" customHeight="1" x14ac:dyDescent="0.25">
      <c r="A6" s="50" t="s">
        <v>101</v>
      </c>
      <c r="B6" s="46">
        <f>IF(1379394.59717="","-",1379394.59717)</f>
        <v>1379394.59717</v>
      </c>
      <c r="C6" s="46">
        <f>IF(1581380.128="","-",1379394.59717/1581380.128*100)</f>
        <v>87.227262613609867</v>
      </c>
      <c r="D6" s="46">
        <v>100</v>
      </c>
      <c r="E6" s="46">
        <v>100</v>
      </c>
      <c r="F6" s="46">
        <f>IF(1533630.30697="","-",(1581380.128-1533630.30697)/1533630.30697*100)</f>
        <v>3.1135157418960713</v>
      </c>
      <c r="G6" s="46">
        <f>IF(1581380.128="","-",(1379394.59717-1581380.128)/1581380.128*100)</f>
        <v>-12.772737386390128</v>
      </c>
    </row>
    <row r="7" spans="1:7" ht="15.75" customHeight="1" x14ac:dyDescent="0.25">
      <c r="A7" s="36" t="s">
        <v>138</v>
      </c>
      <c r="B7" s="34"/>
      <c r="C7" s="43"/>
      <c r="D7" s="34"/>
      <c r="E7" s="34"/>
      <c r="F7" s="34"/>
      <c r="G7" s="34"/>
    </row>
    <row r="8" spans="1:7" ht="15.75" customHeight="1" x14ac:dyDescent="0.25">
      <c r="A8" s="37" t="s">
        <v>169</v>
      </c>
      <c r="B8" s="47">
        <f>IF(893593.88446="","-",893593.88446)</f>
        <v>893593.88445999997</v>
      </c>
      <c r="C8" s="47">
        <f>IF(1001510.03241="","-",893593.88446/1001510.03241*100)</f>
        <v>89.224656323180881</v>
      </c>
      <c r="D8" s="47">
        <f>IF(1001510.03241="","-",1001510.03241/1581380.128*100)</f>
        <v>63.331391022133801</v>
      </c>
      <c r="E8" s="47">
        <f>IF(893593.88446="","-",893593.88446/1379394.59717*100)</f>
        <v>64.781599572255772</v>
      </c>
      <c r="F8" s="47">
        <f>IF(1533630.30697="","-",(1001510.03241-1002748.88932)/1533630.30697*100)</f>
        <v>-8.0779370645562426E-2</v>
      </c>
      <c r="G8" s="47">
        <f>IF(1581380.128="","-",(893593.88446-1001510.03241)/1581380.128*100)</f>
        <v>-6.8241750379450838</v>
      </c>
    </row>
    <row r="9" spans="1:7" ht="15.75" customHeight="1" x14ac:dyDescent="0.25">
      <c r="A9" s="48" t="s">
        <v>2</v>
      </c>
      <c r="B9" s="49">
        <f>IF(357048.8688="","-",357048.8688)</f>
        <v>357048.8688</v>
      </c>
      <c r="C9" s="49">
        <f>IF(OR(448157.66799="",357048.8688=""),"-",357048.8688/448157.66799*100)</f>
        <v>79.670369225494781</v>
      </c>
      <c r="D9" s="49">
        <f>IF(448157.66799="","-",448157.66799/1581380.128*100)</f>
        <v>28.339654713936053</v>
      </c>
      <c r="E9" s="49">
        <f>IF(357048.8688="","-",357048.8688/1379394.59717*100)</f>
        <v>25.884461888753968</v>
      </c>
      <c r="F9" s="49">
        <f>IF(OR(1533630.30697="",412124.37951="",448157.66799=""),"-",(448157.66799-412124.37951)/1533630.30697*100)</f>
        <v>2.3495420191057068</v>
      </c>
      <c r="G9" s="49">
        <f>IF(OR(1581380.128="",357048.8688="",448157.66799=""),"-",(357048.8688-448157.66799)/1581380.128*100)</f>
        <v>-5.7613471661128646</v>
      </c>
    </row>
    <row r="10" spans="1:7" ht="15.75" customHeight="1" x14ac:dyDescent="0.25">
      <c r="A10" s="48" t="s">
        <v>3</v>
      </c>
      <c r="B10" s="49">
        <f>IF(124232.66174="","-",124232.66174)</f>
        <v>124232.66174</v>
      </c>
      <c r="C10" s="49">
        <f>IF(OR(160649.39035="",124232.66174=""),"-",124232.66174/160649.39035*100)</f>
        <v>77.331548827754389</v>
      </c>
      <c r="D10" s="49">
        <f>IF(160649.39035="","-",160649.39035/1581380.128*100)</f>
        <v>10.15880922654417</v>
      </c>
      <c r="E10" s="49">
        <f>IF(124232.66174="","-",124232.66174/1379394.59717*100)</f>
        <v>9.0063178437032292</v>
      </c>
      <c r="F10" s="49">
        <f>IF(OR(1533630.30697="",176924.98215="",160649.39035=""),"-",(160649.39035-176924.98215)/1533630.30697*100)</f>
        <v>-1.0612460986217567</v>
      </c>
      <c r="G10" s="49">
        <f>IF(OR(1581380.128="",124232.66174="",160649.39035=""),"-",(124232.66174-160649.39035)/1581380.128*100)</f>
        <v>-2.3028447092007474</v>
      </c>
    </row>
    <row r="11" spans="1:7" ht="13.5" customHeight="1" x14ac:dyDescent="0.25">
      <c r="A11" s="48" t="s">
        <v>4</v>
      </c>
      <c r="B11" s="49">
        <f>IF(121486.56496="","-",121486.56496)</f>
        <v>121486.56496</v>
      </c>
      <c r="C11" s="49">
        <f>IF(OR(140730.13259="",121486.56496=""),"-",121486.56496/140730.13259*100)</f>
        <v>86.325908122275592</v>
      </c>
      <c r="D11" s="49">
        <f>IF(140730.13259="","-",140730.13259/1581380.128*100)</f>
        <v>8.8991969797915651</v>
      </c>
      <c r="E11" s="49">
        <f>IF(121486.56496="","-",121486.56496/1379394.59717*100)</f>
        <v>8.807237987537782</v>
      </c>
      <c r="F11" s="49">
        <f>IF(OR(1533630.30697="",129436.56273="",140730.13259=""),"-",(140730.13259-129436.56273)/1533630.30697*100)</f>
        <v>0.73639454102291069</v>
      </c>
      <c r="G11" s="49">
        <f>IF(OR(1581380.128="",121486.56496="",140730.13259=""),"-",(121486.56496-140730.13259)/1581380.128*100)</f>
        <v>-1.2168843713963751</v>
      </c>
    </row>
    <row r="12" spans="1:7" ht="15.75" customHeight="1" x14ac:dyDescent="0.25">
      <c r="A12" s="48" t="s">
        <v>5</v>
      </c>
      <c r="B12" s="49">
        <f>IF(54068.04886="","-",54068.04886)</f>
        <v>54068.048860000003</v>
      </c>
      <c r="C12" s="49">
        <f>IF(OR(60858.82551="",54068.04886=""),"-",54068.04886/60858.82551*100)</f>
        <v>88.841755336070065</v>
      </c>
      <c r="D12" s="49">
        <f>IF(60858.82551="","-",60858.82551/1581380.128*100)</f>
        <v>3.848462772007212</v>
      </c>
      <c r="E12" s="49">
        <f>IF(54068.04886="","-",54068.04886/1379394.59717*100)</f>
        <v>3.9196941158771641</v>
      </c>
      <c r="F12" s="49">
        <f>IF(OR(1533630.30697="",52935.78027="",60858.82551=""),"-",(60858.82551-52935.78027)/1533630.30697*100)</f>
        <v>0.51662028351888756</v>
      </c>
      <c r="G12" s="49">
        <f>IF(OR(1581380.128="",54068.04886="",60858.82551=""),"-",(54068.04886-60858.82551)/1581380.128*100)</f>
        <v>-0.42942089190082444</v>
      </c>
    </row>
    <row r="13" spans="1:7" s="14" customFormat="1" x14ac:dyDescent="0.25">
      <c r="A13" s="48" t="s">
        <v>7</v>
      </c>
      <c r="B13" s="49">
        <f>IF(46614.63328="","-",46614.63328)</f>
        <v>46614.633280000002</v>
      </c>
      <c r="C13" s="49" t="s">
        <v>105</v>
      </c>
      <c r="D13" s="49">
        <f>IF(29349.42273="","-",29349.42273/1581380.128*100)</f>
        <v>1.8559372418014852</v>
      </c>
      <c r="E13" s="49">
        <f>IF(46614.63328="","-",46614.63328/1379394.59717*100)</f>
        <v>3.3793544918644551</v>
      </c>
      <c r="F13" s="49">
        <f>IF(OR(1533630.30697="",23914.83151="",29349.42273=""),"-",(29349.42273-23914.83151)/1533630.30697*100)</f>
        <v>0.35436123003705783</v>
      </c>
      <c r="G13" s="49">
        <f>IF(OR(1581380.128="",46614.63328="",29349.42273=""),"-",(46614.63328-29349.42273)/1581380.128*100)</f>
        <v>1.0917811754619444</v>
      </c>
    </row>
    <row r="14" spans="1:7" s="14" customFormat="1" x14ac:dyDescent="0.25">
      <c r="A14" s="48" t="s">
        <v>10</v>
      </c>
      <c r="B14" s="49">
        <f>IF(38499.17493="","-",38499.17493)</f>
        <v>38499.174930000001</v>
      </c>
      <c r="C14" s="49" t="s">
        <v>104</v>
      </c>
      <c r="D14" s="49">
        <f>IF(22139.29721="","-",22139.29721/1581380.128*100)</f>
        <v>1.3999984455350385</v>
      </c>
      <c r="E14" s="49">
        <f>IF(38499.17493="","-",38499.17493/1379394.59717*100)</f>
        <v>2.7910196987131788</v>
      </c>
      <c r="F14" s="49">
        <f>IF(OR(1533630.30697="",22590.37999="",22139.29721=""),"-",(22139.29721-22590.37999)/1533630.30697*100)</f>
        <v>-2.9412745558687267E-2</v>
      </c>
      <c r="G14" s="49">
        <f>IF(OR(1581380.128="",38499.17493="",22139.29721=""),"-",(38499.17493-22139.29721)/1581380.128*100)</f>
        <v>1.0345316366590891</v>
      </c>
    </row>
    <row r="15" spans="1:7" s="14" customFormat="1" x14ac:dyDescent="0.25">
      <c r="A15" s="48" t="s">
        <v>9</v>
      </c>
      <c r="B15" s="49">
        <f>IF(22740.36351="","-",22740.36351)</f>
        <v>22740.363509999999</v>
      </c>
      <c r="C15" s="49">
        <f>IF(OR(15695.64628="",22740.36351=""),"-",22740.36351/15695.64628*100)</f>
        <v>144.88325682375148</v>
      </c>
      <c r="D15" s="49">
        <f>IF(15695.64628="","-",15695.64628/1581380.128*100)</f>
        <v>0.99252836190945237</v>
      </c>
      <c r="E15" s="49">
        <f>IF(22740.36351="","-",22740.36351/1379394.59717*100)</f>
        <v>1.648575654613603</v>
      </c>
      <c r="F15" s="49">
        <f>IF(OR(1533630.30697="",21373.31453="",15695.64628=""),"-",(15695.64628-21373.31453)/1533630.30697*100)</f>
        <v>-0.37021101005870133</v>
      </c>
      <c r="G15" s="49">
        <f>IF(OR(1581380.128="",22740.36351="",15695.64628=""),"-",(22740.36351-15695.64628)/1581380.128*100)</f>
        <v>0.44547905372439317</v>
      </c>
    </row>
    <row r="16" spans="1:7" s="14" customFormat="1" x14ac:dyDescent="0.25">
      <c r="A16" s="48" t="s">
        <v>41</v>
      </c>
      <c r="B16" s="49">
        <f>IF(22711.31089="","-",22711.31089)</f>
        <v>22711.310890000001</v>
      </c>
      <c r="C16" s="49">
        <f>IF(OR(20106.75285="",22711.31089=""),"-",22711.31089/20106.75285*100)</f>
        <v>112.95364825653587</v>
      </c>
      <c r="D16" s="49">
        <f>IF(20106.75285="","-",20106.75285/1581380.128*100)</f>
        <v>1.2714686680317258</v>
      </c>
      <c r="E16" s="49">
        <f>IF(22711.31089="","-",22711.31089/1379394.59717*100)</f>
        <v>1.6464694683156718</v>
      </c>
      <c r="F16" s="49">
        <f>IF(OR(1533630.30697="",18351.10061="",20106.75285=""),"-",(20106.75285-18351.10061)/1533630.30697*100)</f>
        <v>0.11447688742332232</v>
      </c>
      <c r="G16" s="49">
        <f>IF(OR(1581380.128="",22711.31089="",20106.75285=""),"-",(22711.31089-20106.75285)/1581380.128*100)</f>
        <v>0.1647015789488914</v>
      </c>
    </row>
    <row r="17" spans="1:7" s="14" customFormat="1" x14ac:dyDescent="0.25">
      <c r="A17" s="48" t="s">
        <v>6</v>
      </c>
      <c r="B17" s="49">
        <f>IF(20948.8324="","-",20948.8324)</f>
        <v>20948.832399999999</v>
      </c>
      <c r="C17" s="49">
        <f>IF(OR(23236.45476="",20948.8324=""),"-",20948.8324/23236.45476*100)</f>
        <v>90.155028451508926</v>
      </c>
      <c r="D17" s="49">
        <f>IF(23236.45476="","-",23236.45476/1581380.128*100)</f>
        <v>1.4693781936786803</v>
      </c>
      <c r="E17" s="49">
        <f>IF(20948.8324="","-",20948.8324/1379394.59717*100)</f>
        <v>1.5186975824741622</v>
      </c>
      <c r="F17" s="49">
        <f>IF(OR(1533630.30697="",32007.68056="",23236.45476=""),"-",(23236.45476-32007.68056)/1533630.30697*100)</f>
        <v>-0.57192569553019257</v>
      </c>
      <c r="G17" s="49">
        <f>IF(OR(1581380.128="",20948.8324="",23236.45476=""),"-",(20948.8324-23236.45476)/1581380.128*100)</f>
        <v>-0.14465986510739823</v>
      </c>
    </row>
    <row r="18" spans="1:7" s="14" customFormat="1" x14ac:dyDescent="0.25">
      <c r="A18" s="48" t="s">
        <v>125</v>
      </c>
      <c r="B18" s="49">
        <f>IF(20287.57356="","-",20287.57356)</f>
        <v>20287.573560000001</v>
      </c>
      <c r="C18" s="49">
        <f>IF(OR(20774.62256="",20287.57356=""),"-",20287.57356/20774.62256*100)</f>
        <v>97.655557887546053</v>
      </c>
      <c r="D18" s="49">
        <f>IF(20774.62256="","-",20774.62256/1581380.128*100)</f>
        <v>1.3137020120692955</v>
      </c>
      <c r="E18" s="49">
        <f>IF(20287.57356="","-",20287.57356/1379394.59717*100)</f>
        <v>1.4707592447891624</v>
      </c>
      <c r="F18" s="49">
        <f>IF(OR(1533630.30697="",33792.3882="",20774.62256=""),"-",(20774.62256-33792.3882)/1533630.30697*100)</f>
        <v>-0.84882031744138231</v>
      </c>
      <c r="G18" s="49">
        <f>IF(OR(1581380.128="",20287.57356="",20774.62256=""),"-",(20287.57356-20774.62256)/1581380.128*100)</f>
        <v>-3.0798983203107446E-2</v>
      </c>
    </row>
    <row r="19" spans="1:7" s="16" customFormat="1" x14ac:dyDescent="0.25">
      <c r="A19" s="48" t="s">
        <v>43</v>
      </c>
      <c r="B19" s="49">
        <f>IF(11599.2305="","-",11599.2305)</f>
        <v>11599.2305</v>
      </c>
      <c r="C19" s="49" t="s">
        <v>278</v>
      </c>
      <c r="D19" s="49">
        <f>IF(4834.5906="","-",4834.5906/1581380.128*100)</f>
        <v>0.30571970106355101</v>
      </c>
      <c r="E19" s="49">
        <f>IF(11599.2305="","-",11599.2305/1379394.59717*100)</f>
        <v>0.84089284703574074</v>
      </c>
      <c r="F19" s="49">
        <f>IF(OR(1533630.30697="",4306.02613="",4834.5906=""),"-",(4834.5906-4306.02613)/1533630.30697*100)</f>
        <v>3.446492075683398E-2</v>
      </c>
      <c r="G19" s="49">
        <f>IF(OR(1581380.128="",11599.2305="",4834.5906=""),"-",(11599.2305-4834.5906)/1581380.128*100)</f>
        <v>0.42776811091937533</v>
      </c>
    </row>
    <row r="20" spans="1:7" s="14" customFormat="1" x14ac:dyDescent="0.25">
      <c r="A20" s="48" t="s">
        <v>8</v>
      </c>
      <c r="B20" s="49">
        <f>IF(10849.21296="","-",10849.21296)</f>
        <v>10849.212960000001</v>
      </c>
      <c r="C20" s="49">
        <f>IF(OR(17243.42733="",10849.21296=""),"-",10849.21296/17243.42733*100)</f>
        <v>62.917961449140755</v>
      </c>
      <c r="D20" s="49">
        <f>IF(17243.42733="","-",17243.42733/1581380.128*100)</f>
        <v>1.0904036938802355</v>
      </c>
      <c r="E20" s="49">
        <f>IF(10849.21296="","-",10849.21296/1379394.59717*100)</f>
        <v>0.78651989664585553</v>
      </c>
      <c r="F20" s="49">
        <f>IF(OR(1533630.30697="",24792.5254="",17243.42733=""),"-",(17243.42733-24792.5254)/1533630.30697*100)</f>
        <v>-0.49223714709412503</v>
      </c>
      <c r="G20" s="49">
        <f>IF(OR(1581380.128="",10849.21296="",17243.42733=""),"-",(10849.21296-17243.42733)/1581380.128*100)</f>
        <v>-0.40434391812466214</v>
      </c>
    </row>
    <row r="21" spans="1:7" s="14" customFormat="1" x14ac:dyDescent="0.25">
      <c r="A21" s="48" t="s">
        <v>48</v>
      </c>
      <c r="B21" s="49">
        <f>IF(9093.44591="","-",9093.44591)</f>
        <v>9093.4459100000004</v>
      </c>
      <c r="C21" s="49">
        <f>IF(OR(7736.07946="",9093.44591=""),"-",9093.44591/7736.07946*100)</f>
        <v>117.54592176849228</v>
      </c>
      <c r="D21" s="49">
        <f>IF(7736.07946="","-",7736.07946/1581380.128*100)</f>
        <v>0.48919796847225844</v>
      </c>
      <c r="E21" s="49">
        <f>IF(9093.44591="","-",9093.44591/1379394.59717*100)</f>
        <v>0.65923456048445728</v>
      </c>
      <c r="F21" s="49">
        <f>IF(OR(1533630.30697="",4780.20398="",7736.07946=""),"-",(7736.07946-4780.20398)/1533630.30697*100)</f>
        <v>0.19273715879023906</v>
      </c>
      <c r="G21" s="49">
        <f>IF(OR(1581380.128="",9093.44591="",7736.07946=""),"-",(9093.44591-7736.07946)/1581380.128*100)</f>
        <v>8.5834292841196022E-2</v>
      </c>
    </row>
    <row r="22" spans="1:7" s="14" customFormat="1" x14ac:dyDescent="0.25">
      <c r="A22" s="48" t="s">
        <v>52</v>
      </c>
      <c r="B22" s="49">
        <f>IF(8961.65411="","-",8961.65411)</f>
        <v>8961.6541099999995</v>
      </c>
      <c r="C22" s="49" t="s">
        <v>279</v>
      </c>
      <c r="D22" s="49">
        <f>IF(78.03909="","-",78.03909/1581380.128*100)</f>
        <v>4.9348723066791941E-3</v>
      </c>
      <c r="E22" s="49">
        <f>IF(8961.65411="","-",8961.65411/1379394.59717*100)</f>
        <v>0.64968023859060708</v>
      </c>
      <c r="F22" s="49">
        <f>IF(OR(1533630.30697="",9328.23862="",78.03909=""),"-",(78.03909-9328.23862)/1533630.30697*100)</f>
        <v>-0.60315706386082435</v>
      </c>
      <c r="G22" s="49">
        <f>IF(OR(1581380.128="",8961.65411="",78.03909=""),"-",(8961.65411-78.03909)/1581380.128*100)</f>
        <v>0.56176341555747678</v>
      </c>
    </row>
    <row r="23" spans="1:7" s="14" customFormat="1" x14ac:dyDescent="0.25">
      <c r="A23" s="48" t="s">
        <v>42</v>
      </c>
      <c r="B23" s="49">
        <f>IF(6159.30493="","-",6159.30493)</f>
        <v>6159.3049300000002</v>
      </c>
      <c r="C23" s="49">
        <f>IF(OR(9030.65262="",6159.30493=""),"-",6159.30493/9030.65262*100)</f>
        <v>68.204427621976222</v>
      </c>
      <c r="D23" s="49">
        <f>IF(9030.65262="","-",9030.65262/1581380.128*100)</f>
        <v>0.57106147093306592</v>
      </c>
      <c r="E23" s="49">
        <f>IF(6159.30493="","-",6159.30493/1379394.59717*100)</f>
        <v>0.44652233252446999</v>
      </c>
      <c r="F23" s="49">
        <f>IF(OR(1533630.30697="",9117.28618="",9030.65262=""),"-",(9030.65262-9117.28618)/1533630.30697*100)</f>
        <v>-5.6489207083525034E-3</v>
      </c>
      <c r="G23" s="49">
        <f>IF(OR(1581380.128="",6159.30493="",9030.65262=""),"-",(6159.30493-9030.65262)/1581380.128*100)</f>
        <v>-0.18157226331353016</v>
      </c>
    </row>
    <row r="24" spans="1:7" s="14" customFormat="1" x14ac:dyDescent="0.25">
      <c r="A24" s="48" t="s">
        <v>45</v>
      </c>
      <c r="B24" s="49">
        <f>IF(5174.39427="","-",5174.39427)</f>
        <v>5174.3942699999998</v>
      </c>
      <c r="C24" s="49">
        <f>IF(OR(6846.76332="",5174.39427=""),"-",5174.39427/6846.76332*100)</f>
        <v>75.574311950949692</v>
      </c>
      <c r="D24" s="49">
        <f>IF(6846.76332="","-",6846.76332/1581380.128*100)</f>
        <v>0.43296125952077225</v>
      </c>
      <c r="E24" s="49">
        <f>IF(5174.39427="","-",5174.39427/1379394.59717*100)</f>
        <v>0.37512067109845981</v>
      </c>
      <c r="F24" s="49">
        <f>IF(OR(1533630.30697="",12040.4375="",6846.76332=""),"-",(6846.76332-12040.4375)/1533630.30697*100)</f>
        <v>-0.33865229165046717</v>
      </c>
      <c r="G24" s="49">
        <f>IF(OR(1581380.128="",5174.39427="",6846.76332=""),"-",(5174.39427-6846.76332)/1581380.128*100)</f>
        <v>-0.10575376662378295</v>
      </c>
    </row>
    <row r="25" spans="1:7" s="14" customFormat="1" x14ac:dyDescent="0.25">
      <c r="A25" s="48" t="s">
        <v>44</v>
      </c>
      <c r="B25" s="49">
        <f>IF(3870.86713="","-",3870.86713)</f>
        <v>3870.8671300000001</v>
      </c>
      <c r="C25" s="49">
        <f>IF(OR(4849.02136="",3870.86713=""),"-",3870.86713/4849.02136*100)</f>
        <v>79.827801170997532</v>
      </c>
      <c r="D25" s="49">
        <f>IF(4849.02136="","-",4849.02136/1581380.128*100)</f>
        <v>0.30663224319965648</v>
      </c>
      <c r="E25" s="49">
        <f>IF(3870.86713="","-",3870.86713/1379394.59717*100)</f>
        <v>0.2806207257837291</v>
      </c>
      <c r="F25" s="49">
        <f>IF(OR(1533630.30697="",6048.33101="",4849.02136=""),"-",(4849.02136-6048.33101)/1533630.30697*100)</f>
        <v>-7.8200700947901935E-2</v>
      </c>
      <c r="G25" s="49">
        <f>IF(OR(1581380.128="",3870.86713="",4849.02136=""),"-",(3870.86713-4849.02136)/1581380.128*100)</f>
        <v>-6.1854465772065124E-2</v>
      </c>
    </row>
    <row r="26" spans="1:7" s="9" customFormat="1" x14ac:dyDescent="0.25">
      <c r="A26" s="48" t="s">
        <v>46</v>
      </c>
      <c r="B26" s="49">
        <f>IF(3489.40548="","-",3489.40548)</f>
        <v>3489.4054799999999</v>
      </c>
      <c r="C26" s="49">
        <f>IF(OR(4583.16736="",3489.40548=""),"-",3489.40548/4583.16736*100)</f>
        <v>76.135240237004993</v>
      </c>
      <c r="D26" s="49">
        <f>IF(4583.16736="","-",4583.16736/1581380.128*100)</f>
        <v>0.28982072550743476</v>
      </c>
      <c r="E26" s="49">
        <f>IF(3489.40548="","-",3489.40548/1379394.59717*100)</f>
        <v>0.25296644536370883</v>
      </c>
      <c r="F26" s="49">
        <f>IF(OR(1533630.30697="",3535.73831="",4583.16736=""),"-",(4583.16736-3535.73831)/1533630.30697*100)</f>
        <v>6.8297362489491378E-2</v>
      </c>
      <c r="G26" s="49">
        <f>IF(OR(1581380.128="",3489.40548="",4583.16736=""),"-",(3489.40548-4583.16736)/1581380.128*100)</f>
        <v>-6.9165019885718493E-2</v>
      </c>
    </row>
    <row r="27" spans="1:7" s="9" customFormat="1" x14ac:dyDescent="0.25">
      <c r="A27" s="48" t="s">
        <v>47</v>
      </c>
      <c r="B27" s="49">
        <f>IF(3315.11024="","-",3315.11024)</f>
        <v>3315.11024</v>
      </c>
      <c r="C27" s="49" t="s">
        <v>105</v>
      </c>
      <c r="D27" s="49">
        <f>IF(2086.94166="","-",2086.94166/1581380.128*100)</f>
        <v>0.13196963987649146</v>
      </c>
      <c r="E27" s="49">
        <f>IF(3315.11024="","-",3315.11024/1379394.59717*100)</f>
        <v>0.2403308122854303</v>
      </c>
      <c r="F27" s="49">
        <f>IF(OR(1533630.30697="",1971.99155="",2086.94166=""),"-",(2086.94166-1971.99155)/1533630.30697*100)</f>
        <v>7.4952946272369529E-3</v>
      </c>
      <c r="G27" s="49">
        <f>IF(OR(1581380.128="",3315.11024="",2086.94166=""),"-",(3315.11024-2086.94166)/1581380.128*100)</f>
        <v>7.766434889714259E-2</v>
      </c>
    </row>
    <row r="28" spans="1:7" s="14" customFormat="1" x14ac:dyDescent="0.25">
      <c r="A28" s="48" t="s">
        <v>50</v>
      </c>
      <c r="B28" s="49">
        <f>IF(832.67148="","-",832.67148)</f>
        <v>832.67147999999997</v>
      </c>
      <c r="C28" s="49">
        <f>IF(OR(610.70413="",832.67148=""),"-",832.67148/610.70413*100)</f>
        <v>136.34613540275225</v>
      </c>
      <c r="D28" s="49">
        <f>IF(610.70413="","-",610.70413/1581380.128*100)</f>
        <v>3.861842697949977E-2</v>
      </c>
      <c r="E28" s="49">
        <f>IF(832.67148="","-",832.67148/1379394.59717*100)</f>
        <v>6.0364995028132591E-2</v>
      </c>
      <c r="F28" s="49">
        <f>IF(OR(1533630.30697="",134.21912="",610.70413=""),"-",(610.70413-134.21912)/1533630.30697*100)</f>
        <v>3.1069091933987238E-2</v>
      </c>
      <c r="G28" s="49">
        <f>IF(OR(1581380.128="",832.67148="",610.70413=""),"-",(832.67148-610.70413)/1581380.128*100)</f>
        <v>1.4036305760381984E-2</v>
      </c>
    </row>
    <row r="29" spans="1:7" s="14" customFormat="1" x14ac:dyDescent="0.25">
      <c r="A29" s="48" t="s">
        <v>126</v>
      </c>
      <c r="B29" s="49">
        <f>IF(561.08767="","-",561.08767)</f>
        <v>561.08767</v>
      </c>
      <c r="C29" s="49" t="s">
        <v>128</v>
      </c>
      <c r="D29" s="49">
        <f>IF(363.03501="","-",363.03501/1581380.128*100)</f>
        <v>2.2956846590650972E-2</v>
      </c>
      <c r="E29" s="49">
        <f>IF(561.08767="","-",561.08767/1379394.59717*100)</f>
        <v>4.0676371442308193E-2</v>
      </c>
      <c r="F29" s="49">
        <f>IF(OR(1533630.30697="",437.83025="",363.03501=""),"-",(363.03501-437.83025)/1533630.30697*100)</f>
        <v>-4.8770058638038559E-3</v>
      </c>
      <c r="G29" s="49">
        <f>IF(OR(1581380.128="",561.08767="",363.03501=""),"-",(561.08767-363.03501)/1581380.128*100)</f>
        <v>1.2524038749018604E-2</v>
      </c>
    </row>
    <row r="30" spans="1:7" s="9" customFormat="1" x14ac:dyDescent="0.25">
      <c r="A30" s="48" t="s">
        <v>49</v>
      </c>
      <c r="B30" s="49">
        <f>IF(484.77653="","-",484.77653)</f>
        <v>484.77652999999998</v>
      </c>
      <c r="C30" s="49">
        <f>IF(OR(468.40414="",484.77653=""),"-",484.77653/468.40414*100)</f>
        <v>103.49535552781408</v>
      </c>
      <c r="D30" s="49">
        <f>IF(468.40414="","-",468.40414/1581380.128*100)</f>
        <v>2.9619958649183174E-2</v>
      </c>
      <c r="E30" s="49">
        <f>IF(484.77653="","-",484.77653/1379394.59717*100)</f>
        <v>3.5144151716599403E-2</v>
      </c>
      <c r="F30" s="49">
        <f>IF(OR(1533630.30697="",1260.9765="",468.40414=""),"-",(468.40414-1260.9765)/1533630.30697*100)</f>
        <v>-5.1679492534670149E-2</v>
      </c>
      <c r="G30" s="49">
        <f>IF(OR(1581380.128="",484.77653="",468.40414=""),"-",(484.77653-468.40414)/1581380.128*100)</f>
        <v>1.0353228619804685E-3</v>
      </c>
    </row>
    <row r="31" spans="1:7" s="9" customFormat="1" x14ac:dyDescent="0.25">
      <c r="A31" s="48" t="s">
        <v>51</v>
      </c>
      <c r="B31" s="49">
        <f>IF(263.09543="","-",263.09543)</f>
        <v>263.09543000000002</v>
      </c>
      <c r="C31" s="49">
        <f>IF(OR(499.63612="",263.09543=""),"-",263.09543/499.63612*100)</f>
        <v>52.657407955213486</v>
      </c>
      <c r="D31" s="49">
        <f>IF(499.63612="","-",499.63612/1581380.128*100)</f>
        <v>3.1594941099449554E-2</v>
      </c>
      <c r="E31" s="49">
        <f>IF(263.09543="","-",263.09543/1379394.59717*100)</f>
        <v>1.9073253624435901E-2</v>
      </c>
      <c r="F31" s="49">
        <f>IF(OR(1533630.30697="",622.48584="",499.63612=""),"-",(499.63612-622.48584)/1533630.30697*100)</f>
        <v>-8.010386821496426E-3</v>
      </c>
      <c r="G31" s="49">
        <f>IF(OR(1581380.128="",263.09543="",499.63612=""),"-",(263.09543-499.63612)/1581380.128*100)</f>
        <v>-1.4957864071502989E-2</v>
      </c>
    </row>
    <row r="32" spans="1:7" s="9" customFormat="1" x14ac:dyDescent="0.25">
      <c r="A32" s="48" t="s">
        <v>54</v>
      </c>
      <c r="B32" s="49">
        <f>IF(186.7095="","-",186.7095)</f>
        <v>186.70949999999999</v>
      </c>
      <c r="C32" s="49" t="s">
        <v>280</v>
      </c>
      <c r="D32" s="49">
        <f>IF(15.55146="","-",15.55146/1581380.128*100)</f>
        <v>9.8341061232811952E-4</v>
      </c>
      <c r="E32" s="49">
        <f>IF(186.7095="","-",186.7095/1379394.59717*100)</f>
        <v>1.3535611954915426E-2</v>
      </c>
      <c r="F32" s="49">
        <f>IF(OR(1533630.30697="",316.83077="",15.55146=""),"-",(15.55146-316.83077)/1533630.30697*100)</f>
        <v>-1.9644845868704748E-2</v>
      </c>
      <c r="G32" s="49">
        <f>IF(OR(1581380.128="",186.7095="",15.55146=""),"-",(186.7095-15.55146)/1581380.128*100)</f>
        <v>1.0823333173945132E-2</v>
      </c>
    </row>
    <row r="33" spans="1:7" s="9" customFormat="1" x14ac:dyDescent="0.25">
      <c r="A33" s="48" t="s">
        <v>53</v>
      </c>
      <c r="B33" s="49">
        <f>IF(86.85781="","-",86.85781)</f>
        <v>86.857810000000001</v>
      </c>
      <c r="C33" s="49" t="s">
        <v>20</v>
      </c>
      <c r="D33" s="49">
        <f>IF(43.03206="","-",43.03206/1581380.128*100)</f>
        <v>2.7211711617005979E-3</v>
      </c>
      <c r="E33" s="49">
        <f>IF(86.85781="","-",86.85781/1379394.59717*100)</f>
        <v>6.2968065974884652E-3</v>
      </c>
      <c r="F33" s="49">
        <f>IF(OR(1533630.30697="",2.92765="",43.03206=""),"-",(43.03206-2.92765)/1533630.30697*100)</f>
        <v>2.6149985311150021E-3</v>
      </c>
      <c r="G33" s="49">
        <f>IF(OR(1581380.128="",86.85781="",43.03206=""),"-",(86.85781-43.03206)/1581380.128*100)</f>
        <v>2.7713608653617784E-3</v>
      </c>
    </row>
    <row r="34" spans="1:7" s="9" customFormat="1" x14ac:dyDescent="0.25">
      <c r="A34" s="48" t="s">
        <v>55</v>
      </c>
      <c r="B34" s="49">
        <f>IF(25.65794="","-",25.65794)</f>
        <v>25.65794</v>
      </c>
      <c r="C34" s="49">
        <f>IF(OR(61.68467="",25.65794=""),"-",25.65794/61.68467*100)</f>
        <v>41.595326683274791</v>
      </c>
      <c r="D34" s="49">
        <f>IF(61.68467="","-",61.68467/1581380.128*100)</f>
        <v>3.9006857938713134E-3</v>
      </c>
      <c r="E34" s="49">
        <f>IF(25.65794="","-",25.65794/1379394.59717*100)</f>
        <v>1.8600870304001818E-3</v>
      </c>
      <c r="F34" s="49">
        <f>IF(OR(1533630.30697="",27.75621="",61.68467=""),"-",(61.68467-27.75621)/1533630.30697*100)</f>
        <v>2.2122971778663274E-3</v>
      </c>
      <c r="G34" s="49">
        <f>IF(OR(1581380.128="",25.65794="",61.68467=""),"-",(25.65794-61.68467)/1581380.128*100)</f>
        <v>-2.2781827950224499E-3</v>
      </c>
    </row>
    <row r="35" spans="1:7" s="9" customFormat="1" x14ac:dyDescent="0.25">
      <c r="A35" s="48" t="s">
        <v>56</v>
      </c>
      <c r="B35" s="49">
        <f>IF(2.36964="","-",2.36964)</f>
        <v>2.36964</v>
      </c>
      <c r="C35" s="49">
        <f>IF(OR(461.08919="",2.36964=""),"-",2.36964/461.08919*100)</f>
        <v>0.51392226306585065</v>
      </c>
      <c r="D35" s="49">
        <f>IF(461.08919="","-",461.08919/1581380.128*100)</f>
        <v>2.9157391182292634E-2</v>
      </c>
      <c r="E35" s="49">
        <f>IF(2.36964="","-",2.36964/1379394.59717*100)</f>
        <v>1.717884066576462E-4</v>
      </c>
      <c r="F35" s="49">
        <f>IF(OR(1533630.30697="",573.68424="",461.08919=""),"-",(461.08919-573.68424)/1533630.30697*100)</f>
        <v>-7.3417334991543425E-3</v>
      </c>
      <c r="G35" s="49">
        <f>IF(OR(1581380.128="",2.36964="",461.08919=""),"-",(2.36964-461.08919)/1581380.128*100)</f>
        <v>-2.900754485767763E-2</v>
      </c>
    </row>
    <row r="36" spans="1:7" s="9" customFormat="1" x14ac:dyDescent="0.25">
      <c r="A36" s="37" t="s">
        <v>174</v>
      </c>
      <c r="B36" s="47">
        <f>IF(220867.28852="","-",220867.28852)</f>
        <v>220867.28852</v>
      </c>
      <c r="C36" s="47">
        <f>IF(232886.36771="","-",220867.28852/232886.36771*100)</f>
        <v>94.83907997355746</v>
      </c>
      <c r="D36" s="47">
        <f>IF(232886.36771="","-",232886.36771/1581380.128*100)</f>
        <v>14.726779702520707</v>
      </c>
      <c r="E36" s="47">
        <f>IF(220867.28852="","-",220867.28852/1379394.59717*100)</f>
        <v>16.011900363618707</v>
      </c>
      <c r="F36" s="47">
        <f>IF(1533630.30697="","-",(232886.36771-245216.07228)/1533630.30697*100)</f>
        <v>-0.8039554587545843</v>
      </c>
      <c r="G36" s="47">
        <f>IF(1581380.128="","-",(220867.28852-232886.36771)/1581380.128*100)</f>
        <v>-0.76003732291746551</v>
      </c>
    </row>
    <row r="37" spans="1:7" s="9" customFormat="1" x14ac:dyDescent="0.25">
      <c r="A37" s="48" t="s">
        <v>127</v>
      </c>
      <c r="B37" s="49">
        <f>IF(137487.11242="","-",137487.11242)</f>
        <v>137487.11241999999</v>
      </c>
      <c r="C37" s="49">
        <f>IF(OR(131974.66668="",137487.11242=""),"-",137487.11242/131974.66668*100)</f>
        <v>104.17689688382852</v>
      </c>
      <c r="D37" s="49">
        <f>IF(131974.66668="","-",131974.66668/1581380.128*100)</f>
        <v>8.3455371888927647</v>
      </c>
      <c r="E37" s="49">
        <f>IF(137487.11242="","-",137487.11242/1379394.59717*100)</f>
        <v>9.9672068240713667</v>
      </c>
      <c r="F37" s="49">
        <f>IF(OR(1533630.30697="",127189.84941="",131974.66668=""),"-",(131974.66668-127189.84941)/1533630.30697*100)</f>
        <v>0.31199287391844671</v>
      </c>
      <c r="G37" s="49">
        <f>IF(OR(1581380.128="",137487.11242="",131974.66668=""),"-",(137487.11242-131974.66668)/1581380.128*100)</f>
        <v>0.34858448278161208</v>
      </c>
    </row>
    <row r="38" spans="1:7" s="9" customFormat="1" ht="14.25" customHeight="1" x14ac:dyDescent="0.25">
      <c r="A38" s="48" t="s">
        <v>11</v>
      </c>
      <c r="B38" s="49">
        <f>IF(37997.43648="","-",37997.43648)</f>
        <v>37997.436479999997</v>
      </c>
      <c r="C38" s="49">
        <f>IF(OR(47307.65031="",37997.43648=""),"-",37997.43648/47307.65031*100)</f>
        <v>80.319855733709971</v>
      </c>
      <c r="D38" s="49">
        <f>IF(47307.65031="","-",47307.65031/1581380.128*100)</f>
        <v>2.9915419747831811</v>
      </c>
      <c r="E38" s="49">
        <f>IF(37997.43648="","-",37997.43648/1379394.59717*100)</f>
        <v>2.7546458829080871</v>
      </c>
      <c r="F38" s="49">
        <f>IF(OR(1533630.30697="",55676.73866="",47307.65031=""),"-",(47307.65031-55676.73866)/1533630.30697*100)</f>
        <v>-0.54570441859191277</v>
      </c>
      <c r="G38" s="49">
        <f>IF(OR(1581380.128="",37997.43648="",47307.65031=""),"-",(37997.43648-47307.65031)/1581380.128*100)</f>
        <v>-0.58873977642395159</v>
      </c>
    </row>
    <row r="39" spans="1:7" s="15" customFormat="1" ht="14.25" customHeight="1" x14ac:dyDescent="0.2">
      <c r="A39" s="48" t="s">
        <v>12</v>
      </c>
      <c r="B39" s="49">
        <f>IF(33719.74388="","-",33719.74388)</f>
        <v>33719.743880000002</v>
      </c>
      <c r="C39" s="49">
        <f>IF(OR(42146.47004="",33719.74388=""),"-",33719.74388/42146.47004*100)</f>
        <v>80.006092676320378</v>
      </c>
      <c r="D39" s="49">
        <f>IF(42146.47004="","-",42146.47004/1581380.128*100)</f>
        <v>2.6651700811052557</v>
      </c>
      <c r="E39" s="49">
        <f>IF(33719.74388="","-",33719.74388/1379394.59717*100)</f>
        <v>2.4445321120715029</v>
      </c>
      <c r="F39" s="49">
        <f>IF(OR(1533630.30697="",47136.75271="",42146.47004=""),"-",(42146.47004-47136.75271)/1533630.30697*100)</f>
        <v>-0.32539019653695572</v>
      </c>
      <c r="G39" s="49">
        <f>IF(OR(1581380.128="",33719.74388="",42146.47004=""),"-",(33719.74388-42146.47004)/1581380.128*100)</f>
        <v>-0.53287163603462184</v>
      </c>
    </row>
    <row r="40" spans="1:7" s="15" customFormat="1" ht="14.25" customHeight="1" x14ac:dyDescent="0.2">
      <c r="A40" s="48" t="s">
        <v>13</v>
      </c>
      <c r="B40" s="49">
        <f>IF(7489.21166="","-",7489.21166)</f>
        <v>7489.2116599999999</v>
      </c>
      <c r="C40" s="49">
        <f>IF(OR(5153.95664="",7489.21166=""),"-",7489.21166/5153.95664*100)</f>
        <v>145.30994696144745</v>
      </c>
      <c r="D40" s="49">
        <f>IF(5153.95664="","-",5153.95664/1581380.128*100)</f>
        <v>0.32591510091367482</v>
      </c>
      <c r="E40" s="49">
        <f>IF(7489.21166="","-",7489.21166/1379394.59717*100)</f>
        <v>0.54293468129895917</v>
      </c>
      <c r="F40" s="49">
        <f>IF(OR(1533630.30697="",9013.56984="",5153.95664=""),"-",(5153.95664-9013.56984)/1533630.30697*100)</f>
        <v>-0.2516651622270985</v>
      </c>
      <c r="G40" s="49">
        <f>IF(OR(1581380.128="",7489.21166="",5153.95664=""),"-",(7489.21166-5153.95664)/1581380.128*100)</f>
        <v>0.14767195936333402</v>
      </c>
    </row>
    <row r="41" spans="1:7" s="15" customFormat="1" ht="14.25" customHeight="1" x14ac:dyDescent="0.2">
      <c r="A41" s="48" t="s">
        <v>15</v>
      </c>
      <c r="B41" s="49">
        <f>IF(1647.72018="","-",1647.72018)</f>
        <v>1647.72018</v>
      </c>
      <c r="C41" s="49">
        <f>IF(OR(1343.83929="",1647.72018=""),"-",1647.72018/1343.83929*100)</f>
        <v>122.61288922427622</v>
      </c>
      <c r="D41" s="49">
        <f>IF(1343.83929="","-",1343.83929/1581380.128*100)</f>
        <v>8.4978890666823903E-2</v>
      </c>
      <c r="E41" s="49">
        <f>IF(1647.72018="","-",1647.72018/1379394.59717*100)</f>
        <v>0.1194524165442219</v>
      </c>
      <c r="F41" s="49">
        <f>IF(OR(1533630.30697="",1566.63354="",1343.83929=""),"-",(1343.83929-1566.63354)/1533630.30697*100)</f>
        <v>-1.4527246167961801E-2</v>
      </c>
      <c r="G41" s="49">
        <f>IF(OR(1581380.128="",1647.72018="",1343.83929=""),"-",(1647.72018-1343.83929)/1581380.128*100)</f>
        <v>1.9216182410507699E-2</v>
      </c>
    </row>
    <row r="42" spans="1:7" s="13" customFormat="1" ht="14.25" customHeight="1" x14ac:dyDescent="0.2">
      <c r="A42" s="48" t="s">
        <v>14</v>
      </c>
      <c r="B42" s="49">
        <f>IF(1357.38933="","-",1357.38933)</f>
        <v>1357.38933</v>
      </c>
      <c r="C42" s="49">
        <f>IF(OR(2787.08452="",1357.38933=""),"-",1357.38933/2787.08452*100)</f>
        <v>48.702840558276286</v>
      </c>
      <c r="D42" s="49">
        <f>IF(2787.08452="","-",2787.08452/1581380.128*100)</f>
        <v>0.17624380568920364</v>
      </c>
      <c r="E42" s="49">
        <f>IF(1357.38933="","-",1357.38933/1379394.59717*100)</f>
        <v>9.840471557485099E-2</v>
      </c>
      <c r="F42" s="49">
        <f>IF(OR(1533630.30697="",2501.17716="",2787.08452=""),"-",(2787.08452-2501.17716)/1533630.30697*100)</f>
        <v>1.8642521519079008E-2</v>
      </c>
      <c r="G42" s="49">
        <f>IF(OR(1581380.128="",1357.38933="",2787.08452=""),"-",(1357.38933-2787.08452)/1581380.128*100)</f>
        <v>-9.0408066010552512E-2</v>
      </c>
    </row>
    <row r="43" spans="1:7" s="15" customFormat="1" ht="14.25" customHeight="1" x14ac:dyDescent="0.2">
      <c r="A43" s="48" t="s">
        <v>17</v>
      </c>
      <c r="B43" s="49">
        <f>IF(564.46538="","-",564.46538)</f>
        <v>564.46537999999998</v>
      </c>
      <c r="C43" s="49">
        <f>IF(OR(1116.64305="",564.46538=""),"-",564.46538/1116.64305*100)</f>
        <v>50.550207606629542</v>
      </c>
      <c r="D43" s="49">
        <f>IF(1116.64305="","-",1116.64305/1581380.128*100)</f>
        <v>7.0611931326861846E-2</v>
      </c>
      <c r="E43" s="49">
        <f>IF(564.46538="","-",564.46538/1379394.59717*100)</f>
        <v>4.0921240459986657E-2</v>
      </c>
      <c r="F43" s="49">
        <f>IF(OR(1533630.30697="",1070.32681="",1116.64305=""),"-",(1116.64305-1070.32681)/1533630.30697*100)</f>
        <v>3.0200394312438353E-3</v>
      </c>
      <c r="G43" s="49">
        <f>IF(OR(1581380.128="",564.46538="",1116.64305=""),"-",(564.46538-1116.64305)/1581380.128*100)</f>
        <v>-3.4917453446082505E-2</v>
      </c>
    </row>
    <row r="44" spans="1:7" s="13" customFormat="1" ht="14.25" customHeight="1" x14ac:dyDescent="0.2">
      <c r="A44" s="48" t="s">
        <v>129</v>
      </c>
      <c r="B44" s="49">
        <f>IF(363.89983="","-",363.89983)</f>
        <v>363.89983000000001</v>
      </c>
      <c r="C44" s="49">
        <f>IF(OR(603.57396="",363.89983=""),"-",363.89983/603.57396*100)</f>
        <v>60.290843229883542</v>
      </c>
      <c r="D44" s="49">
        <f>IF(603.57396="","-",603.57396/1581380.128*100)</f>
        <v>3.8167544242721126E-2</v>
      </c>
      <c r="E44" s="49">
        <f>IF(363.89983="","-",363.89983/1379394.59717*100)</f>
        <v>2.6381126238031228E-2</v>
      </c>
      <c r="F44" s="49">
        <f>IF(OR(1533630.30697="",609.52505="",603.57396=""),"-",(603.57396-609.52505)/1533630.30697*100)</f>
        <v>-3.8803941034247708E-4</v>
      </c>
      <c r="G44" s="49">
        <f>IF(OR(1581380.128="",363.89983="",603.57396=""),"-",(363.89983-603.57396)/1581380.128*100)</f>
        <v>-1.5156009978645696E-2</v>
      </c>
    </row>
    <row r="45" spans="1:7" s="13" customFormat="1" ht="14.25" customHeight="1" x14ac:dyDescent="0.2">
      <c r="A45" s="48" t="s">
        <v>18</v>
      </c>
      <c r="B45" s="49">
        <f>IF(163.31293="","-",163.31293)</f>
        <v>163.31292999999999</v>
      </c>
      <c r="C45" s="49">
        <f>IF(OR(117.52379="",163.31293=""),"-",163.31293/117.52379*100)</f>
        <v>138.96159237206356</v>
      </c>
      <c r="D45" s="49">
        <f>IF(117.52379="","-",117.52379/1581380.128*100)</f>
        <v>7.4317229563668832E-3</v>
      </c>
      <c r="E45" s="49">
        <f>IF(163.31293="","-",163.31293/1379394.59717*100)</f>
        <v>1.1839464235618788E-2</v>
      </c>
      <c r="F45" s="49">
        <f>IF(OR(1533630.30697="",238.20935="",117.52379=""),"-",(117.52379-238.20935)/1533630.30697*100)</f>
        <v>-7.8692732825839228E-3</v>
      </c>
      <c r="G45" s="49">
        <f>IF(OR(1581380.128="",163.31293="",117.52379=""),"-",(163.31293-117.52379)/1581380.128*100)</f>
        <v>2.8955176044807357E-3</v>
      </c>
    </row>
    <row r="46" spans="1:7" s="13" customFormat="1" ht="14.25" customHeight="1" x14ac:dyDescent="0.2">
      <c r="A46" s="48" t="s">
        <v>16</v>
      </c>
      <c r="B46" s="49">
        <f>IF(76.99643="","-",76.99643)</f>
        <v>76.996430000000004</v>
      </c>
      <c r="C46" s="49">
        <f>IF(OR(334.95943="",76.99643=""),"-",76.99643/334.95943*100)</f>
        <v>22.986792758752905</v>
      </c>
      <c r="D46" s="49">
        <f>IF(334.95943="","-",334.95943/1581380.128*100)</f>
        <v>2.1181461943854653E-2</v>
      </c>
      <c r="E46" s="49">
        <f>IF(76.99643="","-",76.99643/1379394.59717*100)</f>
        <v>5.5819002160779644E-3</v>
      </c>
      <c r="F46" s="49">
        <f>IF(OR(1533630.30697="",213.28975="",334.95943=""),"-",(334.95943-213.28975)/1533630.30697*100)</f>
        <v>7.9334425935011221E-3</v>
      </c>
      <c r="G46" s="49">
        <f>IF(OR(1581380.128="",76.99643="",334.95943=""),"-",(76.99643-334.95943)/1581380.128*100)</f>
        <v>-1.6312523183546666E-2</v>
      </c>
    </row>
    <row r="47" spans="1:7" s="13" customFormat="1" ht="14.25" customHeight="1" x14ac:dyDescent="0.2">
      <c r="A47" s="37" t="s">
        <v>175</v>
      </c>
      <c r="B47" s="47">
        <f>IF(264933.42419="","-",264933.42419)</f>
        <v>264933.42418999999</v>
      </c>
      <c r="C47" s="47">
        <f>IF(346983.72788="","-",264933.42419/346983.72788*100)</f>
        <v>76.353270457000761</v>
      </c>
      <c r="D47" s="47">
        <f>IF(346983.72788="","-",346983.72788/1581380.128*100)</f>
        <v>21.941829275345491</v>
      </c>
      <c r="E47" s="47">
        <f>IF(264933.42419="","-",264933.42419/1379394.59717*100)</f>
        <v>19.206500064125521</v>
      </c>
      <c r="F47" s="47">
        <f>IF(1533630.30697="","-",(346983.72788-285665.34537)/1533630.30697*100)</f>
        <v>3.998250571296222</v>
      </c>
      <c r="G47" s="47">
        <f>IF(1581380.128="","-",(264933.42419-346983.72788)/1581380.128*100)</f>
        <v>-5.1885250255275768</v>
      </c>
    </row>
    <row r="48" spans="1:7" s="9" customFormat="1" x14ac:dyDescent="0.25">
      <c r="A48" s="48" t="s">
        <v>57</v>
      </c>
      <c r="B48" s="49">
        <f>IF(96790.0014="","-",96790.0014)</f>
        <v>96790.001399999994</v>
      </c>
      <c r="C48" s="49">
        <f>IF(OR(125376.13988="",96790.0014=""),"-",96790.0014/125376.13988*100)</f>
        <v>77.199698038749347</v>
      </c>
      <c r="D48" s="49">
        <f>IF(125376.13988="","-",125376.13988/1581380.128*100)</f>
        <v>7.928273389812067</v>
      </c>
      <c r="E48" s="49">
        <f>IF(96790.0014="","-",96790.0014/1379394.59717*100)</f>
        <v>7.0168464918288613</v>
      </c>
      <c r="F48" s="49">
        <f>IF(OR(1533630.30697="",54692.91641="",125376.13988=""),"-",(125376.13988-54692.91641)/1533630.30697*100)</f>
        <v>4.6088828023781776</v>
      </c>
      <c r="G48" s="49">
        <f>IF(OR(1581380.128="",96790.0014="",125376.13988=""),"-",(96790.0014-125376.13988)/1581380.128*100)</f>
        <v>-1.8076702731906349</v>
      </c>
    </row>
    <row r="49" spans="1:7" s="9" customFormat="1" x14ac:dyDescent="0.25">
      <c r="A49" s="48" t="s">
        <v>130</v>
      </c>
      <c r="B49" s="49">
        <f>IF(41446.01293="","-",41446.01293)</f>
        <v>41446.012929999997</v>
      </c>
      <c r="C49" s="49">
        <f>IF(OR(44058.70382="",41446.01293=""),"-",41446.01293/44058.70382*100)</f>
        <v>94.06997786254891</v>
      </c>
      <c r="D49" s="49">
        <f>IF(44058.70382="","-",44058.70382/1581380.128*100)</f>
        <v>2.7860919104707507</v>
      </c>
      <c r="E49" s="49">
        <f>IF(41446.01293="","-",41446.01293/1379394.59717*100)</f>
        <v>3.0046524043976728</v>
      </c>
      <c r="F49" s="49">
        <f>IF(OR(1533630.30697="",30133.14568="",44058.70382=""),"-",(44058.70382-30133.14568)/1533630.30697*100)</f>
        <v>0.90801271184531984</v>
      </c>
      <c r="G49" s="49">
        <f>IF(OR(1581380.128="",41446.01293="",44058.70382=""),"-",(41446.01293-44058.70382)/1581380.128*100)</f>
        <v>-0.16521586706064928</v>
      </c>
    </row>
    <row r="50" spans="1:7" s="14" customFormat="1" ht="25.5" x14ac:dyDescent="0.25">
      <c r="A50" s="48" t="s">
        <v>124</v>
      </c>
      <c r="B50" s="49">
        <f>IF(22191.42751="","-",22191.42751)</f>
        <v>22191.427510000001</v>
      </c>
      <c r="C50" s="49">
        <f>IF(OR(32407.21088="",22191.42751=""),"-",22191.42751/32407.21088*100)</f>
        <v>68.476820150219609</v>
      </c>
      <c r="D50" s="49">
        <f>IF(32407.21088="","-",32407.21088/1581380.128*100)</f>
        <v>2.0492992359140105</v>
      </c>
      <c r="E50" s="49">
        <f>IF(22191.42751="","-",22191.42751/1379394.59717*100)</f>
        <v>1.6087802254357444</v>
      </c>
      <c r="F50" s="49">
        <f>IF(OR(1533630.30697="",50561.85961="",32407.21088=""),"-",(32407.21088-50561.85961)/1533630.30697*100)</f>
        <v>-1.1837695595536462</v>
      </c>
      <c r="G50" s="49">
        <f>IF(OR(1581380.128="",22191.42751="",32407.21088=""),"-",(22191.42751-32407.21088)/1581380.128*100)</f>
        <v>-0.64600428379734876</v>
      </c>
    </row>
    <row r="51" spans="1:7" s="16" customFormat="1" x14ac:dyDescent="0.25">
      <c r="A51" s="48" t="s">
        <v>19</v>
      </c>
      <c r="B51" s="49">
        <f>IF(15013.38869="","-",15013.38869)</f>
        <v>15013.38869</v>
      </c>
      <c r="C51" s="49">
        <f>IF(OR(12822.42829="",15013.38869=""),"-",15013.38869/12822.42829*100)</f>
        <v>117.08693821831466</v>
      </c>
      <c r="D51" s="49">
        <f>IF(12822.42829="","-",12822.42829/1581380.128*100)</f>
        <v>0.81083782848699104</v>
      </c>
      <c r="E51" s="49">
        <f>IF(15013.38869="","-",15013.38869/1379394.59717*100)</f>
        <v>1.0884041970877543</v>
      </c>
      <c r="F51" s="49">
        <f>IF(OR(1533630.30697="",12953.4273="",12822.42829=""),"-",(12822.42829-12953.4273)/1533630.30697*100)</f>
        <v>-8.5417593408684545E-3</v>
      </c>
      <c r="G51" s="49">
        <f>IF(OR(1581380.128="",15013.38869="",12822.42829=""),"-",(15013.38869-12822.42829)/1581380.128*100)</f>
        <v>0.13854735880429631</v>
      </c>
    </row>
    <row r="52" spans="1:7" s="9" customFormat="1" x14ac:dyDescent="0.25">
      <c r="A52" s="48" t="s">
        <v>59</v>
      </c>
      <c r="B52" s="49">
        <f>IF(11140.87787="","-",11140.87787)</f>
        <v>11140.87787</v>
      </c>
      <c r="C52" s="49">
        <f>IF(OR(11738.88381="",11140.87787=""),"-",11140.87787/11738.88381*100)</f>
        <v>94.905768302344256</v>
      </c>
      <c r="D52" s="49">
        <f>IF(11738.88381="","-",11738.88381/1581380.128*100)</f>
        <v>0.7423189151141274</v>
      </c>
      <c r="E52" s="49">
        <f>IF(11140.87787="","-",11140.87787/1379394.59717*100)</f>
        <v>0.80766431105768421</v>
      </c>
      <c r="F52" s="49">
        <f>IF(OR(1533630.30697="",12263.41155="",11738.88381=""),"-",(11738.88381-12263.41155)/1533630.30697*100)</f>
        <v>-3.4201706735719969E-2</v>
      </c>
      <c r="G52" s="49">
        <f>IF(OR(1581380.128="",11140.87787="",11738.88381=""),"-",(11140.87787-11738.88381)/1581380.128*100)</f>
        <v>-3.7815445471438169E-2</v>
      </c>
    </row>
    <row r="53" spans="1:7" s="16" customFormat="1" x14ac:dyDescent="0.25">
      <c r="A53" s="48" t="s">
        <v>61</v>
      </c>
      <c r="B53" s="49">
        <f>IF(9514.0604="","-",9514.0604)</f>
        <v>9514.0604000000003</v>
      </c>
      <c r="C53" s="49">
        <f>IF(OR(8433.15779="",9514.0604=""),"-",9514.0604/8433.15779*100)</f>
        <v>112.81729379333719</v>
      </c>
      <c r="D53" s="49">
        <f>IF(8433.15779="","-",8433.15779/1581380.128*100)</f>
        <v>0.53327834596388701</v>
      </c>
      <c r="E53" s="49">
        <f>IF(9514.0604="","-",9514.0604/1379394.59717*100)</f>
        <v>0.68972724842617772</v>
      </c>
      <c r="F53" s="49">
        <f>IF(OR(1533630.30697="",10053.30492="",8433.15779=""),"-",(8433.15779-10053.30492)/1533630.30697*100)</f>
        <v>-0.10564130890194344</v>
      </c>
      <c r="G53" s="49">
        <f>IF(OR(1581380.128="",9514.0604="",8433.15779=""),"-",(9514.0604-8433.15779)/1581380.128*100)</f>
        <v>6.8351852338440475E-2</v>
      </c>
    </row>
    <row r="54" spans="1:7" s="14" customFormat="1" x14ac:dyDescent="0.25">
      <c r="A54" s="48" t="s">
        <v>60</v>
      </c>
      <c r="B54" s="49">
        <f>IF(5826.86911="","-",5826.86911)</f>
        <v>5826.8691099999996</v>
      </c>
      <c r="C54" s="49">
        <f>IF(OR(9498.34609="",5826.86911=""),"-",5826.86911/9498.34609*100)</f>
        <v>61.34614442123366</v>
      </c>
      <c r="D54" s="49">
        <f>IF(9498.34609="","-",9498.34609/1581380.128*100)</f>
        <v>0.60063648972323491</v>
      </c>
      <c r="E54" s="49">
        <f>IF(5826.86911="","-",5826.86911/1379394.59717*100)</f>
        <v>0.42242220768114858</v>
      </c>
      <c r="F54" s="49">
        <f>IF(OR(1533630.30697="",9865.45329="",9498.34609=""),"-",(9498.34609-9865.45329)/1533630.30697*100)</f>
        <v>-2.3937137805087827E-2</v>
      </c>
      <c r="G54" s="49">
        <f>IF(OR(1581380.128="",5826.86911="",9498.34609=""),"-",(5826.86911-9498.34609)/1581380.128*100)</f>
        <v>-0.23216916129099097</v>
      </c>
    </row>
    <row r="55" spans="1:7" s="9" customFormat="1" x14ac:dyDescent="0.25">
      <c r="A55" s="48" t="s">
        <v>67</v>
      </c>
      <c r="B55" s="49">
        <f>IF(5083.23496="","-",5083.23496)</f>
        <v>5083.2349599999998</v>
      </c>
      <c r="C55" s="49">
        <f>IF(OR(5957.43511="",5083.23496=""),"-",5083.23496/5957.43511*100)</f>
        <v>85.325897238350265</v>
      </c>
      <c r="D55" s="49">
        <f>IF(5957.43511="","-",5957.43511/1581380.128*100)</f>
        <v>0.37672378731193973</v>
      </c>
      <c r="E55" s="49">
        <f>IF(5083.23496="","-",5083.23496/1379394.59717*100)</f>
        <v>0.3685120247990597</v>
      </c>
      <c r="F55" s="49">
        <f>IF(OR(1533630.30697="",15369.84138="",5957.43511=""),"-",(5957.43511-15369.84138)/1533630.30697*100)</f>
        <v>-0.61373371582595626</v>
      </c>
      <c r="G55" s="49">
        <f>IF(OR(1581380.128="",5083.23496="",5957.43511=""),"-",(5083.23496-5957.43511)/1581380.128*100)</f>
        <v>-5.5280835677732794E-2</v>
      </c>
    </row>
    <row r="56" spans="1:7" s="9" customFormat="1" x14ac:dyDescent="0.25">
      <c r="A56" s="48" t="s">
        <v>66</v>
      </c>
      <c r="B56" s="49">
        <f>IF(4634.52109="","-",4634.52109)</f>
        <v>4634.5210900000002</v>
      </c>
      <c r="C56" s="49">
        <f>IF(OR(6637.93526="",4634.52109=""),"-",4634.52109/6637.93526*100)</f>
        <v>69.818714833323043</v>
      </c>
      <c r="D56" s="49">
        <f>IF(6637.93526="","-",6637.93526/1581380.128*100)</f>
        <v>0.41975582862515898</v>
      </c>
      <c r="E56" s="49">
        <f>IF(4634.52109="","-",4634.52109/1379394.59717*100)</f>
        <v>0.3359822562382293</v>
      </c>
      <c r="F56" s="49">
        <f>IF(OR(1533630.30697="",2852.64542="",6637.93526=""),"-",(6637.93526-2852.64542)/1533630.30697*100)</f>
        <v>0.24681892518664514</v>
      </c>
      <c r="G56" s="49">
        <f>IF(OR(1581380.128="",4634.52109="",6637.93526=""),"-",(4634.52109-6637.93526)/1581380.128*100)</f>
        <v>-0.1266877036411071</v>
      </c>
    </row>
    <row r="57" spans="1:7" s="16" customFormat="1" x14ac:dyDescent="0.25">
      <c r="A57" s="48" t="s">
        <v>58</v>
      </c>
      <c r="B57" s="49">
        <f>IF(4399.67522="","-",4399.67522)</f>
        <v>4399.6752200000001</v>
      </c>
      <c r="C57" s="49">
        <f>IF(OR(6619.62425="",4399.67522=""),"-",4399.67522/6619.62425*100)</f>
        <v>66.464123246874635</v>
      </c>
      <c r="D57" s="49">
        <f>IF(6619.62425="","-",6619.62425/1581380.128*100)</f>
        <v>0.41859791537737095</v>
      </c>
      <c r="E57" s="49">
        <f>IF(4399.67522="","-",4399.67522/1379394.59717*100)</f>
        <v>0.31895697061786976</v>
      </c>
      <c r="F57" s="49">
        <f>IF(OR(1533630.30697="",8267.47752="",6619.62425=""),"-",(6619.62425-8267.47752)/1533630.30697*100)</f>
        <v>-0.10744788118172176</v>
      </c>
      <c r="G57" s="49">
        <f>IF(OR(1581380.128="",4399.67522="",6619.62425=""),"-",(4399.67522-6619.62425)/1581380.128*100)</f>
        <v>-0.14038048099210715</v>
      </c>
    </row>
    <row r="58" spans="1:7" s="9" customFormat="1" x14ac:dyDescent="0.25">
      <c r="A58" s="48" t="s">
        <v>131</v>
      </c>
      <c r="B58" s="49">
        <f>IF(3314.59665="","-",3314.59665)</f>
        <v>3314.59665</v>
      </c>
      <c r="C58" s="49">
        <f>IF(OR(8945.0687="",3314.59665=""),"-",3314.59665/8945.0687*100)</f>
        <v>37.055016134196933</v>
      </c>
      <c r="D58" s="49">
        <f>IF(8945.0687="","-",8945.0687/1581380.128*100)</f>
        <v>0.56564949449016977</v>
      </c>
      <c r="E58" s="49">
        <f>IF(3314.59665="","-",3314.59665/1379394.59717*100)</f>
        <v>0.24029357928473175</v>
      </c>
      <c r="F58" s="49">
        <f>IF(OR(1533630.30697="",1814.36371="",8945.0687=""),"-",(8945.0687-1814.36371)/1533630.30697*100)</f>
        <v>0.46495592566165206</v>
      </c>
      <c r="G58" s="49">
        <f>IF(OR(1581380.128="",3314.59665="",8945.0687=""),"-",(3314.59665-8945.0687)/1581380.128*100)</f>
        <v>-0.35604798304383395</v>
      </c>
    </row>
    <row r="59" spans="1:7" s="14" customFormat="1" x14ac:dyDescent="0.25">
      <c r="A59" s="48" t="s">
        <v>68</v>
      </c>
      <c r="B59" s="49">
        <f>IF(3091.07468="","-",3091.07468)</f>
        <v>3091.0746800000002</v>
      </c>
      <c r="C59" s="49" t="s">
        <v>281</v>
      </c>
      <c r="D59" s="49">
        <f>IF(22.26872="","-",22.26872/1581380.128*100)</f>
        <v>1.4081826124983403E-3</v>
      </c>
      <c r="E59" s="49">
        <f>IF(3091.07468="","-",3091.07468/1379394.59717*100)</f>
        <v>0.22408922626938843</v>
      </c>
      <c r="F59" s="49">
        <f>IF(OR(1533630.30697="",11.3388="",22.26872=""),"-",(22.26872-11.3388)/1533630.30697*100)</f>
        <v>7.1268283825156589E-4</v>
      </c>
      <c r="G59" s="49">
        <f>IF(OR(1581380.128="",3091.07468="",22.26872=""),"-",(3091.07468-22.26872)/1581380.128*100)</f>
        <v>0.19405871527430754</v>
      </c>
    </row>
    <row r="60" spans="1:7" s="9" customFormat="1" x14ac:dyDescent="0.25">
      <c r="A60" s="48" t="s">
        <v>69</v>
      </c>
      <c r="B60" s="49">
        <f>IF(2981.77437="","-",2981.77437)</f>
        <v>2981.7743700000001</v>
      </c>
      <c r="C60" s="49">
        <f>IF(OR(5297.0952="",2981.77437=""),"-",2981.77437/5297.0952*100)</f>
        <v>56.290745350395063</v>
      </c>
      <c r="D60" s="49">
        <f>IF(5297.0952="","-",5297.0952/1581380.128*100)</f>
        <v>0.33496659697496839</v>
      </c>
      <c r="E60" s="49">
        <f>IF(2981.77437="","-",2981.77437/1379394.59717*100)</f>
        <v>0.21616543780274927</v>
      </c>
      <c r="F60" s="49">
        <f>IF(OR(1533630.30697="",2435.63705="",5297.0952=""),"-",(5297.0952-2435.63705)/1533630.30697*100)</f>
        <v>0.18658069920732037</v>
      </c>
      <c r="G60" s="49">
        <f>IF(OR(1581380.128="",2981.77437="",5297.0952=""),"-",(2981.77437-5297.0952)/1581380.128*100)</f>
        <v>-0.1464114028629048</v>
      </c>
    </row>
    <row r="61" spans="1:7" s="14" customFormat="1" x14ac:dyDescent="0.25">
      <c r="A61" s="48" t="s">
        <v>63</v>
      </c>
      <c r="B61" s="49">
        <f>IF(2783.23293="","-",2783.23293)</f>
        <v>2783.2329300000001</v>
      </c>
      <c r="C61" s="49">
        <f>IF(OR(4749.35576="",2783.23293=""),"-",2783.23293/4749.35576*100)</f>
        <v>58.602325676272351</v>
      </c>
      <c r="D61" s="49">
        <f>IF(4749.35576="","-",4749.35576/1581380.128*100)</f>
        <v>0.30032979900959023</v>
      </c>
      <c r="E61" s="49">
        <f>IF(2783.23293="","-",2783.23293/1379394.59717*100)</f>
        <v>0.20177206259254238</v>
      </c>
      <c r="F61" s="49">
        <f>IF(OR(1533630.30697="",1957.46614="",4749.35576=""),"-",(4749.35576-1957.46614)/1533630.30697*100)</f>
        <v>0.18204449972796566</v>
      </c>
      <c r="G61" s="49">
        <f>IF(OR(1581380.128="",2783.23293="",4749.35576=""),"-",(2783.23293-4749.35576)/1581380.128*100)</f>
        <v>-0.12432955209109597</v>
      </c>
    </row>
    <row r="62" spans="1:7" s="9" customFormat="1" x14ac:dyDescent="0.25">
      <c r="A62" s="48" t="s">
        <v>38</v>
      </c>
      <c r="B62" s="49">
        <f>IF(2776.49723="","-",2776.49723)</f>
        <v>2776.4972299999999</v>
      </c>
      <c r="C62" s="49">
        <f>IF(OR(1855.59137="",2776.49723=""),"-",2776.49723/1855.59137*100)</f>
        <v>149.62869923241772</v>
      </c>
      <c r="D62" s="49">
        <f>IF(1855.59137="","-",1855.59137/1581380.128*100)</f>
        <v>0.11733999543467136</v>
      </c>
      <c r="E62" s="49">
        <f>IF(2776.49723="","-",2776.49723/1379394.59717*100)</f>
        <v>0.20128375416986047</v>
      </c>
      <c r="F62" s="49">
        <f>IF(OR(1533630.30697="",4378.35985="",1855.59137=""),"-",(1855.59137-4378.35985)/1533630.30697*100)</f>
        <v>-0.16449651969803886</v>
      </c>
      <c r="G62" s="49">
        <f>IF(OR(1581380.128="",2776.49723="",1855.59137=""),"-",(2776.49723-1855.59137)/1581380.128*100)</f>
        <v>5.8234313413605757E-2</v>
      </c>
    </row>
    <row r="63" spans="1:7" s="14" customFormat="1" x14ac:dyDescent="0.25">
      <c r="A63" s="48" t="s">
        <v>62</v>
      </c>
      <c r="B63" s="49">
        <f>IF(2415.68821="","-",2415.68821)</f>
        <v>2415.6882099999998</v>
      </c>
      <c r="C63" s="49">
        <f>IF(OR(2877.57442="",2415.68821=""),"-",2415.68821/2877.57442*100)</f>
        <v>83.948765780312982</v>
      </c>
      <c r="D63" s="49">
        <f>IF(2877.57442="","-",2877.57442/1581380.128*100)</f>
        <v>0.18196601620631975</v>
      </c>
      <c r="E63" s="49">
        <f>IF(2415.68821="","-",2415.68821/1379394.59717*100)</f>
        <v>0.17512669796997071</v>
      </c>
      <c r="F63" s="49">
        <f>IF(OR(1533630.30697="",3306.9327="",2877.57442=""),"-",(2877.57442-3306.9327)/1533630.30697*100)</f>
        <v>-2.7996204694747128E-2</v>
      </c>
      <c r="G63" s="49">
        <f>IF(OR(1581380.128="",2415.68821="",2877.57442=""),"-",(2415.68821-2877.57442)/1581380.128*100)</f>
        <v>-2.9207791461510015E-2</v>
      </c>
    </row>
    <row r="64" spans="1:7" s="9" customFormat="1" x14ac:dyDescent="0.25">
      <c r="A64" s="48" t="s">
        <v>40</v>
      </c>
      <c r="B64" s="49">
        <f>IF(1340.06666="","-",1340.06666)</f>
        <v>1340.06666</v>
      </c>
      <c r="C64" s="49">
        <f>IF(OR(1220.21153="",1340.06666=""),"-",1340.06666/1220.21153*100)</f>
        <v>109.82248790912506</v>
      </c>
      <c r="D64" s="49">
        <f>IF(1220.21153="","-",1220.21153/1581380.128*100)</f>
        <v>7.7161177657090171E-2</v>
      </c>
      <c r="E64" s="49">
        <f>IF(1340.06666="","-",1340.06666/1379394.59717*100)</f>
        <v>9.7148898708847617E-2</v>
      </c>
      <c r="F64" s="49">
        <f>IF(OR(1533630.30697="",531.03305="",1220.21153=""),"-",(1220.21153-531.03305)/1533630.30697*100)</f>
        <v>4.4937719140515218E-2</v>
      </c>
      <c r="G64" s="49">
        <f>IF(OR(1581380.128="",1340.06666="",1220.21153=""),"-",(1340.06666-1220.21153)/1581380.128*100)</f>
        <v>7.5791473459061905E-3</v>
      </c>
    </row>
    <row r="65" spans="1:7" s="9" customFormat="1" x14ac:dyDescent="0.25">
      <c r="A65" s="48" t="s">
        <v>77</v>
      </c>
      <c r="B65" s="49">
        <f>IF(1252.31075="","-",1252.31075)</f>
        <v>1252.3107500000001</v>
      </c>
      <c r="C65" s="49">
        <f>IF(OR(1017.68197="",1252.31075=""),"-",1252.31075/1017.68197*100)</f>
        <v>123.05521635604886</v>
      </c>
      <c r="D65" s="49">
        <f>IF(1017.68197="","-",1017.68197/1581380.128*100)</f>
        <v>6.4354038095007601E-2</v>
      </c>
      <c r="E65" s="49">
        <f>IF(1252.31075="","-",1252.31075/1379394.59717*100)</f>
        <v>9.0786983838364435E-2</v>
      </c>
      <c r="F65" s="49">
        <f>IF(OR(1533630.30697="",1036.95165="",1017.68197=""),"-",(1017.68197-1036.95165)/1533630.30697*100)</f>
        <v>-1.2564749087458492E-3</v>
      </c>
      <c r="G65" s="49">
        <f>IF(OR(1581380.128="",1252.31075="",1017.68197=""),"-",(1252.31075-1017.68197)/1581380.128*100)</f>
        <v>1.4836962716658098E-2</v>
      </c>
    </row>
    <row r="66" spans="1:7" s="14" customFormat="1" x14ac:dyDescent="0.25">
      <c r="A66" s="48" t="s">
        <v>88</v>
      </c>
      <c r="B66" s="49">
        <f>IF(1122.53902="","-",1122.53902)</f>
        <v>1122.5390199999999</v>
      </c>
      <c r="C66" s="49" t="s">
        <v>282</v>
      </c>
      <c r="D66" s="49">
        <f>IF(121.64734="","-",121.64734/1581380.128*100)</f>
        <v>7.6924793631907833E-3</v>
      </c>
      <c r="E66" s="49">
        <f>IF(1122.53902="","-",1122.53902/1379394.59717*100)</f>
        <v>8.137910807415287E-2</v>
      </c>
      <c r="F66" s="49">
        <f>IF(OR(1533630.30697="",142.6303="",121.64734=""),"-",(121.64734-142.6303)/1533630.30697*100)</f>
        <v>-1.3681889243214115E-3</v>
      </c>
      <c r="G66" s="49">
        <f>IF(OR(1581380.128="",1122.53902="",121.64734=""),"-",(1122.53902-121.64734)/1581380.128*100)</f>
        <v>6.3292288949263947E-2</v>
      </c>
    </row>
    <row r="67" spans="1:7" s="16" customFormat="1" x14ac:dyDescent="0.25">
      <c r="A67" s="48" t="s">
        <v>135</v>
      </c>
      <c r="B67" s="49">
        <f>IF(1098.14261="","-",1098.14261)</f>
        <v>1098.1426100000001</v>
      </c>
      <c r="C67" s="49" t="str">
        <f>IF(OR(""="",1098.14261=""),"-",1098.14261/""*100)</f>
        <v>-</v>
      </c>
      <c r="D67" s="49" t="str">
        <f>IF(""="","-",""/1581380.128*100)</f>
        <v>-</v>
      </c>
      <c r="E67" s="49">
        <f>IF(1098.14261="","-",1098.14261/1379394.59717*100)</f>
        <v>7.9610476382390993E-2</v>
      </c>
      <c r="F67" s="49" t="str">
        <f>IF(OR(1533630.30697="",1739.08352="",""=""),"-",(""-1739.08352)/1533630.30697*100)</f>
        <v>-</v>
      </c>
      <c r="G67" s="49" t="str">
        <f>IF(OR(1581380.128="",1098.14261="",""=""),"-",(1098.14261-"")/1581380.128*100)</f>
        <v>-</v>
      </c>
    </row>
    <row r="68" spans="1:7" s="9" customFormat="1" x14ac:dyDescent="0.25">
      <c r="A68" s="48" t="s">
        <v>143</v>
      </c>
      <c r="B68" s="49">
        <f>IF(883.39714="","-",883.39714)</f>
        <v>883.39714000000004</v>
      </c>
      <c r="C68" s="49">
        <f>IF(OR(682.64384="",883.39714=""),"-",883.39714/682.64384*100)</f>
        <v>129.40820501654275</v>
      </c>
      <c r="D68" s="49">
        <f>IF(682.64384="","-",682.64384/1581380.128*100)</f>
        <v>4.3167599485605772E-2</v>
      </c>
      <c r="E68" s="49">
        <f>IF(883.39714="","-",883.39714/1379394.59717*100)</f>
        <v>6.4042380752570682E-2</v>
      </c>
      <c r="F68" s="49">
        <f>IF(OR(1533630.30697="",1273.53666="",682.64384=""),"-",(682.64384-1273.53666)/1533630.30697*100)</f>
        <v>-3.8529026018495255E-2</v>
      </c>
      <c r="G68" s="49">
        <f>IF(OR(1581380.128="",883.39714="",682.64384=""),"-",(883.39714-682.64384)/1581380.128*100)</f>
        <v>1.2694816157447003E-2</v>
      </c>
    </row>
    <row r="69" spans="1:7" s="9" customFormat="1" x14ac:dyDescent="0.25">
      <c r="A69" s="48" t="s">
        <v>188</v>
      </c>
      <c r="B69" s="49">
        <f>IF(817.48019="","-",817.48019)</f>
        <v>817.48018999999999</v>
      </c>
      <c r="C69" s="49">
        <f>IF(OR(809.47462="",817.48019=""),"-",817.48019/809.47462*100)</f>
        <v>100.98898344706595</v>
      </c>
      <c r="D69" s="49">
        <f>IF(809.47462="","-",809.47462/1581380.128*100)</f>
        <v>5.1187858356596214E-2</v>
      </c>
      <c r="E69" s="49">
        <f>IF(817.48019="","-",817.48019/1379394.59717*100)</f>
        <v>5.9263693773860107E-2</v>
      </c>
      <c r="F69" s="49">
        <f>IF(OR(1533630.30697="",753.24939="",809.47462=""),"-",(809.47462-753.24939)/1533630.30697*100)</f>
        <v>3.6661527712688745E-3</v>
      </c>
      <c r="G69" s="49">
        <f>IF(OR(1581380.128="",817.48019="",809.47462=""),"-",(817.48019-809.47462)/1581380.128*100)</f>
        <v>5.0623944605430343E-4</v>
      </c>
    </row>
    <row r="70" spans="1:7" s="9" customFormat="1" x14ac:dyDescent="0.25">
      <c r="A70" s="48" t="s">
        <v>86</v>
      </c>
      <c r="B70" s="49">
        <f>IF(796.23452="","-",796.23452)</f>
        <v>796.23451999999997</v>
      </c>
      <c r="C70" s="49">
        <f>IF(OR(1811.61972="",796.23452=""),"-",796.23452/1811.61972*100)</f>
        <v>43.951526427411594</v>
      </c>
      <c r="D70" s="49">
        <f>IF(1811.61972="","-",1811.61972/1581380.128*100)</f>
        <v>0.11455940845109697</v>
      </c>
      <c r="E70" s="49">
        <f>IF(796.23452="","-",796.23452/1379394.59717*100)</f>
        <v>5.7723476779855044E-2</v>
      </c>
      <c r="F70" s="49">
        <f>IF(OR(1533630.30697="",1091.21396="",1811.61972=""),"-",(1811.61972-1091.21396)/1533630.30697*100)</f>
        <v>4.6973886517886351E-2</v>
      </c>
      <c r="G70" s="49">
        <f>IF(OR(1581380.128="",796.23452="",1811.61972=""),"-",(796.23452-1811.61972)/1581380.128*100)</f>
        <v>-6.4208799770626684E-2</v>
      </c>
    </row>
    <row r="71" spans="1:7" s="9" customFormat="1" x14ac:dyDescent="0.25">
      <c r="A71" s="48" t="s">
        <v>71</v>
      </c>
      <c r="B71" s="49">
        <f>IF(791.24182="","-",791.24182)</f>
        <v>791.24181999999996</v>
      </c>
      <c r="C71" s="49">
        <f>IF(OR(769.37608="",791.24182=""),"-",791.24182/769.37608*100)</f>
        <v>102.84200933306894</v>
      </c>
      <c r="D71" s="49">
        <f>IF(769.37608="","-",769.37608/1581380.128*100)</f>
        <v>4.8652190980358646E-2</v>
      </c>
      <c r="E71" s="49">
        <f>IF(791.24182="","-",791.24182/1379394.59717*100)</f>
        <v>5.7361528138745163E-2</v>
      </c>
      <c r="F71" s="49">
        <f>IF(OR(1533630.30697="",1023.65573="",769.37608=""),"-",(769.37608-1023.65573)/1533630.30697*100)</f>
        <v>-1.6580244198641417E-2</v>
      </c>
      <c r="G71" s="49">
        <f>IF(OR(1581380.128="",791.24182="",769.37608=""),"-",(791.24182-769.37608)/1581380.128*100)</f>
        <v>1.3826998084043181E-3</v>
      </c>
    </row>
    <row r="72" spans="1:7" s="9" customFormat="1" x14ac:dyDescent="0.25">
      <c r="A72" s="48" t="s">
        <v>136</v>
      </c>
      <c r="B72" s="49">
        <f>IF(744.02661="","-",744.02661)</f>
        <v>744.02661000000001</v>
      </c>
      <c r="C72" s="49" t="s">
        <v>283</v>
      </c>
      <c r="D72" s="49">
        <f>IF(187.01941="","-",187.01941/1581380.128*100)</f>
        <v>1.1826341224897445E-2</v>
      </c>
      <c r="E72" s="49">
        <f>IF(744.02661="","-",744.02661/1379394.59717*100)</f>
        <v>5.3938634494180515E-2</v>
      </c>
      <c r="F72" s="49">
        <f>IF(OR(1533630.30697="",7.147="",187.01941=""),"-",(187.01941-7.147)/1533630.30697*100)</f>
        <v>1.1728537782705578E-2</v>
      </c>
      <c r="G72" s="49">
        <f>IF(OR(1581380.128="",744.02661="",187.01941=""),"-",(744.02661-187.01941)/1581380.128*100)</f>
        <v>3.522285313553656E-2</v>
      </c>
    </row>
    <row r="73" spans="1:7" s="9" customFormat="1" x14ac:dyDescent="0.25">
      <c r="A73" s="48" t="s">
        <v>78</v>
      </c>
      <c r="B73" s="49">
        <f>IF(682.09246="","-",682.09246)</f>
        <v>682.09245999999996</v>
      </c>
      <c r="C73" s="49">
        <f>IF(OR(755.5937="",682.09246=""),"-",682.09246/755.5937*100)</f>
        <v>90.272385807345927</v>
      </c>
      <c r="D73" s="49">
        <f>IF(755.5937="","-",755.5937/1581380.128*100)</f>
        <v>4.7780649738884289E-2</v>
      </c>
      <c r="E73" s="49">
        <f>IF(682.09246="","-",682.09246/1379394.59717*100)</f>
        <v>4.9448682878662692E-2</v>
      </c>
      <c r="F73" s="49">
        <f>IF(OR(1533630.30697="",897.49674="",755.5937=""),"-",(755.5937-897.49674)/1533630.30697*100)</f>
        <v>-9.2527540278177257E-3</v>
      </c>
      <c r="G73" s="49">
        <f>IF(OR(1581380.128="",682.09246="",755.5937=""),"-",(682.09246-755.5937)/1581380.128*100)</f>
        <v>-4.6479172653420405E-3</v>
      </c>
    </row>
    <row r="74" spans="1:7" s="9" customFormat="1" x14ac:dyDescent="0.25">
      <c r="A74" s="48" t="s">
        <v>94</v>
      </c>
      <c r="B74" s="49">
        <f>IF(597.79092="","-",597.79092)</f>
        <v>597.79092000000003</v>
      </c>
      <c r="C74" s="49" t="s">
        <v>284</v>
      </c>
      <c r="D74" s="49">
        <f>IF(87.01341="","-",87.01341/1581380.128*100)</f>
        <v>5.5023715335317525E-3</v>
      </c>
      <c r="E74" s="49">
        <f>IF(597.79092="","-",597.79092/1379394.59717*100)</f>
        <v>4.3337194536388832E-2</v>
      </c>
      <c r="F74" s="49">
        <f>IF(OR(1533630.30697="",107.60842="",87.01341=""),"-",(87.01341-107.60842)/1533630.30697*100)</f>
        <v>-1.3428927366915205E-3</v>
      </c>
      <c r="G74" s="49">
        <f>IF(OR(1581380.128="",597.79092="",87.01341=""),"-",(597.79092-87.01341)/1581380.128*100)</f>
        <v>3.2299476954095123E-2</v>
      </c>
    </row>
    <row r="75" spans="1:7" s="9" customFormat="1" x14ac:dyDescent="0.25">
      <c r="A75" s="48" t="s">
        <v>73</v>
      </c>
      <c r="B75" s="49">
        <f>IF(574.86521="","-",574.86521)</f>
        <v>574.86521000000005</v>
      </c>
      <c r="C75" s="49">
        <f>IF(OR(881.9413="",574.86521=""),"-",574.86521/881.9413*100)</f>
        <v>65.181799514321426</v>
      </c>
      <c r="D75" s="49">
        <f>IF(881.9413="","-",881.9413/1581380.128*100)</f>
        <v>5.5770354286379394E-2</v>
      </c>
      <c r="E75" s="49">
        <f>IF(574.86521="","-",574.86521/1379394.59717*100)</f>
        <v>4.1675182082009578E-2</v>
      </c>
      <c r="F75" s="49">
        <f>IF(OR(1533630.30697="",485.95273="",881.9413=""),"-",(881.9413-485.95273)/1533630.30697*100)</f>
        <v>2.5820340677953624E-2</v>
      </c>
      <c r="G75" s="49">
        <f>IF(OR(1581380.128="",574.86521="",881.9413=""),"-",(574.86521-881.9413)/1581380.128*100)</f>
        <v>-1.941823376700481E-2</v>
      </c>
    </row>
    <row r="76" spans="1:7" s="9" customFormat="1" x14ac:dyDescent="0.25">
      <c r="A76" s="48" t="s">
        <v>110</v>
      </c>
      <c r="B76" s="49">
        <f>IF(557.97836="","-",557.97836)</f>
        <v>557.97835999999995</v>
      </c>
      <c r="C76" s="49">
        <f>IF(OR(962.50047="",557.97836=""),"-",557.97836/962.50047*100)</f>
        <v>57.971749354054857</v>
      </c>
      <c r="D76" s="49">
        <f>IF(962.50047="","-",962.50047/1581380.128*100)</f>
        <v>6.0864586126884723E-2</v>
      </c>
      <c r="E76" s="49">
        <f>IF(557.97836="","-",557.97836/1379394.59717*100)</f>
        <v>4.0450960236089233E-2</v>
      </c>
      <c r="F76" s="49">
        <f>IF(OR(1533630.30697="",545.57265="",962.50047=""),"-",(962.50047-545.57265)/1533630.30697*100)</f>
        <v>2.7185679502104137E-2</v>
      </c>
      <c r="G76" s="49">
        <f>IF(OR(1581380.128="",557.97836="",962.50047=""),"-",(557.97836-962.50047)/1581380.128*100)</f>
        <v>-2.5580320812024271E-2</v>
      </c>
    </row>
    <row r="77" spans="1:7" x14ac:dyDescent="0.25">
      <c r="A77" s="48" t="s">
        <v>39</v>
      </c>
      <c r="B77" s="49">
        <f>IF(543.73806="","-",543.73806)</f>
        <v>543.73806000000002</v>
      </c>
      <c r="C77" s="49">
        <f>IF(OR(624.43887="",543.73806=""),"-",543.73806/624.43887*100)</f>
        <v>87.076267369454442</v>
      </c>
      <c r="D77" s="49">
        <f>IF(624.43887="","-",624.43887/1581380.128*100)</f>
        <v>3.9486955662566665E-2</v>
      </c>
      <c r="E77" s="49">
        <f>IF(543.73806="","-",543.73806/1379394.59717*100)</f>
        <v>3.94186015456017E-2</v>
      </c>
      <c r="F77" s="49">
        <f>IF(OR(1533630.30697="",194.23366="",624.43887=""),"-",(624.43887-194.23366)/1533630.30697*100)</f>
        <v>2.8051428564290586E-2</v>
      </c>
      <c r="G77" s="49">
        <f>IF(OR(1581380.128="",543.73806="",624.43887=""),"-",(543.73806-624.43887)/1581380.128*100)</f>
        <v>-5.1031885737721832E-3</v>
      </c>
    </row>
    <row r="78" spans="1:7" x14ac:dyDescent="0.25">
      <c r="A78" s="48" t="s">
        <v>65</v>
      </c>
      <c r="B78" s="49">
        <f>IF(432.21897="","-",432.21897)</f>
        <v>432.21897000000001</v>
      </c>
      <c r="C78" s="49">
        <f>IF(OR(1042.87491="",432.21897=""),"-",432.21897/1042.87491*100)</f>
        <v>41.44494856051336</v>
      </c>
      <c r="D78" s="49">
        <f>IF(1042.87491="","-",1042.87491/1581380.128*100)</f>
        <v>6.5947136399073306E-2</v>
      </c>
      <c r="E78" s="49">
        <f>IF(432.21897="","-",432.21897/1379394.59717*100)</f>
        <v>3.1333961354260129E-2</v>
      </c>
      <c r="F78" s="49">
        <f>IF(OR(1533630.30697="",2412.19793="",1042.87491=""),"-",(1042.87491-2412.19793)/1533630.30697*100)</f>
        <v>-8.9286382368471653E-2</v>
      </c>
      <c r="G78" s="49">
        <f>IF(OR(1581380.128="",432.21897="",1042.87491=""),"-",(432.21897-1042.87491)/1581380.128*100)</f>
        <v>-3.8615379641345787E-2</v>
      </c>
    </row>
    <row r="79" spans="1:7" x14ac:dyDescent="0.25">
      <c r="A79" s="48" t="s">
        <v>76</v>
      </c>
      <c r="B79" s="49">
        <f>IF(395.70259="","-",395.70259)</f>
        <v>395.70258999999999</v>
      </c>
      <c r="C79" s="49">
        <f>IF(OR(1387.19517="",395.70259=""),"-",395.70259/1387.19517*100)</f>
        <v>28.525372532835448</v>
      </c>
      <c r="D79" s="49">
        <f>IF(1387.19517="","-",1387.19517/1581380.128*100)</f>
        <v>8.772053887855609E-2</v>
      </c>
      <c r="E79" s="49">
        <f>IF(395.70259="","-",395.70259/1379394.59717*100)</f>
        <v>2.8686685507673674E-2</v>
      </c>
      <c r="F79" s="49">
        <f>IF(OR(1533630.30697="",8518.92496="",1387.19517=""),"-",(1387.19517-8518.92496)/1533630.30697*100)</f>
        <v>-0.46502274750230971</v>
      </c>
      <c r="G79" s="49">
        <f>IF(OR(1581380.128="",395.70259="",1387.19517=""),"-",(395.70259-1387.19517)/1581380.128*100)</f>
        <v>-6.2697928375637202E-2</v>
      </c>
    </row>
    <row r="80" spans="1:7" x14ac:dyDescent="0.25">
      <c r="A80" s="48" t="s">
        <v>83</v>
      </c>
      <c r="B80" s="49">
        <f>IF(355.57937="","-",355.57937)</f>
        <v>355.57936999999998</v>
      </c>
      <c r="C80" s="49" t="s">
        <v>105</v>
      </c>
      <c r="D80" s="49">
        <f>IF(223.8653="","-",223.8653/1581380.128*100)</f>
        <v>1.4156324342024362E-2</v>
      </c>
      <c r="E80" s="49">
        <f>IF(355.57937="","-",355.57937/1379394.59717*100)</f>
        <v>2.5777929733052124E-2</v>
      </c>
      <c r="F80" s="49">
        <f>IF(OR(1533630.30697="",1015.42984="",223.8653=""),"-",(223.8653-1015.42984)/1533630.30697*100)</f>
        <v>-5.1613777870880596E-2</v>
      </c>
      <c r="G80" s="49">
        <f>IF(OR(1581380.128="",355.57937="",223.8653=""),"-",(355.57937-223.8653)/1581380.128*100)</f>
        <v>8.3290581225768379E-3</v>
      </c>
    </row>
    <row r="81" spans="1:7" x14ac:dyDescent="0.25">
      <c r="A81" s="48" t="s">
        <v>103</v>
      </c>
      <c r="B81" s="49">
        <f>IF(315.09482="","-",315.09482)</f>
        <v>315.09482000000003</v>
      </c>
      <c r="C81" s="49" t="s">
        <v>270</v>
      </c>
      <c r="D81" s="49">
        <f>IF(100.98459="","-",100.98459/1581380.128*100)</f>
        <v>6.385851713447104E-3</v>
      </c>
      <c r="E81" s="49">
        <f>IF(315.09482="","-",315.09482/1379394.59717*100)</f>
        <v>2.2842979133487713E-2</v>
      </c>
      <c r="F81" s="49">
        <f>IF(OR(1533630.30697="",93.57845="",100.98459=""),"-",(100.98459-93.57845)/1533630.30697*100)</f>
        <v>4.8291560008567743E-4</v>
      </c>
      <c r="G81" s="49">
        <f>IF(OR(1581380.128="",315.09482="",100.98459=""),"-",(315.09482-100.98459)/1581380.128*100)</f>
        <v>1.353945368409233E-2</v>
      </c>
    </row>
    <row r="82" spans="1:7" x14ac:dyDescent="0.25">
      <c r="A82" s="48" t="s">
        <v>37</v>
      </c>
      <c r="B82" s="49">
        <f>IF(308.19528="","-",308.19528)</f>
        <v>308.19528000000003</v>
      </c>
      <c r="C82" s="49" t="s">
        <v>104</v>
      </c>
      <c r="D82" s="49">
        <f>IF(179.27325="","-",179.27325/1581380.128*100)</f>
        <v>1.1336505804377983E-2</v>
      </c>
      <c r="E82" s="49">
        <f>IF(308.19528="","-",308.19528/1379394.59717*100)</f>
        <v>2.2342793036329203E-2</v>
      </c>
      <c r="F82" s="49">
        <f>IF(OR(1533630.30697="",203.31856="",179.27325=""),"-",(179.27325-203.31856)/1533630.30697*100)</f>
        <v>-1.5678687289054963E-3</v>
      </c>
      <c r="G82" s="49">
        <f>IF(OR(1581380.128="",308.19528="",179.27325=""),"-",(308.19528-179.27325)/1581380.128*100)</f>
        <v>8.1525009526362303E-3</v>
      </c>
    </row>
    <row r="83" spans="1:7" x14ac:dyDescent="0.25">
      <c r="A83" s="48" t="s">
        <v>72</v>
      </c>
      <c r="B83" s="49">
        <f>IF(301.53407="","-",301.53407)</f>
        <v>301.53406999999999</v>
      </c>
      <c r="C83" s="49">
        <f>IF(OR(544.95549="",301.53407=""),"-",301.53407/544.95549*100)</f>
        <v>55.331871232272555</v>
      </c>
      <c r="D83" s="49">
        <f>IF(544.95549="","-",544.95549/1581380.128*100)</f>
        <v>3.4460752373890971E-2</v>
      </c>
      <c r="E83" s="49">
        <f>IF(301.53407="","-",301.53407/1379394.59717*100)</f>
        <v>2.1859884808787474E-2</v>
      </c>
      <c r="F83" s="49">
        <f>IF(OR(1533630.30697="",1719.58758="",544.95549=""),"-",(544.95549-1719.58758)/1533630.30697*100)</f>
        <v>-7.6591606507876428E-2</v>
      </c>
      <c r="G83" s="49">
        <f>IF(OR(1581380.128="",301.53407="",544.95549=""),"-",(301.53407-544.95549)/1581380.128*100)</f>
        <v>-1.539297324469731E-2</v>
      </c>
    </row>
    <row r="84" spans="1:7" x14ac:dyDescent="0.25">
      <c r="A84" s="48" t="s">
        <v>142</v>
      </c>
      <c r="B84" s="49">
        <f>IF(290.33093="","-",290.33093)</f>
        <v>290.33093000000002</v>
      </c>
      <c r="C84" s="49" t="s">
        <v>285</v>
      </c>
      <c r="D84" s="49">
        <f>IF(40.49731="","-",40.49731/1581380.128*100)</f>
        <v>2.5608839571809767E-3</v>
      </c>
      <c r="E84" s="49">
        <f>IF(290.33093="","-",290.33093/1379394.59717*100)</f>
        <v>2.1047706769016648E-2</v>
      </c>
      <c r="F84" s="49">
        <f>IF(OR(1533630.30697="",77.69399="",40.49731=""),"-",(40.49731-77.69399)/1533630.30697*100)</f>
        <v>-2.4254006869158474E-3</v>
      </c>
      <c r="G84" s="49">
        <f>IF(OR(1581380.128="",290.33093="",40.49731=""),"-",(290.33093-40.49731)/1581380.128*100)</f>
        <v>1.5798454500371716E-2</v>
      </c>
    </row>
    <row r="85" spans="1:7" x14ac:dyDescent="0.25">
      <c r="A85" s="48" t="s">
        <v>87</v>
      </c>
      <c r="B85" s="49">
        <f>IF(287.84784="","-",287.84784)</f>
        <v>287.84784000000002</v>
      </c>
      <c r="C85" s="49" t="s">
        <v>146</v>
      </c>
      <c r="D85" s="49">
        <f>IF(117.03364="","-",117.03364/1581380.128*100)</f>
        <v>7.4007278786293188E-3</v>
      </c>
      <c r="E85" s="49">
        <f>IF(287.84784="","-",287.84784/1379394.59717*100)</f>
        <v>2.08676937397432E-2</v>
      </c>
      <c r="F85" s="49">
        <f>IF(OR(1533630.30697="",115.8512="",117.03364=""),"-",(117.03364-115.8512)/1533630.30697*100)</f>
        <v>7.7100719425410376E-5</v>
      </c>
      <c r="G85" s="49">
        <f>IF(OR(1581380.128="",287.84784="",117.03364=""),"-",(287.84784-117.03364)/1581380.128*100)</f>
        <v>1.0801590141140311E-2</v>
      </c>
    </row>
    <row r="86" spans="1:7" x14ac:dyDescent="0.25">
      <c r="A86" s="48" t="s">
        <v>92</v>
      </c>
      <c r="B86" s="49">
        <f>IF(278.35582="","-",278.35582)</f>
        <v>278.35581999999999</v>
      </c>
      <c r="C86" s="49">
        <f>IF(OR(1175.53676="",278.35582=""),"-",278.35582/1175.53676*100)</f>
        <v>23.679040032742151</v>
      </c>
      <c r="D86" s="49">
        <f>IF(1175.53676="","-",1175.53676/1581380.128*100)</f>
        <v>7.4336128245567526E-2</v>
      </c>
      <c r="E86" s="49">
        <f>IF(278.35582="","-",278.35582/1379394.59717*100)</f>
        <v>2.0179564322716767E-2</v>
      </c>
      <c r="F86" s="49">
        <f>IF(OR(1533630.30697="",30.51845="",1175.53676=""),"-",(1175.53676-30.51845)/1533630.30697*100)</f>
        <v>7.4660647014873974E-2</v>
      </c>
      <c r="G86" s="49">
        <f>IF(OR(1581380.128="",278.35582="",1175.53676=""),"-",(278.35582-1175.53676)/1581380.128*100)</f>
        <v>-5.673404667950905E-2</v>
      </c>
    </row>
    <row r="87" spans="1:7" x14ac:dyDescent="0.25">
      <c r="A87" s="48" t="s">
        <v>181</v>
      </c>
      <c r="B87" s="49">
        <f>IF(260.77227="","-",260.77227)</f>
        <v>260.77226999999999</v>
      </c>
      <c r="C87" s="49" t="s">
        <v>286</v>
      </c>
      <c r="D87" s="49">
        <f>IF(16.52035="","-",16.52035/1581380.128*100)</f>
        <v>1.0446792461527631E-3</v>
      </c>
      <c r="E87" s="49">
        <f>IF(260.77227="","-",260.77227/1379394.59717*100)</f>
        <v>1.8904834811953507E-2</v>
      </c>
      <c r="F87" s="49">
        <f>IF(OR(1533630.30697="",317.23657="",16.52035=""),"-",(16.52035-317.23657)/1533630.30697*100)</f>
        <v>-1.9608129718962471E-2</v>
      </c>
      <c r="G87" s="49">
        <f>IF(OR(1581380.128="",260.77227="",16.52035=""),"-",(260.77227-16.52035)/1581380.128*100)</f>
        <v>1.5445490661939062E-2</v>
      </c>
    </row>
    <row r="88" spans="1:7" x14ac:dyDescent="0.25">
      <c r="A88" s="48" t="s">
        <v>168</v>
      </c>
      <c r="B88" s="49">
        <f>IF(214.63237="","-",214.63237)</f>
        <v>214.63237000000001</v>
      </c>
      <c r="C88" s="49">
        <f>IF(OR(149.53541="",214.63237=""),"-",214.63237/149.53541*100)</f>
        <v>143.53280604239492</v>
      </c>
      <c r="D88" s="49">
        <f>IF(149.53541="","-",149.53541/1581380.128*100)</f>
        <v>9.4560066458606734E-3</v>
      </c>
      <c r="E88" s="49">
        <f>IF(214.63237="","-",214.63237/1379394.59717*100)</f>
        <v>1.5559896380654605E-2</v>
      </c>
      <c r="F88" s="49">
        <f>IF(OR(1533630.30697="",193.27301="",149.53541=""),"-",(149.53541-193.27301)/1533630.30697*100)</f>
        <v>-2.851899822351095E-3</v>
      </c>
      <c r="G88" s="49">
        <f>IF(OR(1581380.128="",214.63237="",149.53541=""),"-",(214.63237-149.53541)/1581380.128*100)</f>
        <v>4.1164650324984984E-3</v>
      </c>
    </row>
    <row r="89" spans="1:7" x14ac:dyDescent="0.25">
      <c r="A89" s="48" t="s">
        <v>64</v>
      </c>
      <c r="B89" s="49">
        <f>IF(193.44042="","-",193.44042)</f>
        <v>193.44041999999999</v>
      </c>
      <c r="C89" s="49">
        <f>IF(OR(1968.70341="",193.44042=""),"-",193.44042/1968.70341*100)</f>
        <v>9.8257776675461734</v>
      </c>
      <c r="D89" s="49">
        <f>IF(1968.70341="","-",1968.70341/1581380.128*100)</f>
        <v>0.12449273739703905</v>
      </c>
      <c r="E89" s="49">
        <f>IF(193.44042="","-",193.44042/1379394.59717*100)</f>
        <v>1.4023573848764317E-2</v>
      </c>
      <c r="F89" s="49">
        <f>IF(OR(1533630.30697="",491.5651="",1968.70341=""),"-",(1968.70341-491.5651)/1533630.30697*100)</f>
        <v>9.6316452751797052E-2</v>
      </c>
      <c r="G89" s="49">
        <f>IF(OR(1581380.128="",193.44042="",1968.70341=""),"-",(193.44042-1968.70341)/1581380.128*100)</f>
        <v>-0.1122603578081639</v>
      </c>
    </row>
    <row r="90" spans="1:7" x14ac:dyDescent="0.25">
      <c r="A90" s="48" t="s">
        <v>137</v>
      </c>
      <c r="B90" s="49">
        <f>IF(190.79586="","-",190.79586)</f>
        <v>190.79586</v>
      </c>
      <c r="C90" s="49">
        <f>IF(OR(264.90504="",190.79586=""),"-",190.79586/264.90504*100)</f>
        <v>72.024246877296122</v>
      </c>
      <c r="D90" s="49">
        <f>IF(264.90504="","-",264.90504/1581380.128*100)</f>
        <v>1.6751509349939169E-2</v>
      </c>
      <c r="E90" s="49">
        <f>IF(190.79586="","-",190.79586/1379394.59717*100)</f>
        <v>1.3831854959519307E-2</v>
      </c>
      <c r="F90" s="49">
        <f>IF(OR(1533630.30697="",294.76208="",264.90504=""),"-",(264.90504-294.76208)/1533630.30697*100)</f>
        <v>-1.9468212035395102E-3</v>
      </c>
      <c r="G90" s="49">
        <f>IF(OR(1581380.128="",190.79586="",264.90504=""),"-",(190.79586-264.90504)/1581380.128*100)</f>
        <v>-4.6863609000656406E-3</v>
      </c>
    </row>
    <row r="91" spans="1:7" x14ac:dyDescent="0.25">
      <c r="A91" s="48" t="s">
        <v>177</v>
      </c>
      <c r="B91" s="49">
        <f>IF(184.41676="","-",184.41676)</f>
        <v>184.41676000000001</v>
      </c>
      <c r="C91" s="49" t="str">
        <f>IF(OR(""="",184.41676=""),"-",184.41676/""*100)</f>
        <v>-</v>
      </c>
      <c r="D91" s="49" t="str">
        <f>IF(""="","-",""/1581380.128*100)</f>
        <v>-</v>
      </c>
      <c r="E91" s="49">
        <f>IF(184.41676="","-",184.41676/1379394.59717*100)</f>
        <v>1.3369398457725876E-2</v>
      </c>
      <c r="F91" s="49" t="str">
        <f>IF(OR(1533630.30697="",""="",""=""),"-",(""-"")/1533630.30697*100)</f>
        <v>-</v>
      </c>
      <c r="G91" s="49" t="str">
        <f>IF(OR(1581380.128="",184.41676="",""=""),"-",(184.41676-"")/1581380.128*100)</f>
        <v>-</v>
      </c>
    </row>
    <row r="92" spans="1:7" x14ac:dyDescent="0.25">
      <c r="A92" s="48" t="s">
        <v>97</v>
      </c>
      <c r="B92" s="49">
        <f>IF(183.36195="","-",183.36195)</f>
        <v>183.36195000000001</v>
      </c>
      <c r="C92" s="49">
        <f>IF(OR(335.15055="",183.36195=""),"-",183.36195/335.15055*100)</f>
        <v>54.710323465081586</v>
      </c>
      <c r="D92" s="49">
        <f>IF(335.15055="","-",335.15055/1581380.128*100)</f>
        <v>2.1193547589590047E-2</v>
      </c>
      <c r="E92" s="49">
        <f>IF(183.36195="","-",183.36195/1379394.59717*100)</f>
        <v>1.3292929403681144E-2</v>
      </c>
      <c r="F92" s="49">
        <f>IF(OR(1533630.30697="",323.36257="",335.15055=""),"-",(335.15055-323.36257)/1533630.30697*100)</f>
        <v>7.6863243680216301E-4</v>
      </c>
      <c r="G92" s="49">
        <f>IF(OR(1581380.128="",183.36195="",335.15055=""),"-",(183.36195-335.15055)/1581380.128*100)</f>
        <v>-9.5984891495993294E-3</v>
      </c>
    </row>
    <row r="93" spans="1:7" x14ac:dyDescent="0.25">
      <c r="A93" s="48" t="s">
        <v>176</v>
      </c>
      <c r="B93" s="49">
        <f>IF(179.7168="","-",179.7168)</f>
        <v>179.71680000000001</v>
      </c>
      <c r="C93" s="49" t="s">
        <v>146</v>
      </c>
      <c r="D93" s="49">
        <f>IF(71.9935="","-",71.9935/1581380.128*100)</f>
        <v>4.5525739653154412E-3</v>
      </c>
      <c r="E93" s="49">
        <f>IF(179.7168="","-",179.7168/1379394.59717*100)</f>
        <v>1.3028672170292056E-2</v>
      </c>
      <c r="F93" s="49">
        <f>IF(OR(1533630.30697="",65.856="",71.9935=""),"-",(71.9935-65.856)/1533630.30697*100)</f>
        <v>4.0019423012876472E-4</v>
      </c>
      <c r="G93" s="49">
        <f>IF(OR(1581380.128="",179.7168="",71.9935=""),"-",(179.7168-71.9935)/1581380.128*100)</f>
        <v>6.811980123731516E-3</v>
      </c>
    </row>
    <row r="94" spans="1:7" x14ac:dyDescent="0.25">
      <c r="A94" s="48" t="s">
        <v>75</v>
      </c>
      <c r="B94" s="49">
        <f>IF(170.12161="","-",170.12161)</f>
        <v>170.12161</v>
      </c>
      <c r="C94" s="49">
        <f>IF(OR(485.06986="",170.12161=""),"-",170.12161/485.06986*100)</f>
        <v>35.071568866389683</v>
      </c>
      <c r="D94" s="49">
        <f>IF(485.06986="","-",485.06986/1581380.128*100)</f>
        <v>3.0673830498520085E-2</v>
      </c>
      <c r="E94" s="49">
        <f>IF(170.12161="","-",170.12161/1379394.59717*100)</f>
        <v>1.2333063385127482E-2</v>
      </c>
      <c r="F94" s="49">
        <f>IF(OR(1533630.30697="",309.72906="",485.06986=""),"-",(485.06986-309.72906)/1533630.30697*100)</f>
        <v>1.1433055228702515E-2</v>
      </c>
      <c r="G94" s="49">
        <f>IF(OR(1581380.128="",170.12161="",485.06986=""),"-",(170.12161-485.06986)/1581380.128*100)</f>
        <v>-1.9916036911271976E-2</v>
      </c>
    </row>
    <row r="95" spans="1:7" x14ac:dyDescent="0.25">
      <c r="A95" s="48" t="s">
        <v>182</v>
      </c>
      <c r="B95" s="49">
        <f>IF(157.38954="","-",157.38954)</f>
        <v>157.38954000000001</v>
      </c>
      <c r="C95" s="49">
        <f>IF(OR(457.76888="",157.38954=""),"-",157.38954/457.76888*100)</f>
        <v>34.381878471074749</v>
      </c>
      <c r="D95" s="49">
        <f>IF(457.76888="","-",457.76888/1581380.128*100)</f>
        <v>2.8947428382001268E-2</v>
      </c>
      <c r="E95" s="49">
        <f>IF(157.38954="","-",157.38954/1379394.59717*100)</f>
        <v>1.1410044690830621E-2</v>
      </c>
      <c r="F95" s="49">
        <f>IF(OR(1533630.30697="",452.00756="",457.76888=""),"-",(457.76888-452.00756)/1533630.30697*100)</f>
        <v>3.7566550255404619E-4</v>
      </c>
      <c r="G95" s="49">
        <f>IF(OR(1581380.128="",157.38954="",457.76888=""),"-",(157.38954-457.76888)/1581380.128*100)</f>
        <v>-1.8994758735200193E-2</v>
      </c>
    </row>
    <row r="96" spans="1:7" x14ac:dyDescent="0.25">
      <c r="A96" s="48" t="s">
        <v>84</v>
      </c>
      <c r="B96" s="49">
        <f>IF(146.38074="","-",146.38074)</f>
        <v>146.38074</v>
      </c>
      <c r="C96" s="49">
        <f>IF(OR(660.6675="",146.38074=""),"-",146.38074/660.6675*100)</f>
        <v>22.156491729954933</v>
      </c>
      <c r="D96" s="49">
        <f>IF(660.6675="","-",660.6675/1581380.128*100)</f>
        <v>4.1777905786356262E-2</v>
      </c>
      <c r="E96" s="49">
        <f>IF(146.38074="","-",146.38074/1379394.59717*100)</f>
        <v>1.0611955440475E-2</v>
      </c>
      <c r="F96" s="49">
        <f>IF(OR(1533630.30697="",0.19008="",660.6675=""),"-",(660.6675-0.19008)/1533630.30697*100)</f>
        <v>4.3066273338384142E-2</v>
      </c>
      <c r="G96" s="49">
        <f>IF(OR(1581380.128="",146.38074="",660.6675=""),"-",(146.38074-660.6675)/1581380.128*100)</f>
        <v>-3.2521387545853868E-2</v>
      </c>
    </row>
    <row r="97" spans="1:7" x14ac:dyDescent="0.25">
      <c r="A97" s="48" t="s">
        <v>79</v>
      </c>
      <c r="B97" s="49">
        <f>IF(141.4942="","-",141.4942)</f>
        <v>141.49420000000001</v>
      </c>
      <c r="C97" s="49" t="s">
        <v>104</v>
      </c>
      <c r="D97" s="49">
        <f>IF(83.59686="","-",83.59686/1581380.128*100)</f>
        <v>5.2863229099588136E-3</v>
      </c>
      <c r="E97" s="49">
        <f>IF(141.4942="","-",141.4942/1379394.59717*100)</f>
        <v>1.025770292926281E-2</v>
      </c>
      <c r="F97" s="49">
        <f>IF(OR(1533630.30697="",285.83499="",83.59686=""),"-",(83.59686-285.83499)/1533630.30697*100)</f>
        <v>-1.3186889244485705E-2</v>
      </c>
      <c r="G97" s="49">
        <f>IF(OR(1581380.128="",141.4942="",83.59686=""),"-",(141.4942-83.59686)/1581380.128*100)</f>
        <v>3.6611905622732093E-3</v>
      </c>
    </row>
    <row r="98" spans="1:7" x14ac:dyDescent="0.25">
      <c r="A98" s="48" t="s">
        <v>102</v>
      </c>
      <c r="B98" s="49">
        <f>IF(125.53353="","-",125.53353)</f>
        <v>125.53353</v>
      </c>
      <c r="C98" s="49">
        <f>IF(OR(341.46998="",125.53353=""),"-",125.53353/341.46998*100)</f>
        <v>36.762684087192667</v>
      </c>
      <c r="D98" s="49">
        <f>IF(341.46998="","-",341.46998/1581380.128*100)</f>
        <v>2.1593162450565462E-2</v>
      </c>
      <c r="E98" s="49">
        <f>IF(125.53353="","-",125.53353/1379394.59717*100)</f>
        <v>9.1006250319921288E-3</v>
      </c>
      <c r="F98" s="49">
        <f>IF(OR(1533630.30697="",275.52119="",341.46998=""),"-",(341.46998-275.52119)/1533630.30697*100)</f>
        <v>4.3001751921749216E-3</v>
      </c>
      <c r="G98" s="49">
        <f>IF(OR(1581380.128="",125.53353="",341.46998=""),"-",(125.53353-341.46998)/1581380.128*100)</f>
        <v>-1.365493635442977E-2</v>
      </c>
    </row>
    <row r="99" spans="1:7" x14ac:dyDescent="0.25">
      <c r="A99" s="48" t="s">
        <v>108</v>
      </c>
      <c r="B99" s="49">
        <f>IF(100.41322="","-",100.41322)</f>
        <v>100.41322</v>
      </c>
      <c r="C99" s="49">
        <f>IF(OR(251.15687="",100.41322=""),"-",100.41322/251.15687*100)</f>
        <v>39.980280053657303</v>
      </c>
      <c r="D99" s="49">
        <f>IF(251.15687="","-",251.15687/1581380.128*100)</f>
        <v>1.5882131408698215E-2</v>
      </c>
      <c r="E99" s="49">
        <f>IF(100.41322="","-",100.41322/1379394.59717*100)</f>
        <v>7.2795137958355238E-3</v>
      </c>
      <c r="F99" s="49">
        <f>IF(OR(1533630.30697="",259.06681="",251.15687=""),"-",(251.15687-259.06681)/1533630.30697*100)</f>
        <v>-5.1576575945657202E-4</v>
      </c>
      <c r="G99" s="49">
        <f>IF(OR(1581380.128="",100.41322="",251.15687=""),"-",(100.41322-251.15687)/1581380.128*100)</f>
        <v>-9.5324107930107992E-3</v>
      </c>
    </row>
    <row r="100" spans="1:7" x14ac:dyDescent="0.25">
      <c r="A100" s="48" t="s">
        <v>91</v>
      </c>
      <c r="B100" s="49">
        <f>IF(96.88797="","-",96.88797)</f>
        <v>96.887969999999996</v>
      </c>
      <c r="C100" s="49">
        <f>IF(OR(67.088="",96.88797=""),"-",96.88797/67.088*100)</f>
        <v>144.41922549487239</v>
      </c>
      <c r="D100" s="49">
        <f>IF(67.088="","-",67.088/1581380.128*100)</f>
        <v>4.2423702443287565E-3</v>
      </c>
      <c r="E100" s="49">
        <f>IF(96.88797="","-",96.88797/1379394.59717*100)</f>
        <v>7.023948781500069E-3</v>
      </c>
      <c r="F100" s="49">
        <f>IF(OR(1533630.30697="",89.93647="",67.088=""),"-",(67.088-89.93647)/1533630.30697*100)</f>
        <v>-1.4898290608994175E-3</v>
      </c>
      <c r="G100" s="49">
        <f>IF(OR(1581380.128="",96.88797="",67.088=""),"-",(96.88797-67.088)/1581380.128*100)</f>
        <v>1.8844280051557598E-3</v>
      </c>
    </row>
    <row r="101" spans="1:7" x14ac:dyDescent="0.25">
      <c r="A101" s="48" t="s">
        <v>167</v>
      </c>
      <c r="B101" s="49">
        <f>IF(87.612="","-",87.612)</f>
        <v>87.611999999999995</v>
      </c>
      <c r="C101" s="49" t="s">
        <v>287</v>
      </c>
      <c r="D101" s="49">
        <f>IF(23.32711="","-",23.32711/1581380.128*100)</f>
        <v>1.4751108596199585E-3</v>
      </c>
      <c r="E101" s="49">
        <f>IF(87.612="","-",87.612/1379394.59717*100)</f>
        <v>6.3514820327516828E-3</v>
      </c>
      <c r="F101" s="49">
        <f>IF(OR(1533630.30697="",55.11432="",23.32711=""),"-",(23.32711-55.11432)/1533630.30697*100)</f>
        <v>-2.0726774800637663E-3</v>
      </c>
      <c r="G101" s="49">
        <f>IF(OR(1581380.128="",87.612="",23.32711=""),"-",(87.612-23.32711)/1581380.128*100)</f>
        <v>4.0651130529445979E-3</v>
      </c>
    </row>
    <row r="102" spans="1:7" x14ac:dyDescent="0.25">
      <c r="A102" s="48" t="s">
        <v>132</v>
      </c>
      <c r="B102" s="49">
        <f>IF(84.02928="","-",84.02928)</f>
        <v>84.02928</v>
      </c>
      <c r="C102" s="49">
        <f>IF(OR(2995.41757="",84.02928=""),"-",84.02928/2995.41757*100)</f>
        <v>2.8052609706766192</v>
      </c>
      <c r="D102" s="49">
        <f>IF(2995.41757="","-",2995.41757/1581380.128*100)</f>
        <v>0.18941793418059191</v>
      </c>
      <c r="E102" s="49">
        <f>IF(84.02928="","-",84.02928/1379394.59717*100)</f>
        <v>6.0917506979073681E-3</v>
      </c>
      <c r="F102" s="49">
        <f>IF(OR(1533630.30697="",51.19136="",2995.41757=""),"-",(2995.41757-51.19136)/1533630.30697*100)</f>
        <v>0.19197757090604975</v>
      </c>
      <c r="G102" s="49">
        <f>IF(OR(1581380.128="",84.02928="",2995.41757=""),"-",(84.02928-2995.41757)/1581380.128*100)</f>
        <v>-0.18410426680156183</v>
      </c>
    </row>
    <row r="103" spans="1:7" x14ac:dyDescent="0.25">
      <c r="A103" s="48" t="s">
        <v>99</v>
      </c>
      <c r="B103" s="49">
        <f>IF(74.83124="","-",74.83124)</f>
        <v>74.831239999999994</v>
      </c>
      <c r="C103" s="49" t="s">
        <v>278</v>
      </c>
      <c r="D103" s="49">
        <f>IF(30.70499="","-",30.70499/1581380.128*100)</f>
        <v>1.9416577618711543E-3</v>
      </c>
      <c r="E103" s="49">
        <f>IF(74.83124="","-",74.83124/1379394.59717*100)</f>
        <v>5.4249335290659844E-3</v>
      </c>
      <c r="F103" s="49">
        <f>IF(OR(1533630.30697="",52.20424="",30.70499=""),"-",(30.70499-52.20424)/1533630.30697*100)</f>
        <v>-1.4018534911765118E-3</v>
      </c>
      <c r="G103" s="49">
        <f>IF(OR(1581380.128="",74.83124="",30.70499=""),"-",(74.83124-30.70499)/1581380.128*100)</f>
        <v>2.7903632541410057E-3</v>
      </c>
    </row>
    <row r="104" spans="1:7" x14ac:dyDescent="0.25">
      <c r="A104" s="48" t="s">
        <v>74</v>
      </c>
      <c r="B104" s="49">
        <f>IF(70.05237="","-",70.05237)</f>
        <v>70.052369999999996</v>
      </c>
      <c r="C104" s="49" t="str">
        <f>IF(OR(""="",70.05237=""),"-",70.05237/""*100)</f>
        <v>-</v>
      </c>
      <c r="D104" s="49" t="str">
        <f>IF(""="","-",""/1581380.128*100)</f>
        <v>-</v>
      </c>
      <c r="E104" s="49">
        <f>IF(70.05237="","-",70.05237/1379394.59717*100)</f>
        <v>5.0784866160648425E-3</v>
      </c>
      <c r="F104" s="49" t="str">
        <f>IF(OR(1533630.30697="",188.42651="",""=""),"-",(""-188.42651)/1533630.30697*100)</f>
        <v>-</v>
      </c>
      <c r="G104" s="49" t="str">
        <f>IF(OR(1581380.128="",70.05237="",""=""),"-",(70.05237-"")/1581380.128*100)</f>
        <v>-</v>
      </c>
    </row>
    <row r="105" spans="1:7" x14ac:dyDescent="0.25">
      <c r="A105" s="48" t="s">
        <v>145</v>
      </c>
      <c r="B105" s="49">
        <f>IF(63.79511="","-",63.79511)</f>
        <v>63.795110000000001</v>
      </c>
      <c r="C105" s="49">
        <f>IF(OR(114.17814="",63.79511=""),"-",63.79511/114.17814*100)</f>
        <v>55.873313403073475</v>
      </c>
      <c r="D105" s="49">
        <f>IF(114.17814="","-",114.17814/1581380.128*100)</f>
        <v>7.2201577582995911E-3</v>
      </c>
      <c r="E105" s="49">
        <f>IF(63.79511="","-",63.79511/1379394.59717*100)</f>
        <v>4.6248629747342512E-3</v>
      </c>
      <c r="F105" s="49">
        <f>IF(OR(1533630.30697="",392.84264="",114.17814=""),"-",(114.17814-392.84264)/1533630.30697*100)</f>
        <v>-1.8170252552621932E-2</v>
      </c>
      <c r="G105" s="49">
        <f>IF(OR(1581380.128="",63.79511="",114.17814=""),"-",(63.79511-114.17814)/1581380.128*100)</f>
        <v>-3.186016385808536E-3</v>
      </c>
    </row>
    <row r="106" spans="1:7" x14ac:dyDescent="0.25">
      <c r="A106" s="48" t="s">
        <v>183</v>
      </c>
      <c r="B106" s="49">
        <f>IF(62.42252="","-",62.42252)</f>
        <v>62.422519999999999</v>
      </c>
      <c r="C106" s="49">
        <f>IF(OR(278.85084="",62.42252=""),"-",62.42252/278.85084*100)</f>
        <v>22.385630970306561</v>
      </c>
      <c r="D106" s="49">
        <f>IF(278.85084="","-",278.85084/1581380.128*100)</f>
        <v>1.7633384602642483E-2</v>
      </c>
      <c r="E106" s="49">
        <f>IF(62.42252="","-",62.42252/1379394.59717*100)</f>
        <v>4.5253562778966644E-3</v>
      </c>
      <c r="F106" s="49">
        <f>IF(OR(1533630.30697="",30.13138="",278.85084=""),"-",(278.85084-30.13138)/1533630.30697*100)</f>
        <v>1.6217693329978335E-2</v>
      </c>
      <c r="G106" s="49">
        <f>IF(OR(1581380.128="",62.42252="",278.85084=""),"-",(62.42252-278.85084)/1581380.128*100)</f>
        <v>-1.3686040197920081E-2</v>
      </c>
    </row>
    <row r="107" spans="1:7" x14ac:dyDescent="0.25">
      <c r="A107" s="48" t="s">
        <v>144</v>
      </c>
      <c r="B107" s="49">
        <f>IF(56.82725="","-",56.82725)</f>
        <v>56.827249999999999</v>
      </c>
      <c r="C107" s="49" t="str">
        <f>IF(OR(""="",56.82725=""),"-",56.82725/""*100)</f>
        <v>-</v>
      </c>
      <c r="D107" s="49" t="str">
        <f>IF(""="","-",""/1581380.128*100)</f>
        <v>-</v>
      </c>
      <c r="E107" s="49">
        <f>IF(56.82725="","-",56.82725/1379394.59717*100)</f>
        <v>4.1197239801133182E-3</v>
      </c>
      <c r="F107" s="49" t="str">
        <f>IF(OR(1533630.30697="",""="",""=""),"-",(""-"")/1533630.30697*100)</f>
        <v>-</v>
      </c>
      <c r="G107" s="49" t="str">
        <f>IF(OR(1581380.128="",56.82725="",""=""),"-",(56.82725-"")/1581380.128*100)</f>
        <v>-</v>
      </c>
    </row>
    <row r="108" spans="1:7" x14ac:dyDescent="0.25">
      <c r="A108" s="51" t="s">
        <v>95</v>
      </c>
      <c r="B108" s="52">
        <f>IF(50.36465="","-",50.36465)</f>
        <v>50.364649999999997</v>
      </c>
      <c r="C108" s="52">
        <f>IF(OR(81.87974="",50.36465=""),"-",50.36465/81.87974*100)</f>
        <v>61.51051529963334</v>
      </c>
      <c r="D108" s="52">
        <f>IF(81.87974="","-",81.87974/1581380.128*100)</f>
        <v>5.177739276612435E-3</v>
      </c>
      <c r="E108" s="52">
        <f>IF(50.36465="","-",50.36465/1379394.59717*100)</f>
        <v>3.6512140980781973E-3</v>
      </c>
      <c r="F108" s="52">
        <f>IF(OR(1533630.30697="",23.65="",81.87974=""),"-",(81.87974-23.65)/1533630.30697*100)</f>
        <v>3.796856369840835E-3</v>
      </c>
      <c r="G108" s="52">
        <f>IF(OR(1581380.128="",50.36465="",81.87974=""),"-",(50.36465-81.87974)/1581380.128*100)</f>
        <v>-1.9928851666966185E-3</v>
      </c>
    </row>
    <row r="109" spans="1:7" x14ac:dyDescent="0.25">
      <c r="A109" s="53" t="s">
        <v>154</v>
      </c>
      <c r="B109" s="54">
        <f>IF(50.18097="","-",50.18097)</f>
        <v>50.180970000000002</v>
      </c>
      <c r="C109" s="54">
        <f>IF(OR(43.23246="",50.18097=""),"-",50.18097/43.23246*100)</f>
        <v>116.07243723813079</v>
      </c>
      <c r="D109" s="54">
        <f>IF(43.23246="","-",43.23246/1581380.128*100)</f>
        <v>2.7338436366136001E-3</v>
      </c>
      <c r="E109" s="54">
        <f>IF(50.18097="","-",50.18097/1379394.59717*100)</f>
        <v>3.6378981114579189E-3</v>
      </c>
      <c r="F109" s="54">
        <f>IF(OR(1533630.30697="",134.90109="",43.23246=""),"-",(43.23246-134.90109)/1533630.30697*100)</f>
        <v>-5.9772312521073033E-3</v>
      </c>
      <c r="G109" s="54">
        <f>IF(OR(1581380.128="",50.18097="",43.23246=""),"-",(50.18097-43.23246)/1581380.128*100)</f>
        <v>4.3939530268335324E-4</v>
      </c>
    </row>
    <row r="110" spans="1:7" x14ac:dyDescent="0.25">
      <c r="A110" s="44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8"/>
  <sheetViews>
    <sheetView zoomScaleNormal="100" workbookViewId="0">
      <selection activeCell="B66" sqref="B66"/>
    </sheetView>
  </sheetViews>
  <sheetFormatPr defaultRowHeight="15.75" x14ac:dyDescent="0.25"/>
  <cols>
    <col min="1" max="1" width="27.12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4" t="s">
        <v>160</v>
      </c>
      <c r="B1" s="94"/>
      <c r="C1" s="94"/>
      <c r="D1" s="94"/>
      <c r="E1" s="94"/>
      <c r="F1" s="94"/>
      <c r="G1" s="94"/>
    </row>
    <row r="2" spans="1:7" x14ac:dyDescent="0.25">
      <c r="A2" s="2"/>
    </row>
    <row r="3" spans="1:7" ht="55.5" customHeight="1" x14ac:dyDescent="0.25">
      <c r="A3" s="82"/>
      <c r="B3" s="85" t="s">
        <v>271</v>
      </c>
      <c r="C3" s="86"/>
      <c r="D3" s="85" t="s">
        <v>109</v>
      </c>
      <c r="E3" s="86"/>
      <c r="F3" s="87" t="s">
        <v>121</v>
      </c>
      <c r="G3" s="88"/>
    </row>
    <row r="4" spans="1:7" ht="25.5" customHeight="1" x14ac:dyDescent="0.25">
      <c r="A4" s="83"/>
      <c r="B4" s="89" t="s">
        <v>100</v>
      </c>
      <c r="C4" s="91" t="s">
        <v>274</v>
      </c>
      <c r="D4" s="93" t="s">
        <v>273</v>
      </c>
      <c r="E4" s="93"/>
      <c r="F4" s="93" t="s">
        <v>273</v>
      </c>
      <c r="G4" s="85"/>
    </row>
    <row r="5" spans="1:7" ht="26.25" customHeight="1" x14ac:dyDescent="0.25">
      <c r="A5" s="84"/>
      <c r="B5" s="90"/>
      <c r="C5" s="92"/>
      <c r="D5" s="28">
        <v>2019</v>
      </c>
      <c r="E5" s="28">
        <v>2020</v>
      </c>
      <c r="F5" s="28" t="s">
        <v>122</v>
      </c>
      <c r="G5" s="27" t="s">
        <v>141</v>
      </c>
    </row>
    <row r="6" spans="1:7" s="3" customFormat="1" ht="15" x14ac:dyDescent="0.25">
      <c r="A6" s="50" t="s">
        <v>133</v>
      </c>
      <c r="B6" s="46">
        <f>IF(2889645.06346="","-",2889645.06346)</f>
        <v>2889645.0634599999</v>
      </c>
      <c r="C6" s="46">
        <f>IF(3307388.5187="","-",2889645.06346/3307388.5187*100)</f>
        <v>87.369386666305587</v>
      </c>
      <c r="D6" s="46">
        <v>100</v>
      </c>
      <c r="E6" s="46">
        <v>100</v>
      </c>
      <c r="F6" s="46">
        <f>IF(3222930.24801="","-",(3307388.5187-3222930.24801)/3222930.24801*100)</f>
        <v>2.6205429280434624</v>
      </c>
      <c r="G6" s="46">
        <f>IF(3307388.5187="","-",(2889645.06346-3307388.5187)/3307388.5187*100)</f>
        <v>-12.630613333694404</v>
      </c>
    </row>
    <row r="7" spans="1:7" s="3" customFormat="1" ht="15" x14ac:dyDescent="0.25">
      <c r="A7" s="36" t="s">
        <v>138</v>
      </c>
      <c r="B7" s="34"/>
      <c r="C7" s="34"/>
      <c r="D7" s="34"/>
      <c r="E7" s="34"/>
      <c r="F7" s="34"/>
      <c r="G7" s="34"/>
    </row>
    <row r="8" spans="1:7" ht="12.75" customHeight="1" x14ac:dyDescent="0.25">
      <c r="A8" s="37" t="s">
        <v>169</v>
      </c>
      <c r="B8" s="47">
        <f>IF(1326325.27744="","-",1326325.27744)</f>
        <v>1326325.2774400001</v>
      </c>
      <c r="C8" s="47">
        <f>IF(1628703.50712="","-",1326325.27744/1628703.50712*100)</f>
        <v>81.434421405852532</v>
      </c>
      <c r="D8" s="47">
        <f>IF(1628703.50712="","-",1628703.50712/3307388.5187*100)</f>
        <v>49.244396233200241</v>
      </c>
      <c r="E8" s="47">
        <f>IF(1326325.27744="","-",1326325.27744/2889645.06346*100)</f>
        <v>45.899245350634388</v>
      </c>
      <c r="F8" s="47">
        <f>IF(3222930.24801="","-",(1628703.50712-1612021.23808)/3222930.24801*100)</f>
        <v>0.51761185493543971</v>
      </c>
      <c r="G8" s="47">
        <f>IF(3307388.5187="","-",(1326325.27744-1628703.50712)/3307388.5187*100)</f>
        <v>-9.1425070858881874</v>
      </c>
    </row>
    <row r="9" spans="1:7" x14ac:dyDescent="0.25">
      <c r="A9" s="48" t="s">
        <v>2</v>
      </c>
      <c r="B9" s="49">
        <f>IF(348729.71667="","-",348729.71667)</f>
        <v>348729.71666999999</v>
      </c>
      <c r="C9" s="49">
        <f>IF(OR(472823.15808="",348729.71667=""),"-",348729.71667/472823.15808*100)</f>
        <v>73.754787748995184</v>
      </c>
      <c r="D9" s="49">
        <f>IF(472823.15808="","-",472823.15808/3307388.5187*100)</f>
        <v>14.295966603459323</v>
      </c>
      <c r="E9" s="49">
        <f>IF(348729.71667="","-",348729.71667/2889645.06346*100)</f>
        <v>12.068254370744011</v>
      </c>
      <c r="F9" s="49">
        <f>IF(OR(3222930.24801="",460463.96523="",472823.15808=""),"-",(472823.15808-460463.96523)/3222930.24801*100)</f>
        <v>0.38347689521457184</v>
      </c>
      <c r="G9" s="49">
        <f>IF(OR(3307388.5187="",348729.71667="",472823.15808=""),"-",(348729.71667-472823.15808)/3307388.5187*100)</f>
        <v>-3.7520067784106632</v>
      </c>
    </row>
    <row r="10" spans="1:7" s="9" customFormat="1" x14ac:dyDescent="0.25">
      <c r="A10" s="48" t="s">
        <v>4</v>
      </c>
      <c r="B10" s="49">
        <f>IF(236832.14775="","-",236832.14775)</f>
        <v>236832.14775</v>
      </c>
      <c r="C10" s="49">
        <f>IF(OR(280172.29513="",236832.14775=""),"-",236832.14775/280172.29513*100)</f>
        <v>84.53089469110779</v>
      </c>
      <c r="D10" s="49">
        <f>IF(280172.29513="","-",280172.29513/3307388.5187*100)</f>
        <v>8.4711032146935157</v>
      </c>
      <c r="E10" s="49">
        <f>IF(236832.14775="","-",236832.14775/2889645.06346*100)</f>
        <v>8.1958905868675167</v>
      </c>
      <c r="F10" s="49">
        <f>IF(OR(3222930.24801="",275469.41895="",280172.29513=""),"-",(280172.29513-275469.41895)/3222930.24801*100)</f>
        <v>0.14591926657127488</v>
      </c>
      <c r="G10" s="49">
        <f>IF(OR(3307388.5187="",236832.14775="",280172.29513=""),"-",(236832.14775-280172.29513)/3307388.5187*100)</f>
        <v>-1.3104038771058935</v>
      </c>
    </row>
    <row r="11" spans="1:7" s="9" customFormat="1" x14ac:dyDescent="0.25">
      <c r="A11" s="48" t="s">
        <v>3</v>
      </c>
      <c r="B11" s="49">
        <f>IF(192775.66976="","-",192775.66976)</f>
        <v>192775.66975999999</v>
      </c>
      <c r="C11" s="49">
        <f>IF(OR(240325.54035="",192775.66976=""),"-",192775.66976/240325.54035*100)</f>
        <v>80.214391478845585</v>
      </c>
      <c r="D11" s="49">
        <f>IF(240325.54035="","-",240325.54035/3307388.5187*100)</f>
        <v>7.2663232333062044</v>
      </c>
      <c r="E11" s="49">
        <f>IF(192775.66976="","-",192775.66976/2889645.06346*100)</f>
        <v>6.6712577332654996</v>
      </c>
      <c r="F11" s="49">
        <f>IF(OR(3222930.24801="",237172.23059="",240325.54035=""),"-",(240325.54035-237172.23059)/3222930.24801*100)</f>
        <v>9.7839838822047609E-2</v>
      </c>
      <c r="G11" s="49">
        <f>IF(OR(3307388.5187="",192775.66976="",240325.54035=""),"-",(192775.66976-240325.54035)/3307388.5187*100)</f>
        <v>-1.4376862688236558</v>
      </c>
    </row>
    <row r="12" spans="1:7" s="9" customFormat="1" x14ac:dyDescent="0.25">
      <c r="A12" s="48" t="s">
        <v>5</v>
      </c>
      <c r="B12" s="49">
        <f>IF(111774.82359="","-",111774.82359)</f>
        <v>111774.82359</v>
      </c>
      <c r="C12" s="49">
        <f>IF(OR(110324.17455="",111774.82359=""),"-",111774.82359/110324.17455*100)</f>
        <v>101.31489679928904</v>
      </c>
      <c r="D12" s="49">
        <f>IF(110324.17455="","-",110324.17455/3307388.5187*100)</f>
        <v>3.3356883815199292</v>
      </c>
      <c r="E12" s="49">
        <f>IF(111774.82359="","-",111774.82359/2889645.06346*100)</f>
        <v>3.8681160189328998</v>
      </c>
      <c r="F12" s="49">
        <f>IF(OR(3222930.24801="",113785.87585="",110324.17455=""),"-",(110324.17455-113785.87585)/3222930.24801*100)</f>
        <v>-0.10740850820887078</v>
      </c>
      <c r="G12" s="49">
        <f>IF(OR(3307388.5187="",111774.82359="",110324.17455=""),"-",(111774.82359-110324.17455)/3307388.5187*100)</f>
        <v>4.3860859762861942E-2</v>
      </c>
    </row>
    <row r="13" spans="1:7" s="9" customFormat="1" x14ac:dyDescent="0.25">
      <c r="A13" s="48" t="s">
        <v>125</v>
      </c>
      <c r="B13" s="49">
        <f>IF(73753.69253="","-",73753.69253)</f>
        <v>73753.69253</v>
      </c>
      <c r="C13" s="49">
        <f>IF(OR(87945.61816="",73753.69253=""),"-",73753.69253/87945.61816*100)</f>
        <v>83.862839414943295</v>
      </c>
      <c r="D13" s="49">
        <f>IF(87945.61816="","-",87945.61816/3307388.5187*100)</f>
        <v>2.6590652311560858</v>
      </c>
      <c r="E13" s="49">
        <f>IF(73753.69253="","-",73753.69253/2889645.06346*100)</f>
        <v>2.5523443506133896</v>
      </c>
      <c r="F13" s="49">
        <f>IF(OR(3222930.24801="",87128.24414="",87945.61816=""),"-",(87945.61816-87128.24414)/3222930.24801*100)</f>
        <v>2.5361207258664406E-2</v>
      </c>
      <c r="G13" s="49">
        <f>IF(OR(3307388.5187="",73753.69253="",87945.61816=""),"-",(73753.69253-87945.61816)/3307388.5187*100)</f>
        <v>-0.42909762641306703</v>
      </c>
    </row>
    <row r="14" spans="1:7" s="9" customFormat="1" x14ac:dyDescent="0.25">
      <c r="A14" s="48" t="s">
        <v>43</v>
      </c>
      <c r="B14" s="49">
        <f>IF(56887.05437="","-",56887.05437)</f>
        <v>56887.054369999998</v>
      </c>
      <c r="C14" s="49">
        <f>IF(OR(66608.944="",56887.05437=""),"-",56887.05437/66608.944*100)</f>
        <v>85.404528211706818</v>
      </c>
      <c r="D14" s="49">
        <f>IF(66608.944="","-",66608.944/3307388.5187*100)</f>
        <v>2.013943739097857</v>
      </c>
      <c r="E14" s="49">
        <f>IF(56887.05437="","-",56887.05437/2889645.06346*100)</f>
        <v>1.9686519666150499</v>
      </c>
      <c r="F14" s="49">
        <f>IF(OR(3222930.24801="",69316.88068="",66608.944=""),"-",(66608.944-69316.88068)/3222930.24801*100)</f>
        <v>-8.4020952103199112E-2</v>
      </c>
      <c r="G14" s="49">
        <f>IF(OR(3307388.5187="",56887.05437="",66608.944=""),"-",(56887.05437-66608.944)/3307388.5187*100)</f>
        <v>-0.29394459027212461</v>
      </c>
    </row>
    <row r="15" spans="1:7" s="9" customFormat="1" x14ac:dyDescent="0.25">
      <c r="A15" s="48" t="s">
        <v>7</v>
      </c>
      <c r="B15" s="49">
        <f>IF(47012.80862="","-",47012.80862)</f>
        <v>47012.808620000003</v>
      </c>
      <c r="C15" s="49">
        <f>IF(OR(63369.1745="",47012.80862=""),"-",47012.80862/63369.1745*100)</f>
        <v>74.188766053753781</v>
      </c>
      <c r="D15" s="49">
        <f>IF(63369.1745="","-",63369.1745/3307388.5187*100)</f>
        <v>1.9159882227839338</v>
      </c>
      <c r="E15" s="49">
        <f>IF(47012.80862="","-",47012.80862/2889645.06346*100)</f>
        <v>1.6269405960781862</v>
      </c>
      <c r="F15" s="49">
        <f>IF(OR(3222930.24801="",47753.97366="",63369.1745=""),"-",(63369.1745-47753.97366)/3222930.24801*100)</f>
        <v>0.48450322031144211</v>
      </c>
      <c r="G15" s="49">
        <f>IF(OR(3307388.5187="",47012.80862="",63369.1745=""),"-",(47012.80862-63369.1745)/3307388.5187*100)</f>
        <v>-0.49454020256528614</v>
      </c>
    </row>
    <row r="16" spans="1:7" s="9" customFormat="1" x14ac:dyDescent="0.25">
      <c r="A16" s="48" t="s">
        <v>41</v>
      </c>
      <c r="B16" s="49">
        <f>IF(43001.21947="","-",43001.21947)</f>
        <v>43001.219469999996</v>
      </c>
      <c r="C16" s="49">
        <f>IF(OR(48854.50403="",43001.21947=""),"-",43001.21947/48854.50403*100)</f>
        <v>88.018945896153838</v>
      </c>
      <c r="D16" s="49">
        <f>IF(48854.50403="","-",48854.50403/3307388.5187*100)</f>
        <v>1.4771322979981414</v>
      </c>
      <c r="E16" s="49">
        <f>IF(43001.21947="","-",43001.21947/2889645.06346*100)</f>
        <v>1.488114232912441</v>
      </c>
      <c r="F16" s="49">
        <f>IF(OR(3222930.24801="",46031.96996="",48854.50403=""),"-",(48854.50403-46031.96996)/3222930.24801*100)</f>
        <v>8.7576641528086724E-2</v>
      </c>
      <c r="G16" s="49">
        <f>IF(OR(3307388.5187="",43001.21947="",48854.50403=""),"-",(43001.21947-48854.50403)/3307388.5187*100)</f>
        <v>-0.17697601980854336</v>
      </c>
    </row>
    <row r="17" spans="1:7" s="9" customFormat="1" x14ac:dyDescent="0.25">
      <c r="A17" s="48" t="s">
        <v>8</v>
      </c>
      <c r="B17" s="49">
        <f>IF(32360.90094="","-",32360.90094)</f>
        <v>32360.90094</v>
      </c>
      <c r="C17" s="49">
        <f>IF(OR(56179.28324="",32360.90094=""),"-",32360.90094/56179.28324*100)</f>
        <v>57.602908178363585</v>
      </c>
      <c r="D17" s="49">
        <f>IF(56179.28324="","-",56179.28324/3307388.5187*100)</f>
        <v>1.6985994515721965</v>
      </c>
      <c r="E17" s="49">
        <f>IF(32360.90094="","-",32360.90094/2889645.06346*100)</f>
        <v>1.1198918977700236</v>
      </c>
      <c r="F17" s="49">
        <f>IF(OR(3222930.24801="",64139.54587="",56179.28324=""),"-",(56179.28324-64139.54587)/3222930.24801*100)</f>
        <v>-0.24698836206322097</v>
      </c>
      <c r="G17" s="49">
        <f>IF(OR(3307388.5187="",32360.90094="",56179.28324=""),"-",(32360.90094-56179.28324)/3307388.5187*100)</f>
        <v>-0.72015676916487681</v>
      </c>
    </row>
    <row r="18" spans="1:7" s="9" customFormat="1" x14ac:dyDescent="0.25">
      <c r="A18" s="48" t="s">
        <v>6</v>
      </c>
      <c r="B18" s="49">
        <f>IF(30962.52886="","-",30962.52886)</f>
        <v>30962.528859999999</v>
      </c>
      <c r="C18" s="49">
        <f>IF(OR(28012.05405="",30962.52886=""),"-",30962.52886/28012.05405*100)</f>
        <v>110.53287561395378</v>
      </c>
      <c r="D18" s="49">
        <f>IF(28012.05405="","-",28012.05405/3307388.5187*100)</f>
        <v>0.84695383961151327</v>
      </c>
      <c r="E18" s="49">
        <f>IF(30962.52886="","-",30962.52886/2889645.06346*100)</f>
        <v>1.0714993772600612</v>
      </c>
      <c r="F18" s="49">
        <f>IF(OR(3222930.24801="",37684.89514="",28012.05405=""),"-",(28012.05405-37684.89514)/3222930.24801*100)</f>
        <v>-0.30012567277782393</v>
      </c>
      <c r="G18" s="49">
        <f>IF(OR(3307388.5187="",30962.52886="",28012.05405=""),"-",(30962.52886-28012.05405)/3307388.5187*100)</f>
        <v>8.9208594433886207E-2</v>
      </c>
    </row>
    <row r="19" spans="1:7" s="9" customFormat="1" x14ac:dyDescent="0.25">
      <c r="A19" s="48" t="s">
        <v>10</v>
      </c>
      <c r="B19" s="49">
        <f>IF(30707.53244="","-",30707.53244)</f>
        <v>30707.532439999999</v>
      </c>
      <c r="C19" s="49">
        <f>IF(OR(34844.95164="",30707.53244=""),"-",30707.53244/34844.95164*100)</f>
        <v>88.126201916576974</v>
      </c>
      <c r="D19" s="49">
        <f>IF(34844.95164="","-",34844.95164/3307388.5187*100)</f>
        <v>1.0535487876004399</v>
      </c>
      <c r="E19" s="49">
        <f>IF(30707.53244="","-",30707.53244/2889645.06346*100)</f>
        <v>1.0626748879404397</v>
      </c>
      <c r="F19" s="49">
        <f>IF(OR(3222930.24801="",35005.99511="",34844.95164=""),"-",(34844.95164-35005.99511)/3222930.24801*100)</f>
        <v>-4.9968028349183331E-3</v>
      </c>
      <c r="G19" s="49">
        <f>IF(OR(3307388.5187="",30707.53244="",34844.95164=""),"-",(30707.53244-34844.95164)/3307388.5187*100)</f>
        <v>-0.12509625575002759</v>
      </c>
    </row>
    <row r="20" spans="1:7" s="9" customFormat="1" ht="15.75" customHeight="1" x14ac:dyDescent="0.25">
      <c r="A20" s="48" t="s">
        <v>42</v>
      </c>
      <c r="B20" s="49">
        <f>IF(22009.61476="","-",22009.61476)</f>
        <v>22009.61476</v>
      </c>
      <c r="C20" s="49">
        <f>IF(OR(25449.6988="",22009.61476=""),"-",22009.61476/25449.6988*100)</f>
        <v>86.482810397740352</v>
      </c>
      <c r="D20" s="49">
        <f>IF(25449.6988="","-",25449.6988/3307388.5187*100)</f>
        <v>0.76948017011328451</v>
      </c>
      <c r="E20" s="49">
        <f>IF(22009.61476="","-",22009.61476/2889645.06346*100)</f>
        <v>0.76167191044723515</v>
      </c>
      <c r="F20" s="49">
        <f>IF(OR(3222930.24801="",28540.43014="",25449.6988=""),"-",(25449.6988-28540.43014)/3222930.24801*100)</f>
        <v>-9.5898176571099406E-2</v>
      </c>
      <c r="G20" s="49">
        <f>IF(OR(3307388.5187="",22009.61476="",25449.6988=""),"-",(22009.61476-25449.6988)/3307388.5187*100)</f>
        <v>-0.10401209354600272</v>
      </c>
    </row>
    <row r="21" spans="1:7" s="9" customFormat="1" x14ac:dyDescent="0.25">
      <c r="A21" s="48" t="s">
        <v>45</v>
      </c>
      <c r="B21" s="49">
        <f>IF(14605.911="","-",14605.911)</f>
        <v>14605.911</v>
      </c>
      <c r="C21" s="49">
        <f>IF(OR(19658.26098="",14605.911=""),"-",14605.911/19658.26098*100)</f>
        <v>74.299100082452981</v>
      </c>
      <c r="D21" s="49">
        <f>IF(19658.26098="","-",19658.26098/3307388.5187*100)</f>
        <v>0.59437410721032746</v>
      </c>
      <c r="E21" s="49">
        <f>IF(14605.911="","-",14605.911/2889645.06346*100)</f>
        <v>0.50545692219068572</v>
      </c>
      <c r="F21" s="49">
        <f>IF(OR(3222930.24801="",17148.13975="",19658.26098=""),"-",(19658.26098-17148.13975)/3222930.24801*100)</f>
        <v>7.7883200592066062E-2</v>
      </c>
      <c r="G21" s="49">
        <f>IF(OR(3307388.5187="",14605.911="",19658.26098=""),"-",(14605.911-19658.26098)/3307388.5187*100)</f>
        <v>-0.15275949442993991</v>
      </c>
    </row>
    <row r="22" spans="1:7" s="9" customFormat="1" x14ac:dyDescent="0.25">
      <c r="A22" s="48" t="s">
        <v>9</v>
      </c>
      <c r="B22" s="49">
        <f>IF(14419.60031="","-",14419.60031)</f>
        <v>14419.60031</v>
      </c>
      <c r="C22" s="49">
        <f>IF(OR(13662.95295="",14419.60031=""),"-",14419.60031/13662.95295*100)</f>
        <v>105.5379489541461</v>
      </c>
      <c r="D22" s="49">
        <f>IF(13662.95295="","-",13662.95295/3307388.5187*100)</f>
        <v>0.41310396020151735</v>
      </c>
      <c r="E22" s="49">
        <f>IF(14419.60031="","-",14419.60031/2889645.06346*100)</f>
        <v>0.49900939365661312</v>
      </c>
      <c r="F22" s="49">
        <f>IF(OR(3222930.24801="",14437.64946="",13662.95295=""),"-",(13662.95295-14437.64946)/3222930.24801*100)</f>
        <v>-2.40370237760602E-2</v>
      </c>
      <c r="G22" s="49">
        <f>IF(OR(3307388.5187="",14419.60031="",13662.95295=""),"-",(14419.60031-13662.95295)/3307388.5187*100)</f>
        <v>2.287748644351606E-2</v>
      </c>
    </row>
    <row r="23" spans="1:7" s="9" customFormat="1" x14ac:dyDescent="0.25">
      <c r="A23" s="48" t="s">
        <v>53</v>
      </c>
      <c r="B23" s="49">
        <f>IF(13536.62694="","-",13536.62694)</f>
        <v>13536.62694</v>
      </c>
      <c r="C23" s="49">
        <f>IF(OR(12879.06026="",13536.62694=""),"-",13536.62694/12879.06026*100)</f>
        <v>105.10570388464042</v>
      </c>
      <c r="D23" s="49">
        <f>IF(12879.06026="","-",12879.06026/3307388.5187*100)</f>
        <v>0.38940270207693156</v>
      </c>
      <c r="E23" s="49">
        <f>IF(13536.62694="","-",13536.62694/2889645.06346*100)</f>
        <v>0.4684529290871291</v>
      </c>
      <c r="F23" s="49">
        <f>IF(OR(3222930.24801="",13364.61281="",12879.06026=""),"-",(12879.06026-13364.61281)/3222930.24801*100)</f>
        <v>-1.5065561853217424E-2</v>
      </c>
      <c r="G23" s="49">
        <f>IF(OR(3307388.5187="",13536.62694="",12879.06026=""),"-",(13536.62694-12879.06026)/3307388.5187*100)</f>
        <v>1.9881748886836633E-2</v>
      </c>
    </row>
    <row r="24" spans="1:7" s="9" customFormat="1" x14ac:dyDescent="0.25">
      <c r="A24" s="48" t="s">
        <v>51</v>
      </c>
      <c r="B24" s="49">
        <f>IF(11249.97443="","-",11249.97443)</f>
        <v>11249.97443</v>
      </c>
      <c r="C24" s="49">
        <f>IF(OR(14130.88748="",11249.97443=""),"-",11249.97443/14130.88748*100)</f>
        <v>79.612653104219618</v>
      </c>
      <c r="D24" s="49">
        <f>IF(14130.88748="","-",14130.88748/3307388.5187*100)</f>
        <v>0.42725211749704806</v>
      </c>
      <c r="E24" s="49">
        <f>IF(11249.97443="","-",11249.97443/2889645.06346*100)</f>
        <v>0.38932028615755038</v>
      </c>
      <c r="F24" s="49">
        <f>IF(OR(3222930.24801="",13752.47512="",14130.88748=""),"-",(14130.88748-13752.47512)/3222930.24801*100)</f>
        <v>1.1741251931643607E-2</v>
      </c>
      <c r="G24" s="49">
        <f>IF(OR(3307388.5187="",11249.97443="",14130.88748=""),"-",(11249.97443-14130.88748)/3307388.5187*100)</f>
        <v>-8.7105371313690394E-2</v>
      </c>
    </row>
    <row r="25" spans="1:7" s="9" customFormat="1" x14ac:dyDescent="0.25">
      <c r="A25" s="48" t="s">
        <v>52</v>
      </c>
      <c r="B25" s="49">
        <f>IF(9518.31307="","-",9518.31307)</f>
        <v>9518.3130700000002</v>
      </c>
      <c r="C25" s="49">
        <f>IF(OR(10687.22227="",9518.31307=""),"-",9518.31307/10687.22227*100)</f>
        <v>89.062553669523339</v>
      </c>
      <c r="D25" s="49">
        <f>IF(10687.22227="","-",10687.22227/3307388.5187*100)</f>
        <v>0.32313174607622797</v>
      </c>
      <c r="E25" s="49">
        <f>IF(9518.31307="","-",9518.31307/2889645.06346*100)</f>
        <v>0.32939384806668864</v>
      </c>
      <c r="F25" s="49">
        <f>IF(OR(3222930.24801="",9683.98886="",10687.22227=""),"-",(10687.22227-9683.98886)/3222930.24801*100)</f>
        <v>3.112799014559647E-2</v>
      </c>
      <c r="G25" s="49">
        <f>IF(OR(3307388.5187="",9518.31307="",10687.22227=""),"-",(9518.31307-10687.22227)/3307388.5187*100)</f>
        <v>-3.5342361303819569E-2</v>
      </c>
    </row>
    <row r="26" spans="1:7" s="9" customFormat="1" x14ac:dyDescent="0.25">
      <c r="A26" s="48" t="s">
        <v>44</v>
      </c>
      <c r="B26" s="49">
        <f>IF(7321.41318="","-",7321.41318)</f>
        <v>7321.4131799999996</v>
      </c>
      <c r="C26" s="49">
        <f>IF(OR(10329.31236="",7321.41318=""),"-",7321.41318/10329.31236*100)</f>
        <v>70.879966882906814</v>
      </c>
      <c r="D26" s="49">
        <f>IF(10329.31236="","-",10329.31236/3307388.5187*100)</f>
        <v>0.31231022003003239</v>
      </c>
      <c r="E26" s="49">
        <f>IF(7321.41318="","-",7321.41318/2889645.06346*100)</f>
        <v>0.25336721359243669</v>
      </c>
      <c r="F26" s="49">
        <f>IF(OR(3222930.24801="",7468.08134="",10329.31236=""),"-",(10329.31236-7468.08134)/3222930.24801*100)</f>
        <v>8.8777317528564839E-2</v>
      </c>
      <c r="G26" s="49">
        <f>IF(OR(3307388.5187="",7321.41318="",10329.31236=""),"-",(7321.41318-10329.31236)/3307388.5187*100)</f>
        <v>-9.0944839500812058E-2</v>
      </c>
    </row>
    <row r="27" spans="1:7" s="9" customFormat="1" x14ac:dyDescent="0.25">
      <c r="A27" s="48" t="s">
        <v>49</v>
      </c>
      <c r="B27" s="49">
        <f>IF(7007.74601="","-",7007.74601)</f>
        <v>7007.7460099999998</v>
      </c>
      <c r="C27" s="49">
        <f>IF(OR(7017.42773="",7007.74601=""),"-",7007.74601/7017.42773*100)</f>
        <v>99.862033206859962</v>
      </c>
      <c r="D27" s="49">
        <f>IF(7017.42773="","-",7017.42773/3307388.5187*100)</f>
        <v>0.2121742785984595</v>
      </c>
      <c r="E27" s="49">
        <f>IF(7007.74601="","-",7007.74601/2889645.06346*100)</f>
        <v>0.24251234515318201</v>
      </c>
      <c r="F27" s="49">
        <f>IF(OR(3222930.24801="",9181.27104="",7017.42773=""),"-",(7017.42773-9181.27104)/3222930.24801*100)</f>
        <v>-6.7139005299170385E-2</v>
      </c>
      <c r="G27" s="49">
        <f>IF(OR(3307388.5187="",7007.74601="",7017.42773=""),"-",(7007.74601-7017.42773)/3307388.5187*100)</f>
        <v>-2.9273004805029638E-4</v>
      </c>
    </row>
    <row r="28" spans="1:7" s="9" customFormat="1" x14ac:dyDescent="0.25">
      <c r="A28" s="48" t="s">
        <v>46</v>
      </c>
      <c r="B28" s="49">
        <f>IF(5883.06629="","-",5883.06629)</f>
        <v>5883.0662899999998</v>
      </c>
      <c r="C28" s="49">
        <f>IF(OR(5876.0199="",5883.06629=""),"-",5883.06629/5876.0199*100)</f>
        <v>100.1199177354726</v>
      </c>
      <c r="D28" s="49">
        <f>IF(5876.0199="","-",5876.0199/3307388.5187*100)</f>
        <v>0.17766343043089552</v>
      </c>
      <c r="E28" s="49">
        <f>IF(5883.06629="","-",5883.06629/2889645.06346*100)</f>
        <v>0.20359131176324266</v>
      </c>
      <c r="F28" s="49">
        <f>IF(OR(3222930.24801="",6627.84741="",5876.0199=""),"-",(5876.0199-6627.84741)/3222930.24801*100)</f>
        <v>-2.3327452105555691E-2</v>
      </c>
      <c r="G28" s="49">
        <f>IF(OR(3307388.5187="",5883.06629="",5876.0199=""),"-",(5883.06629-5876.0199)/3307388.5187*100)</f>
        <v>2.130499625356736E-4</v>
      </c>
    </row>
    <row r="29" spans="1:7" s="9" customFormat="1" x14ac:dyDescent="0.25">
      <c r="A29" s="48" t="s">
        <v>50</v>
      </c>
      <c r="B29" s="49">
        <f>IF(5631.24233="","-",5631.24233)</f>
        <v>5631.24233</v>
      </c>
      <c r="C29" s="49">
        <f>IF(OR(7942.88386="",5631.24233=""),"-",5631.24233/7942.88386*100)</f>
        <v>70.896697336324905</v>
      </c>
      <c r="D29" s="49">
        <f>IF(7942.88386="","-",7942.88386/3307388.5187*100)</f>
        <v>0.2401557547621295</v>
      </c>
      <c r="E29" s="49">
        <f>IF(5631.24233="","-",5631.24233/2889645.06346*100)</f>
        <v>0.19487660962960168</v>
      </c>
      <c r="F29" s="49">
        <f>IF(OR(3222930.24801="",7770.10075="",7942.88386=""),"-",(7942.88386-7770.10075)/3222930.24801*100)</f>
        <v>5.3610564518634966E-3</v>
      </c>
      <c r="G29" s="49">
        <f>IF(OR(3307388.5187="",5631.24233="",7942.88386=""),"-",(5631.24233-7942.88386)/3307388.5187*100)</f>
        <v>-6.989325617265589E-2</v>
      </c>
    </row>
    <row r="30" spans="1:7" s="9" customFormat="1" x14ac:dyDescent="0.25">
      <c r="A30" s="48" t="s">
        <v>54</v>
      </c>
      <c r="B30" s="49">
        <f>IF(4210.56157="","-",4210.56157)</f>
        <v>4210.5615699999998</v>
      </c>
      <c r="C30" s="49">
        <f>IF(OR(4218.43593="",4210.56157=""),"-",4210.56157/4218.43593*100)</f>
        <v>99.81333460717039</v>
      </c>
      <c r="D30" s="49">
        <f>IF(4218.43593="","-",4218.43593/3307388.5187*100)</f>
        <v>0.12754582372614923</v>
      </c>
      <c r="E30" s="49">
        <f>IF(4210.56157="","-",4210.56157/2889645.06346*100)</f>
        <v>0.14571206765990707</v>
      </c>
      <c r="F30" s="49">
        <f>IF(OR(3222930.24801="",3911.71512="",4218.43593=""),"-",(4218.43593-3911.71512)/3222930.24801*100)</f>
        <v>9.5168305361056048E-3</v>
      </c>
      <c r="G30" s="49">
        <f>IF(OR(3307388.5187="",4210.56157="",4218.43593=""),"-",(4210.56157-4218.43593)/3307388.5187*100)</f>
        <v>-2.380839128961749E-4</v>
      </c>
    </row>
    <row r="31" spans="1:7" s="9" customFormat="1" x14ac:dyDescent="0.25">
      <c r="A31" s="48" t="s">
        <v>126</v>
      </c>
      <c r="B31" s="49">
        <f>IF(3056.29609="","-",3056.29609)</f>
        <v>3056.2960899999998</v>
      </c>
      <c r="C31" s="49">
        <f>IF(OR(3138.05305="",3056.29609=""),"-",3056.29609/3138.05305*100)</f>
        <v>97.394659723805489</v>
      </c>
      <c r="D31" s="49">
        <f>IF(3138.05305="","-",3138.05305/3307388.5187*100)</f>
        <v>9.4880085368181696E-2</v>
      </c>
      <c r="E31" s="49">
        <f>IF(3056.29609="","-",3056.29609/2889645.06346*100)</f>
        <v>0.10576717980513688</v>
      </c>
      <c r="F31" s="49">
        <f>IF(OR(3222930.24801="",2126.4766="",3138.05305=""),"-",(3138.05305-2126.4766)/3222930.24801*100)</f>
        <v>3.1386855195659244E-2</v>
      </c>
      <c r="G31" s="49">
        <f>IF(OR(3307388.5187="",3056.29609="",3138.05305=""),"-",(3056.29609-3138.05305)/3307388.5187*100)</f>
        <v>-2.4719490781849695E-3</v>
      </c>
    </row>
    <row r="32" spans="1:7" s="9" customFormat="1" x14ac:dyDescent="0.25">
      <c r="A32" s="48" t="s">
        <v>47</v>
      </c>
      <c r="B32" s="49">
        <f>IF(2094.15357="","-",2094.15357)</f>
        <v>2094.1535699999999</v>
      </c>
      <c r="C32" s="49">
        <f>IF(OR(2679.61624="",2094.15357=""),"-",2094.15357/2679.61624*100)</f>
        <v>78.151249374425348</v>
      </c>
      <c r="D32" s="49">
        <f>IF(2679.61624="","-",2679.61624/3307388.5187*100)</f>
        <v>8.1019094819052229E-2</v>
      </c>
      <c r="E32" s="49">
        <f>IF(2094.15357="","-",2094.15357/2889645.06346*100)</f>
        <v>7.2470961796688785E-2</v>
      </c>
      <c r="F32" s="49">
        <f>IF(OR(3222930.24801="",2831.001="",2679.61624=""),"-",(2679.61624-2831.001)/3222930.24801*100)</f>
        <v>-4.6971156168667616E-3</v>
      </c>
      <c r="G32" s="49">
        <f>IF(OR(3307388.5187="",2094.15357="",2679.61624=""),"-",(2094.15357-2679.61624)/3307388.5187*100)</f>
        <v>-1.7701659986112592E-2</v>
      </c>
    </row>
    <row r="33" spans="1:7" s="9" customFormat="1" x14ac:dyDescent="0.25">
      <c r="A33" s="48" t="s">
        <v>55</v>
      </c>
      <c r="B33" s="49">
        <f>IF(617.57945="","-",617.57945)</f>
        <v>617.57944999999995</v>
      </c>
      <c r="C33" s="49">
        <f>IF(OR(1077.24171="",617.57945=""),"-",617.57945/1077.24171*100)</f>
        <v>57.329700870940094</v>
      </c>
      <c r="D33" s="49">
        <f>IF(1077.24171="","-",1077.24171/3307388.5187*100)</f>
        <v>3.2570764030571769E-2</v>
      </c>
      <c r="E33" s="49">
        <f>IF(617.57945="","-",617.57945/2889645.06346*100)</f>
        <v>2.1372155972004512E-2</v>
      </c>
      <c r="F33" s="49">
        <f>IF(OR(3222930.24801="",576.27817="",1077.24171=""),"-",(1077.24171-576.27817)/3222930.24801*100)</f>
        <v>1.5543728887999365E-2</v>
      </c>
      <c r="G33" s="49">
        <f>IF(OR(3307388.5187="",617.57945="",1077.24171=""),"-",(617.57945-1077.24171)/3307388.5187*100)</f>
        <v>-1.3898042440465224E-2</v>
      </c>
    </row>
    <row r="34" spans="1:7" s="9" customFormat="1" x14ac:dyDescent="0.25">
      <c r="A34" s="48" t="s">
        <v>48</v>
      </c>
      <c r="B34" s="49">
        <f>IF(333.37597="","-",333.37597)</f>
        <v>333.37597</v>
      </c>
      <c r="C34" s="49">
        <f>IF(OR(438.996="",333.37597=""),"-",333.37597/438.996*100)</f>
        <v>75.940548433243123</v>
      </c>
      <c r="D34" s="49">
        <f>IF(438.996="","-",438.996/3307388.5187*100)</f>
        <v>1.3273191145156163E-2</v>
      </c>
      <c r="E34" s="49">
        <f>IF(333.37597="","-",333.37597/2889645.06346*100)</f>
        <v>1.153691760332747E-2</v>
      </c>
      <c r="F34" s="49">
        <f>IF(OR(3222930.24801="",589.14416="",438.996=""),"-",(438.996-589.14416)/3222930.24801*100)</f>
        <v>-4.6587468063483259E-3</v>
      </c>
      <c r="G34" s="49">
        <f>IF(OR(3307388.5187="",333.37597="",438.996=""),"-",(333.37597-438.996)/3307388.5187*100)</f>
        <v>-3.1934569949319085E-3</v>
      </c>
    </row>
    <row r="35" spans="1:7" s="9" customFormat="1" x14ac:dyDescent="0.25">
      <c r="A35" s="48" t="s">
        <v>56</v>
      </c>
      <c r="B35" s="49">
        <f>IF(31.70747="","-",31.70747)</f>
        <v>31.707470000000001</v>
      </c>
      <c r="C35" s="49">
        <f>IF(OR(57.73987="",31.70747=""),"-",31.70747/57.73987*100)</f>
        <v>54.91434255047681</v>
      </c>
      <c r="D35" s="49">
        <f>IF(57.73987="","-",57.73987/3307388.5187*100)</f>
        <v>1.7457843151337782E-3</v>
      </c>
      <c r="E35" s="49">
        <f>IF(31.70747="","-",31.70747/2889645.06346*100)</f>
        <v>1.097279053436208E-3</v>
      </c>
      <c r="F35" s="49">
        <f>IF(OR(3222930.24801="",59.03117="",57.73987=""),"-",(57.73987-59.03117)/3222930.24801*100)</f>
        <v>-4.0066023793016106E-5</v>
      </c>
      <c r="G35" s="49">
        <f>IF(OR(3307388.5187="",31.70747="",57.73987=""),"-",(31.70747-57.73987)/3307388.5187*100)</f>
        <v>-7.8709833612871955E-4</v>
      </c>
    </row>
    <row r="36" spans="1:7" s="9" customFormat="1" x14ac:dyDescent="0.25">
      <c r="A36" s="37" t="s">
        <v>174</v>
      </c>
      <c r="B36" s="47">
        <f>IF(733669.38471="","-",733669.38471)</f>
        <v>733669.38471000001</v>
      </c>
      <c r="C36" s="47">
        <f>IF(808915.04087="","-",733669.38471/808915.04087*100)</f>
        <v>90.697953139915384</v>
      </c>
      <c r="D36" s="47">
        <f>IF(808915.04087="","-",808915.04087/3307388.5187*100)</f>
        <v>24.457817286853004</v>
      </c>
      <c r="E36" s="47">
        <f>IF(733669.38471="","-",733669.38471/2889645.06346*100)</f>
        <v>25.389602134440686</v>
      </c>
      <c r="F36" s="47">
        <f>IF(3222930.24801="","-",(808915.04087-759729.13634)/3222930.24801*100)</f>
        <v>1.5261237676604982</v>
      </c>
      <c r="G36" s="47">
        <f>IF(3307388.5187="","-",(733669.38471-808915.04087)/3307388.5187*100)</f>
        <v>-2.2750776249769418</v>
      </c>
    </row>
    <row r="37" spans="1:7" s="9" customFormat="1" x14ac:dyDescent="0.25">
      <c r="A37" s="48" t="s">
        <v>127</v>
      </c>
      <c r="B37" s="49">
        <f>IF(337607.01957="","-",337607.01957)</f>
        <v>337607.01957</v>
      </c>
      <c r="C37" s="49">
        <f>IF(OR(397168.27264="",337607.01957=""),"-",337607.01957/397168.27264*100)</f>
        <v>85.003521889074136</v>
      </c>
      <c r="D37" s="49">
        <f>IF(397168.27264="","-",397168.27264/3307388.5187*100)</f>
        <v>12.008515794089734</v>
      </c>
      <c r="E37" s="49">
        <f>IF(337607.01957="","-",337607.01957/2889645.06346*100)</f>
        <v>11.683338685400916</v>
      </c>
      <c r="F37" s="49">
        <f>IF(OR(3222930.24801="",375170.1963="",397168.27264=""),"-",(397168.27264-375170.1963)/3222930.24801*100)</f>
        <v>0.68254894295595425</v>
      </c>
      <c r="G37" s="49">
        <f>IF(OR(3307388.5187="",337607.01957="",397168.27264=""),"-",(337607.01957-397168.27264)/3307388.5187*100)</f>
        <v>-1.8008544425077428</v>
      </c>
    </row>
    <row r="38" spans="1:7" s="9" customFormat="1" x14ac:dyDescent="0.25">
      <c r="A38" s="48" t="s">
        <v>12</v>
      </c>
      <c r="B38" s="49">
        <f>IF(276391.38819="","-",276391.38819)</f>
        <v>276391.38819000003</v>
      </c>
      <c r="C38" s="49">
        <f>IF(OR(324258.17712="",276391.38819=""),"-",276391.38819/324258.17712*100)</f>
        <v>85.238062658852968</v>
      </c>
      <c r="D38" s="49">
        <f>IF(324258.17712="","-",324258.17712/3307388.5187*100)</f>
        <v>9.8040546275903715</v>
      </c>
      <c r="E38" s="49">
        <f>IF(276391.38819="","-",276391.38819/2889645.06346*100)</f>
        <v>9.564890570299136</v>
      </c>
      <c r="F38" s="49">
        <f>IF(OR(3222930.24801="",309348.22745="",324258.17712=""),"-",(324258.17712-309348.22745)/3222930.24801*100)</f>
        <v>0.46262092327955773</v>
      </c>
      <c r="G38" s="49">
        <f>IF(OR(3307388.5187="",276391.38819="",324258.17712=""),"-",(276391.38819-324258.17712)/3307388.5187*100)</f>
        <v>-1.4472684010167172</v>
      </c>
    </row>
    <row r="39" spans="1:7" s="9" customFormat="1" x14ac:dyDescent="0.25">
      <c r="A39" s="48" t="s">
        <v>11</v>
      </c>
      <c r="B39" s="49">
        <f>IF(56538.54132="","-",56538.54132)</f>
        <v>56538.541319999997</v>
      </c>
      <c r="C39" s="49">
        <f>IF(OR(74496.78805="",56538.54132=""),"-",56538.54132/74496.78805*100)</f>
        <v>75.893931537092612</v>
      </c>
      <c r="D39" s="49">
        <f>IF(74496.78805="","-",74496.78805/3307388.5187*100)</f>
        <v>2.2524353467636051</v>
      </c>
      <c r="E39" s="49">
        <f>IF(56538.54132="","-",56538.54132/2889645.06346*100)</f>
        <v>1.9565912102817895</v>
      </c>
      <c r="F39" s="49">
        <f>IF(OR(3222930.24801="",62056.95558="",74496.78805=""),"-",(74496.78805-62056.95558)/3222930.24801*100)</f>
        <v>0.38597895432831603</v>
      </c>
      <c r="G39" s="49">
        <f>IF(OR(3307388.5187="",56538.54132="",74496.78805=""),"-",(56538.54132-74496.78805)/3307388.5187*100)</f>
        <v>-0.54297360677355999</v>
      </c>
    </row>
    <row r="40" spans="1:7" s="9" customFormat="1" x14ac:dyDescent="0.25">
      <c r="A40" s="48" t="s">
        <v>13</v>
      </c>
      <c r="B40" s="49">
        <f>IF(52938.84561="","-",52938.84561)</f>
        <v>52938.845609999997</v>
      </c>
      <c r="C40" s="49" t="s">
        <v>288</v>
      </c>
      <c r="D40" s="49">
        <f>IF(4926.08263="","-",4926.08263/3307388.5187*100)</f>
        <v>0.14894175879694482</v>
      </c>
      <c r="E40" s="49">
        <f>IF(52938.84561="","-",52938.84561/2889645.06346*100)</f>
        <v>1.8320189659076034</v>
      </c>
      <c r="F40" s="49">
        <f>IF(OR(3222930.24801="",2574.34844="",4926.08263=""),"-",(4926.08263-2574.34844)/3222930.24801*100)</f>
        <v>7.2968820577239579E-2</v>
      </c>
      <c r="G40" s="49">
        <f>IF(OR(3307388.5187="",52938.84561="",4926.08263=""),"-",(52938.84561-4926.08263)/3307388.5187*100)</f>
        <v>1.4516819753269226</v>
      </c>
    </row>
    <row r="41" spans="1:7" s="9" customFormat="1" x14ac:dyDescent="0.25">
      <c r="A41" s="48" t="s">
        <v>15</v>
      </c>
      <c r="B41" s="49">
        <f>IF(4134.2847="","-",4134.2847)</f>
        <v>4134.2847000000002</v>
      </c>
      <c r="C41" s="49">
        <f>IF(OR(4914.30598="",4134.2847=""),"-",4134.2847/4914.30598*100)</f>
        <v>84.127539408931966</v>
      </c>
      <c r="D41" s="49">
        <f>IF(4914.30598="","-",4914.30598/3307388.5187*100)</f>
        <v>0.14858568783844039</v>
      </c>
      <c r="E41" s="49">
        <f>IF(4134.2847="","-",4134.2847/2889645.06346*100)</f>
        <v>0.14307240540641675</v>
      </c>
      <c r="F41" s="49">
        <f>IF(OR(3222930.24801="",2158.19676="",4914.30598=""),"-",(4914.30598-2158.19676)/3222930.24801*100)</f>
        <v>8.5515633535716798E-2</v>
      </c>
      <c r="G41" s="49">
        <f>IF(OR(3307388.5187="",4134.2847="",4914.30598=""),"-",(4134.2847-4914.30598)/3307388.5187*100)</f>
        <v>-2.3584204746123827E-2</v>
      </c>
    </row>
    <row r="42" spans="1:7" s="9" customFormat="1" x14ac:dyDescent="0.25">
      <c r="A42" s="48" t="s">
        <v>14</v>
      </c>
      <c r="B42" s="49">
        <f>IF(4009.7293="","-",4009.7293)</f>
        <v>4009.7293</v>
      </c>
      <c r="C42" s="49" t="s">
        <v>289</v>
      </c>
      <c r="D42" s="49">
        <f>IF(429.5169="","-",429.5169/3307388.5187*100)</f>
        <v>1.2986587380693504E-2</v>
      </c>
      <c r="E42" s="49">
        <f>IF(4009.7293="","-",4009.7293/2889645.06346*100)</f>
        <v>0.13876200058974839</v>
      </c>
      <c r="F42" s="49">
        <f>IF(OR(3222930.24801="",334.02105="",429.5169=""),"-",(429.5169-334.02105)/3222930.24801*100)</f>
        <v>2.963013241101447E-3</v>
      </c>
      <c r="G42" s="49">
        <f>IF(OR(3307388.5187="",4009.7293="",429.5169=""),"-",(4009.7293-429.5169)/3307388.5187*100)</f>
        <v>0.10824892146046501</v>
      </c>
    </row>
    <row r="43" spans="1:7" s="9" customFormat="1" x14ac:dyDescent="0.25">
      <c r="A43" s="48" t="s">
        <v>16</v>
      </c>
      <c r="B43" s="49">
        <f>IF(1414.05304="","-",1414.05304)</f>
        <v>1414.05304</v>
      </c>
      <c r="C43" s="49">
        <f>IF(OR(1964.75369="",1414.05304=""),"-",1414.05304/1964.75369*100)</f>
        <v>71.971008233607137</v>
      </c>
      <c r="D43" s="49">
        <f>IF(1964.75369="","-",1964.75369/3307388.5187*100)</f>
        <v>5.9404986105843563E-2</v>
      </c>
      <c r="E43" s="49">
        <f>IF(1414.05304="","-",1414.05304/2889645.06346*100)</f>
        <v>4.8935180928651588E-2</v>
      </c>
      <c r="F43" s="49">
        <f>IF(OR(3222930.24801="",7372.68661="",1964.75369=""),"-",(1964.75369-7372.68661)/3222930.24801*100)</f>
        <v>-0.1677955308942578</v>
      </c>
      <c r="G43" s="49">
        <f>IF(OR(3307388.5187="",1414.05304="",1964.75369=""),"-",(1414.05304-1964.75369)/3307388.5187*100)</f>
        <v>-1.6650618664433715E-2</v>
      </c>
    </row>
    <row r="44" spans="1:7" s="9" customFormat="1" x14ac:dyDescent="0.25">
      <c r="A44" s="48" t="s">
        <v>17</v>
      </c>
      <c r="B44" s="49">
        <f>IF(559.88249="","-",559.88249)</f>
        <v>559.88248999999996</v>
      </c>
      <c r="C44" s="49">
        <f>IF(OR(671.80026="",559.88249=""),"-",559.88249/671.80026*100)</f>
        <v>83.34061823673602</v>
      </c>
      <c r="D44" s="49">
        <f>IF(671.80026="","-",671.80026/3307388.5187*100)</f>
        <v>2.0312105947082906E-2</v>
      </c>
      <c r="E44" s="49">
        <f>IF(559.88249="","-",559.88249/2889645.06346*100)</f>
        <v>1.9375476146873502E-2</v>
      </c>
      <c r="F44" s="49">
        <f>IF(OR(3222930.24801="",655.56583="",671.80026=""),"-",(671.80026-655.56583)/3222930.24801*100)</f>
        <v>5.037164552358504E-4</v>
      </c>
      <c r="G44" s="49">
        <f>IF(OR(3307388.5187="",559.88249="",671.80026=""),"-",(559.88249-671.80026)/3307388.5187*100)</f>
        <v>-3.3838712738831892E-3</v>
      </c>
    </row>
    <row r="45" spans="1:7" s="9" customFormat="1" x14ac:dyDescent="0.25">
      <c r="A45" s="48" t="s">
        <v>129</v>
      </c>
      <c r="B45" s="49">
        <f>IF(75.45498="","-",75.45498)</f>
        <v>75.454980000000006</v>
      </c>
      <c r="C45" s="49">
        <f>IF(OR(85.24136="",75.45498=""),"-",75.45498/85.24136*100)</f>
        <v>88.519211800468696</v>
      </c>
      <c r="D45" s="49">
        <f>IF(85.24136="","-",85.24136/3307388.5187*100)</f>
        <v>2.5773010796295839E-3</v>
      </c>
      <c r="E45" s="49">
        <f>IF(75.45498="","-",75.45498/2889645.06346*100)</f>
        <v>2.6112196599554624E-3</v>
      </c>
      <c r="F45" s="49">
        <f>IF(OR(3222930.24801="",58.69841="",85.24136=""),"-",(85.24136-58.69841)/3222930.24801*100)</f>
        <v>8.235657602701441E-4</v>
      </c>
      <c r="G45" s="49">
        <f>IF(OR(3307388.5187="",75.45498="",85.24136=""),"-",(75.45498-85.24136)/3307388.5187*100)</f>
        <v>-2.9589447821650605E-4</v>
      </c>
    </row>
    <row r="46" spans="1:7" s="9" customFormat="1" x14ac:dyDescent="0.25">
      <c r="A46" s="48" t="s">
        <v>18</v>
      </c>
      <c r="B46" s="49">
        <f>IF(0.18551="","-",0.18551)</f>
        <v>0.18551000000000001</v>
      </c>
      <c r="C46" s="49" t="s">
        <v>300</v>
      </c>
      <c r="D46" s="49">
        <f>IF(0.10224="","-",0.10224/3307388.5187*100)</f>
        <v>3.0912606554063501E-6</v>
      </c>
      <c r="E46" s="49">
        <f>IF(0.18551="","-",0.18551/2889645.06346*100)</f>
        <v>6.4198195946554854E-6</v>
      </c>
      <c r="F46" s="49">
        <f>IF(OR(3222930.24801="",0.23991="",0.10224=""),"-",(0.10224-0.23991)/3222930.24801*100)</f>
        <v>-4.2715786382595289E-6</v>
      </c>
      <c r="G46" s="49">
        <f>IF(OR(3307388.5187="",0.18551="",0.10224=""),"-",(0.18551-0.10224)/3307388.5187*100)</f>
        <v>2.5176963495274532E-6</v>
      </c>
    </row>
    <row r="47" spans="1:7" s="9" customFormat="1" x14ac:dyDescent="0.25">
      <c r="A47" s="37" t="s">
        <v>175</v>
      </c>
      <c r="B47" s="47">
        <f>IF(829650.40131="","-",829650.40131)</f>
        <v>829650.40130999999</v>
      </c>
      <c r="C47" s="47">
        <f>IF(869769.97071="","-",829650.40131/869769.97071*100)</f>
        <v>95.387335646084665</v>
      </c>
      <c r="D47" s="47">
        <f>IF(869769.97071="","-",869769.97071/3307388.5187*100)</f>
        <v>26.297786479946762</v>
      </c>
      <c r="E47" s="47">
        <f>IF(829650.40131="","-",829650.40131/2889645.06346*100)</f>
        <v>28.711152514924937</v>
      </c>
      <c r="F47" s="47">
        <f>IF(3222930.24801="","-",(869769.97071-851179.87359)/3222930.24801*100)</f>
        <v>0.57680730544753533</v>
      </c>
      <c r="G47" s="47">
        <f>IF(3307388.5187="","-",(829650.40131-869769.97071)/3307388.5187*100)</f>
        <v>-1.213028622829271</v>
      </c>
    </row>
    <row r="48" spans="1:7" s="9" customFormat="1" x14ac:dyDescent="0.25">
      <c r="A48" s="48" t="s">
        <v>60</v>
      </c>
      <c r="B48" s="49">
        <f>IF(321144.32706="","-",321144.32706)</f>
        <v>321144.32705999998</v>
      </c>
      <c r="C48" s="49">
        <f>IF(OR(329570.59885="",321144.32706=""),"-",321144.32706/329570.59885*100)</f>
        <v>97.443257432731386</v>
      </c>
      <c r="D48" s="49">
        <f>IF(329570.59885="","-",329570.59885/3307388.5187*100)</f>
        <v>9.9646774785183325</v>
      </c>
      <c r="E48" s="49">
        <f>IF(321144.32706="","-",321144.32706/2889645.06346*100)</f>
        <v>11.113625376379913</v>
      </c>
      <c r="F48" s="49">
        <f>IF(OR(3222930.24801="",335697.17559="",329570.59885=""),"-",(329570.59885-335697.17559)/3222930.24801*100)</f>
        <v>-0.19009337058358144</v>
      </c>
      <c r="G48" s="49">
        <f>IF(OR(3307388.5187="",321144.32706="",329570.59885=""),"-",(321144.32706-329570.59885)/3307388.5187*100)</f>
        <v>-0.25477115078430684</v>
      </c>
    </row>
    <row r="49" spans="1:7" s="9" customFormat="1" x14ac:dyDescent="0.25">
      <c r="A49" s="48" t="s">
        <v>57</v>
      </c>
      <c r="B49" s="49">
        <f>IF(195143.62644="","-",195143.62644)</f>
        <v>195143.62643999999</v>
      </c>
      <c r="C49" s="49">
        <f>IF(OR(212671.44389="",195143.62644=""),"-",195143.62644/212671.44389*100)</f>
        <v>91.758264706630797</v>
      </c>
      <c r="D49" s="49">
        <f>IF(212671.44389="","-",212671.44389/3307388.5187*100)</f>
        <v>6.4301923613616614</v>
      </c>
      <c r="E49" s="49">
        <f>IF(195143.62644="","-",195143.62644/2889645.06346*100)</f>
        <v>6.7532040148328507</v>
      </c>
      <c r="F49" s="49">
        <f>IF(OR(3222930.24801="",187693.97874="",212671.44389=""),"-",(212671.44389-187693.97874)/3222930.24801*100)</f>
        <v>0.77499242080781461</v>
      </c>
      <c r="G49" s="49">
        <f>IF(OR(3307388.5187="",195143.62644="",212671.44389=""),"-",(195143.62644-212671.44389)/3307388.5187*100)</f>
        <v>-0.52995943327787431</v>
      </c>
    </row>
    <row r="50" spans="1:7" s="9" customFormat="1" x14ac:dyDescent="0.25">
      <c r="A50" s="48" t="s">
        <v>19</v>
      </c>
      <c r="B50" s="49">
        <f>IF(38463.85924="","-",38463.85924)</f>
        <v>38463.859239999998</v>
      </c>
      <c r="C50" s="49">
        <f>IF(OR(41449.84736="",38463.85924=""),"-",38463.85924/41449.84736*100)</f>
        <v>92.796142060389002</v>
      </c>
      <c r="D50" s="49">
        <f>IF(41449.84736="","-",41449.84736/3307388.5187*100)</f>
        <v>1.2532500226581258</v>
      </c>
      <c r="E50" s="49">
        <f>IF(38463.85924="","-",38463.85924/2889645.06346*100)</f>
        <v>1.3310928641853399</v>
      </c>
      <c r="F50" s="49">
        <f>IF(OR(3222930.24801="",42960.627="",41449.84736=""),"-",(41449.84736-42960.627)/3222930.24801*100)</f>
        <v>-4.6875964533605166E-2</v>
      </c>
      <c r="G50" s="49">
        <f>IF(OR(3307388.5187="",38463.85924="",41449.84736=""),"-",(38463.85924-41449.84736)/3307388.5187*100)</f>
        <v>-9.0282351260434088E-2</v>
      </c>
    </row>
    <row r="51" spans="1:7" s="9" customFormat="1" x14ac:dyDescent="0.25">
      <c r="A51" s="48" t="s">
        <v>77</v>
      </c>
      <c r="B51" s="49">
        <f>IF(29452.42843="","-",29452.42843)</f>
        <v>29452.42843</v>
      </c>
      <c r="C51" s="49">
        <f>IF(OR(27103.48099="",29452.42843=""),"-",29452.42843/27103.48099*100)</f>
        <v>108.6665895088039</v>
      </c>
      <c r="D51" s="49">
        <f>IF(27103.48099="","-",27103.48099/3307388.5187*100)</f>
        <v>0.81948282872594835</v>
      </c>
      <c r="E51" s="49">
        <f>IF(29452.42843="","-",29452.42843/2889645.06346*100)</f>
        <v>1.0192403490113864</v>
      </c>
      <c r="F51" s="49">
        <f>IF(OR(3222930.24801="",32173.54627="",27103.48099=""),"-",(27103.48099-32173.54627)/3222930.24801*100)</f>
        <v>-0.15731228695161842</v>
      </c>
      <c r="G51" s="49">
        <f>IF(OR(3307388.5187="",29452.42843="",27103.48099=""),"-",(29452.42843-27103.48099)/3307388.5187*100)</f>
        <v>7.1021212860812491E-2</v>
      </c>
    </row>
    <row r="52" spans="1:7" s="9" customFormat="1" ht="25.5" x14ac:dyDescent="0.25">
      <c r="A52" s="48" t="s">
        <v>124</v>
      </c>
      <c r="B52" s="49">
        <f>IF(26422.52358="","-",26422.52358)</f>
        <v>26422.523580000001</v>
      </c>
      <c r="C52" s="49">
        <f>IF(OR(33345.04013="",26422.52358=""),"-",26422.52358/33345.04013*100)</f>
        <v>79.239741433773474</v>
      </c>
      <c r="D52" s="49">
        <f>IF(33345.04013="","-",33345.04013/3307388.5187*100)</f>
        <v>1.0081984605517884</v>
      </c>
      <c r="E52" s="49">
        <f>IF(26422.52358="","-",26422.52358/2889645.06346*100)</f>
        <v>0.91438647306954135</v>
      </c>
      <c r="F52" s="49">
        <f>IF(OR(3222930.24801="",34242.38117="",33345.04013=""),"-",(33345.04013-34242.38117)/3222930.24801*100)</f>
        <v>-2.7842397164942148E-2</v>
      </c>
      <c r="G52" s="49">
        <f>IF(OR(3307388.5187="",26422.52358="",33345.04013=""),"-",(26422.52358-33345.04013)/3307388.5187*100)</f>
        <v>-0.20930460727126671</v>
      </c>
    </row>
    <row r="53" spans="1:7" s="9" customFormat="1" x14ac:dyDescent="0.25">
      <c r="A53" s="48" t="s">
        <v>70</v>
      </c>
      <c r="B53" s="49">
        <f>IF(23015.99902="","-",23015.99902)</f>
        <v>23015.999019999999</v>
      </c>
      <c r="C53" s="49">
        <f>IF(OR(20910.13837="",23015.99902=""),"-",23015.99902/20910.13837*100)</f>
        <v>110.07100293999632</v>
      </c>
      <c r="D53" s="49">
        <f>IF(20910.13837="","-",20910.13837/3307388.5187*100)</f>
        <v>0.63222503953720344</v>
      </c>
      <c r="E53" s="49">
        <f>IF(23015.99902="","-",23015.99902/2889645.06346*100)</f>
        <v>0.79649917254685698</v>
      </c>
      <c r="F53" s="49">
        <f>IF(OR(3222930.24801="",16995.00081="",20910.13837=""),"-",(20910.13837-16995.00081)/3222930.24801*100)</f>
        <v>0.12147757657545964</v>
      </c>
      <c r="G53" s="49">
        <f>IF(OR(3307388.5187="",23015.99902="",20910.13837=""),"-",(23015.99902-20910.13837)/3307388.5187*100)</f>
        <v>6.3671402319184653E-2</v>
      </c>
    </row>
    <row r="54" spans="1:7" s="9" customFormat="1" x14ac:dyDescent="0.25">
      <c r="A54" s="48" t="s">
        <v>37</v>
      </c>
      <c r="B54" s="49">
        <f>IF(21840.9555="","-",21840.9555)</f>
        <v>21840.9555</v>
      </c>
      <c r="C54" s="49">
        <f>IF(OR(20691.4856="",21840.9555=""),"-",21840.9555/20691.4856*100)</f>
        <v>105.5552797040344</v>
      </c>
      <c r="D54" s="49">
        <f>IF(20691.4856="","-",20691.4856/3307388.5187*100)</f>
        <v>0.62561399977686871</v>
      </c>
      <c r="E54" s="49">
        <f>IF(21840.9555="","-",21840.9555/2889645.06346*100)</f>
        <v>0.75583523305966516</v>
      </c>
      <c r="F54" s="49">
        <f>IF(OR(3222930.24801="",20687.05697="",20691.4856=""),"-",(20691.4856-20687.05697)/3222930.24801*100)</f>
        <v>1.3741004797522319E-4</v>
      </c>
      <c r="G54" s="49">
        <f>IF(OR(3307388.5187="",21840.9555="",20691.4856=""),"-",(21840.9555-20691.4856)/3307388.5187*100)</f>
        <v>3.4754607555202197E-2</v>
      </c>
    </row>
    <row r="55" spans="1:7" s="9" customFormat="1" x14ac:dyDescent="0.25">
      <c r="A55" s="48" t="s">
        <v>73</v>
      </c>
      <c r="B55" s="49">
        <f>IF(19325.44613="","-",19325.44613)</f>
        <v>19325.44613</v>
      </c>
      <c r="C55" s="49">
        <f>IF(OR(25199.20229="",19325.44613=""),"-",19325.44613/25199.20229*100)</f>
        <v>76.690705950120773</v>
      </c>
      <c r="D55" s="49">
        <f>IF(25199.20229="","-",25199.20229/3307388.5187*100)</f>
        <v>0.76190632420483773</v>
      </c>
      <c r="E55" s="49">
        <f>IF(19325.44613="","-",19325.44613/2889645.06346*100)</f>
        <v>0.66878269495354981</v>
      </c>
      <c r="F55" s="49">
        <f>IF(OR(3222930.24801="",19628.74147="",25199.20229=""),"-",(25199.20229-19628.74147)/3222930.24801*100)</f>
        <v>0.17283839212590726</v>
      </c>
      <c r="G55" s="49">
        <f>IF(OR(3307388.5187="",19325.44613="",25199.20229=""),"-",(19325.44613-25199.20229)/3307388.5187*100)</f>
        <v>-0.17759498549353178</v>
      </c>
    </row>
    <row r="56" spans="1:7" s="9" customFormat="1" x14ac:dyDescent="0.25">
      <c r="A56" s="48" t="s">
        <v>130</v>
      </c>
      <c r="B56" s="49">
        <f>IF(16532.96571="","-",16532.96571)</f>
        <v>16532.96571</v>
      </c>
      <c r="C56" s="49">
        <f>IF(OR(20096.40712="",16532.96571=""),"-",16532.96571/20096.40712*100)</f>
        <v>82.268266219320111</v>
      </c>
      <c r="D56" s="49">
        <f>IF(20096.40712="","-",20096.40712/3307388.5187*100)</f>
        <v>0.60762160255363895</v>
      </c>
      <c r="E56" s="49">
        <f>IF(16532.96571="","-",16532.96571/2889645.06346*100)</f>
        <v>0.5721452063113861</v>
      </c>
      <c r="F56" s="49">
        <f>IF(OR(3222930.24801="",17917.32408="",20096.40712=""),"-",(20096.40712-17917.32408)/3222930.24801*100)</f>
        <v>6.7611858536047342E-2</v>
      </c>
      <c r="G56" s="49">
        <f>IF(OR(3307388.5187="",16532.96571="",20096.40712=""),"-",(16532.96571-20096.40712)/3307388.5187*100)</f>
        <v>-0.10774184495871214</v>
      </c>
    </row>
    <row r="57" spans="1:7" s="9" customFormat="1" x14ac:dyDescent="0.25">
      <c r="A57" s="48" t="s">
        <v>67</v>
      </c>
      <c r="B57" s="49">
        <f>IF(16344.48881="","-",16344.48881)</f>
        <v>16344.488810000001</v>
      </c>
      <c r="C57" s="49">
        <f>IF(OR(11610.26586="",16344.48881=""),"-",16344.48881/11610.26586*100)</f>
        <v>140.77618038283234</v>
      </c>
      <c r="D57" s="49">
        <f>IF(11610.26586="","-",11610.26586/3307388.5187*100)</f>
        <v>0.35104027828467893</v>
      </c>
      <c r="E57" s="49">
        <f>IF(16344.48881="","-",16344.48881/2889645.06346*100)</f>
        <v>0.56562271320718727</v>
      </c>
      <c r="F57" s="49">
        <f>IF(OR(3222930.24801="",16087.64033="",11610.26586=""),"-",(11610.26586-16087.64033)/3222930.24801*100)</f>
        <v>-0.13892247506022065</v>
      </c>
      <c r="G57" s="49">
        <f>IF(OR(3307388.5187="",16344.48881="",11610.26586=""),"-",(16344.48881-11610.26586)/3307388.5187*100)</f>
        <v>0.14314081708975734</v>
      </c>
    </row>
    <row r="58" spans="1:7" s="9" customFormat="1" x14ac:dyDescent="0.25">
      <c r="A58" s="48" t="s">
        <v>80</v>
      </c>
      <c r="B58" s="49">
        <f>IF(11535.10946="","-",11535.10946)</f>
        <v>11535.10946</v>
      </c>
      <c r="C58" s="49">
        <f>IF(OR(10212.91685="",11535.10946=""),"-",11535.10946/10212.91685*100)</f>
        <v>112.94627802634074</v>
      </c>
      <c r="D58" s="49">
        <f>IF(10212.91685="","-",10212.91685/3307388.5187*100)</f>
        <v>0.30879096278698709</v>
      </c>
      <c r="E58" s="49">
        <f>IF(11535.10946="","-",11535.10946/2889645.06346*100)</f>
        <v>0.39918776204950596</v>
      </c>
      <c r="F58" s="49">
        <f>IF(OR(3222930.24801="",9132.83796="",10212.91685=""),"-",(10212.91685-9132.83796)/3222930.24801*100)</f>
        <v>3.3512325954522103E-2</v>
      </c>
      <c r="G58" s="49">
        <f>IF(OR(3307388.5187="",11535.10946="",10212.91685=""),"-",(11535.10946-10212.91685)/3307388.5187*100)</f>
        <v>3.99769365626177E-2</v>
      </c>
    </row>
    <row r="59" spans="1:7" s="9" customFormat="1" x14ac:dyDescent="0.25">
      <c r="A59" s="48" t="s">
        <v>71</v>
      </c>
      <c r="B59" s="49">
        <f>IF(9466.972="","-",9466.972)</f>
        <v>9466.9719999999998</v>
      </c>
      <c r="C59" s="49">
        <f>IF(OR(12813.90463="",9466.972=""),"-",9466.972/12813.90463*100)</f>
        <v>73.880462461347335</v>
      </c>
      <c r="D59" s="49">
        <f>IF(12813.90463="","-",12813.90463/3307388.5187*100)</f>
        <v>0.3874326997735551</v>
      </c>
      <c r="E59" s="49">
        <f>IF(9466.972="","-",9466.972/2889645.06346*100)</f>
        <v>0.32761712224491846</v>
      </c>
      <c r="F59" s="49">
        <f>IF(OR(3222930.24801="",11611.40426="",12813.90463=""),"-",(12813.90463-11611.40426)/3222930.24801*100)</f>
        <v>3.7310778622729614E-2</v>
      </c>
      <c r="G59" s="49">
        <f>IF(OR(3307388.5187="",9466.972="",12813.90463=""),"-",(9466.972-12813.90463)/3307388.5187*100)</f>
        <v>-0.10119562945436916</v>
      </c>
    </row>
    <row r="60" spans="1:7" s="9" customFormat="1" x14ac:dyDescent="0.25">
      <c r="A60" s="48" t="s">
        <v>62</v>
      </c>
      <c r="B60" s="49">
        <f>IF(6352.05957="","-",6352.05957)</f>
        <v>6352.0595700000003</v>
      </c>
      <c r="C60" s="49">
        <f>IF(OR(7016.842="",6352.05957=""),"-",6352.05957/7016.842*100)</f>
        <v>90.525902820670623</v>
      </c>
      <c r="D60" s="49">
        <f>IF(7016.842="","-",7016.842/3307388.5187*100)</f>
        <v>0.21215656885566125</v>
      </c>
      <c r="E60" s="49">
        <f>IF(6352.05957="","-",6352.05957/2889645.06346*100)</f>
        <v>0.21982144625036332</v>
      </c>
      <c r="F60" s="49">
        <f>IF(OR(3222930.24801="",5616.76804="",7016.842=""),"-",(7016.842-5616.76804)/3222930.24801*100)</f>
        <v>4.344102578280979E-2</v>
      </c>
      <c r="G60" s="49">
        <f>IF(OR(3307388.5187="",6352.05957="",7016.842=""),"-",(6352.05957-7016.842)/3307388.5187*100)</f>
        <v>-2.0099919505716199E-2</v>
      </c>
    </row>
    <row r="61" spans="1:7" s="9" customFormat="1" x14ac:dyDescent="0.25">
      <c r="A61" s="48" t="s">
        <v>63</v>
      </c>
      <c r="B61" s="49">
        <f>IF(6194.91423="","-",6194.91423)</f>
        <v>6194.9142300000003</v>
      </c>
      <c r="C61" s="49">
        <f>IF(OR(6945.22949="",6194.91423=""),"-",6194.91423/6945.22949*100)</f>
        <v>89.196681533989178</v>
      </c>
      <c r="D61" s="49">
        <f>IF(6945.22949="","-",6945.22949/3307388.5187*100)</f>
        <v>0.20999134062211375</v>
      </c>
      <c r="E61" s="49">
        <f>IF(6194.91423="","-",6194.91423/2889645.06346*100)</f>
        <v>0.21438322333547569</v>
      </c>
      <c r="F61" s="49">
        <f>IF(OR(3222930.24801="",8854.6364="",6945.22949=""),"-",(6945.22949-8854.6364)/3222930.24801*100)</f>
        <v>-5.9244437920397561E-2</v>
      </c>
      <c r="G61" s="49">
        <f>IF(OR(3307388.5187="",6194.91423="",6945.22949=""),"-",(6194.91423-6945.22949)/3307388.5187*100)</f>
        <v>-2.2686033278452505E-2</v>
      </c>
    </row>
    <row r="62" spans="1:7" s="9" customFormat="1" x14ac:dyDescent="0.25">
      <c r="A62" s="48" t="s">
        <v>83</v>
      </c>
      <c r="B62" s="49">
        <f>IF(5533.61961="","-",5533.61961)</f>
        <v>5533.6196099999997</v>
      </c>
      <c r="C62" s="49">
        <f>IF(OR(5829.09234="",5533.61961=""),"-",5533.61961/5829.09234*100)</f>
        <v>94.93106794736417</v>
      </c>
      <c r="D62" s="49">
        <f>IF(5829.09234="","-",5829.09234/3307388.5187*100)</f>
        <v>0.17624455993126503</v>
      </c>
      <c r="E62" s="49">
        <f>IF(5533.61961="","-",5533.61961/2889645.06346*100)</f>
        <v>0.19149824592554493</v>
      </c>
      <c r="F62" s="49">
        <f>IF(OR(3222930.24801="",5107.63651="",5829.09234=""),"-",(5829.09234-5107.63651)/3222930.24801*100)</f>
        <v>2.2385089793533791E-2</v>
      </c>
      <c r="G62" s="49">
        <f>IF(OR(3307388.5187="",5533.61961="",5829.09234=""),"-",(5533.61961-5829.09234)/3307388.5187*100)</f>
        <v>-8.9337169893828738E-3</v>
      </c>
    </row>
    <row r="63" spans="1:7" s="9" customFormat="1" x14ac:dyDescent="0.25">
      <c r="A63" s="48" t="s">
        <v>72</v>
      </c>
      <c r="B63" s="49">
        <f>IF(5381.70562="","-",5381.70562)</f>
        <v>5381.7056199999997</v>
      </c>
      <c r="C63" s="49">
        <f>IF(OR(5761.27176="",5381.70562=""),"-",5381.70562/5761.27176*100)</f>
        <v>93.411764696897421</v>
      </c>
      <c r="D63" s="49">
        <f>IF(5761.27176="","-",5761.27176/3307388.5187*100)</f>
        <v>0.17419398197174976</v>
      </c>
      <c r="E63" s="49">
        <f>IF(5381.70562="","-",5381.70562/2889645.06346*100)</f>
        <v>0.18624106081582417</v>
      </c>
      <c r="F63" s="49">
        <f>IF(OR(3222930.24801="",6469.98316="",5761.27176=""),"-",(5761.27176-6469.98316)/3222930.24801*100)</f>
        <v>-2.1989659889089883E-2</v>
      </c>
      <c r="G63" s="49">
        <f>IF(OR(3307388.5187="",5381.70562="",5761.27176=""),"-",(5381.70562-5761.27176)/3307388.5187*100)</f>
        <v>-1.147630941614298E-2</v>
      </c>
    </row>
    <row r="64" spans="1:7" s="9" customFormat="1" x14ac:dyDescent="0.25">
      <c r="A64" s="48" t="s">
        <v>84</v>
      </c>
      <c r="B64" s="49">
        <f>IF(5373.94619="","-",5373.94619)</f>
        <v>5373.9461899999997</v>
      </c>
      <c r="C64" s="49">
        <f>IF(OR(5412.82692="",5373.94619=""),"-",5373.94619/5412.82692*100)</f>
        <v>99.281692716677512</v>
      </c>
      <c r="D64" s="49">
        <f>IF(5412.82692="","-",5412.82692/3307388.5187*100)</f>
        <v>0.1636586354882662</v>
      </c>
      <c r="E64" s="49">
        <f>IF(5373.94619="","-",5373.94619/2889645.06346*100)</f>
        <v>0.18597253544922748</v>
      </c>
      <c r="F64" s="49">
        <f>IF(OR(3222930.24801="",6623.65616="",5412.82692=""),"-",(5412.82692-6623.65616)/3222930.24801*100)</f>
        <v>-3.7569204010779539E-2</v>
      </c>
      <c r="G64" s="49">
        <f>IF(OR(3307388.5187="",5373.94619="",5412.82692=""),"-",(5373.94619-5412.82692)/3307388.5187*100)</f>
        <v>-1.1755718984984324E-3</v>
      </c>
    </row>
    <row r="65" spans="1:7" s="9" customFormat="1" x14ac:dyDescent="0.25">
      <c r="A65" s="48" t="s">
        <v>75</v>
      </c>
      <c r="B65" s="49">
        <f>IF(5209.94594="","-",5209.94594)</f>
        <v>5209.9459399999996</v>
      </c>
      <c r="C65" s="49">
        <f>IF(OR(3910.91625="",5209.94594=""),"-",5209.94594/3910.91625*100)</f>
        <v>133.21548217760991</v>
      </c>
      <c r="D65" s="49">
        <f>IF(3910.91625="","-",3910.91625/3307388.5187*100)</f>
        <v>0.11824786316719824</v>
      </c>
      <c r="E65" s="49">
        <f>IF(5209.94594="","-",5209.94594/2889645.06346*100)</f>
        <v>0.1802970892820214</v>
      </c>
      <c r="F65" s="49">
        <f>IF(OR(3222930.24801="",2884.60932="",3910.91625=""),"-",(3910.91625-2884.60932)/3222930.24801*100)</f>
        <v>3.1843907594143371E-2</v>
      </c>
      <c r="G65" s="49">
        <f>IF(OR(3307388.5187="",5209.94594="",3910.91625=""),"-",(5209.94594-3910.91625)/3307388.5187*100)</f>
        <v>3.9276597915705265E-2</v>
      </c>
    </row>
    <row r="66" spans="1:7" s="9" customFormat="1" x14ac:dyDescent="0.25">
      <c r="A66" s="48" t="s">
        <v>64</v>
      </c>
      <c r="B66" s="49">
        <f>IF(4965.76116="","-",4965.76116)</f>
        <v>4965.76116</v>
      </c>
      <c r="C66" s="49">
        <f>IF(OR(6076.46995="",4965.76116=""),"-",4965.76116/6076.46995*100)</f>
        <v>81.72115061640352</v>
      </c>
      <c r="D66" s="49">
        <f>IF(6076.46995="","-",6076.46995/3307388.5187*100)</f>
        <v>0.18372410485322763</v>
      </c>
      <c r="E66" s="49">
        <f>IF(4965.76116="","-",4965.76116/2889645.06346*100)</f>
        <v>0.17184675110423778</v>
      </c>
      <c r="F66" s="49">
        <f>IF(OR(3222930.24801="",5151.69878="",6076.46995=""),"-",(6076.46995-5151.69878)/3222930.24801*100)</f>
        <v>2.8693490049032253E-2</v>
      </c>
      <c r="G66" s="49">
        <f>IF(OR(3307388.5187="",4965.76116="",6076.46995=""),"-",(4965.76116-6076.46995)/3307388.5187*100)</f>
        <v>-3.358265240748233E-2</v>
      </c>
    </row>
    <row r="67" spans="1:7" s="9" customFormat="1" x14ac:dyDescent="0.25">
      <c r="A67" s="48" t="s">
        <v>79</v>
      </c>
      <c r="B67" s="49">
        <f>IF(4628.78344="","-",4628.78344)</f>
        <v>4628.7834400000002</v>
      </c>
      <c r="C67" s="49">
        <f>IF(OR(4797.81225="",4628.78344=""),"-",4628.78344/4797.81225*100)</f>
        <v>96.476960723087913</v>
      </c>
      <c r="D67" s="49">
        <f>IF(4797.81225="","-",4797.81225/3307388.5187*100)</f>
        <v>0.14506346088078653</v>
      </c>
      <c r="E67" s="49">
        <f>IF(4628.78344="","-",4628.78344/2889645.06346*100)</f>
        <v>0.16018519016510605</v>
      </c>
      <c r="F67" s="49">
        <f>IF(OR(3222930.24801="",4501.37254="",4797.81225=""),"-",(4797.81225-4501.37254)/3222930.24801*100)</f>
        <v>9.1978320096451505E-3</v>
      </c>
      <c r="G67" s="49">
        <f>IF(OR(3307388.5187="",4628.78344="",4797.81225=""),"-",(4628.78344-4797.81225)/3307388.5187*100)</f>
        <v>-5.1106427032781183E-3</v>
      </c>
    </row>
    <row r="68" spans="1:7" s="9" customFormat="1" x14ac:dyDescent="0.25">
      <c r="A68" s="48" t="s">
        <v>85</v>
      </c>
      <c r="B68" s="49">
        <f>IF(3731.68997="","-",3731.68997)</f>
        <v>3731.6899699999999</v>
      </c>
      <c r="C68" s="49">
        <f>IF(OR(3300.93041="",3731.68997=""),"-",3731.68997/3300.93041*100)</f>
        <v>113.04964075265072</v>
      </c>
      <c r="D68" s="49">
        <f>IF(3300.93041="","-",3300.93041/3307388.5187*100)</f>
        <v>9.9804736919672843E-2</v>
      </c>
      <c r="E68" s="49">
        <f>IF(3731.68997="","-",3731.68997/2889645.06346*100)</f>
        <v>0.12914008080742459</v>
      </c>
      <c r="F68" s="49">
        <f>IF(OR(3222930.24801="",3518.0865="",3300.93041=""),"-",(3300.93041-3518.0865)/3222930.24801*100)</f>
        <v>-6.7378464096169337E-3</v>
      </c>
      <c r="G68" s="49">
        <f>IF(OR(3307388.5187="",3731.68997="",3300.93041=""),"-",(3731.68997-3300.93041)/3307388.5187*100)</f>
        <v>1.3024159622145452E-2</v>
      </c>
    </row>
    <row r="69" spans="1:7" s="9" customFormat="1" x14ac:dyDescent="0.25">
      <c r="A69" s="48" t="s">
        <v>66</v>
      </c>
      <c r="B69" s="49">
        <f>IF(3460.13276="","-",3460.13276)</f>
        <v>3460.13276</v>
      </c>
      <c r="C69" s="49">
        <f>IF(OR(3007.1603="",3460.13276=""),"-",3460.13276/3007.1603*100)</f>
        <v>115.0631298238408</v>
      </c>
      <c r="D69" s="49">
        <f>IF(3007.1603="","-",3007.1603/3307388.5187*100)</f>
        <v>9.0922499216451069E-2</v>
      </c>
      <c r="E69" s="49">
        <f>IF(3460.13276="","-",3460.13276/2889645.06346*100)</f>
        <v>0.11974248338503242</v>
      </c>
      <c r="F69" s="49">
        <f>IF(OR(3222930.24801="",3009.48823="",3007.1603=""),"-",(3007.1603-3009.48823)/3222930.24801*100)</f>
        <v>-7.223023214471692E-5</v>
      </c>
      <c r="G69" s="49">
        <f>IF(OR(3307388.5187="",3460.13276="",3007.1603=""),"-",(3460.13276-3007.1603)/3307388.5187*100)</f>
        <v>1.3695774096054644E-2</v>
      </c>
    </row>
    <row r="70" spans="1:7" s="9" customFormat="1" x14ac:dyDescent="0.25">
      <c r="A70" s="48" t="s">
        <v>59</v>
      </c>
      <c r="B70" s="49">
        <f>IF(3335.70785="","-",3335.70785)</f>
        <v>3335.7078499999998</v>
      </c>
      <c r="C70" s="49" t="s">
        <v>104</v>
      </c>
      <c r="D70" s="49">
        <f>IF(1944.40112="","-",1944.40112/3307388.5187*100)</f>
        <v>5.8789619332786008E-2</v>
      </c>
      <c r="E70" s="49">
        <f>IF(3335.70785="","-",3335.70785/2889645.06346*100)</f>
        <v>0.11543659434788485</v>
      </c>
      <c r="F70" s="49">
        <f>IF(OR(3222930.24801="",1768.1783="",1944.40112=""),"-",(1944.40112-1768.1783)/3222930.24801*100)</f>
        <v>5.4677826213834074E-3</v>
      </c>
      <c r="G70" s="49">
        <f>IF(OR(3307388.5187="",3335.70785="",1944.40112=""),"-",(3335.70785-1944.40112)/3307388.5187*100)</f>
        <v>4.2066625137432173E-2</v>
      </c>
    </row>
    <row r="71" spans="1:7" s="9" customFormat="1" x14ac:dyDescent="0.25">
      <c r="A71" s="48" t="s">
        <v>76</v>
      </c>
      <c r="B71" s="49">
        <f>IF(3098.48579="","-",3098.48579)</f>
        <v>3098.4857900000002</v>
      </c>
      <c r="C71" s="49">
        <f>IF(OR(2770.06506="",3098.48579=""),"-",3098.48579/2770.06506*100)</f>
        <v>111.85606557558616</v>
      </c>
      <c r="D71" s="49">
        <f>IF(2770.06506="","-",2770.06506/3307388.5187*100)</f>
        <v>8.3753845196535906E-2</v>
      </c>
      <c r="E71" s="49">
        <f>IF(3098.48579="","-",3098.48579/2889645.06346*100)</f>
        <v>0.1072272103304597</v>
      </c>
      <c r="F71" s="49">
        <f>IF(OR(3222930.24801="",3120.42413="",2770.06506=""),"-",(2770.06506-3120.42413)/3222930.24801*100)</f>
        <v>-1.0870823847842482E-2</v>
      </c>
      <c r="G71" s="49">
        <f>IF(OR(3307388.5187="",3098.48579="",2770.06506=""),"-",(3098.48579-2770.06506)/3307388.5187*100)</f>
        <v>9.9299108085762217E-3</v>
      </c>
    </row>
    <row r="72" spans="1:7" s="9" customFormat="1" x14ac:dyDescent="0.25">
      <c r="A72" s="48" t="s">
        <v>82</v>
      </c>
      <c r="B72" s="49">
        <f>IF(2938.81672="","-",2938.81672)</f>
        <v>2938.8167199999998</v>
      </c>
      <c r="C72" s="49">
        <f>IF(OR(2326.84919="",2938.81672=""),"-",2938.81672/2326.84919*100)</f>
        <v>126.30026615519503</v>
      </c>
      <c r="D72" s="49">
        <f>IF(2326.84919="","-",2326.84919/3307388.5187*100)</f>
        <v>7.0353064868066653E-2</v>
      </c>
      <c r="E72" s="49">
        <f>IF(2938.81672="","-",2938.81672/2889645.06346*100)</f>
        <v>0.10170165039166169</v>
      </c>
      <c r="F72" s="49">
        <f>IF(OR(3222930.24801="",2680.77763="",2326.84919=""),"-",(2326.84919-2680.77763)/3222930.24801*100)</f>
        <v>-1.0981573064404154E-2</v>
      </c>
      <c r="G72" s="49">
        <f>IF(OR(3307388.5187="",2938.81672="",2326.84919=""),"-",(2938.81672-2326.84919)/3307388.5187*100)</f>
        <v>1.8503043308638549E-2</v>
      </c>
    </row>
    <row r="73" spans="1:7" s="9" customFormat="1" x14ac:dyDescent="0.25">
      <c r="A73" s="48" t="s">
        <v>143</v>
      </c>
      <c r="B73" s="49">
        <f>IF(2843.55225="","-",2843.55225)</f>
        <v>2843.5522500000002</v>
      </c>
      <c r="C73" s="49">
        <f>IF(OR(3337.07921="",2843.55225=""),"-",2843.55225/3337.07921*100)</f>
        <v>85.210810743686253</v>
      </c>
      <c r="D73" s="49">
        <f>IF(3337.07921="","-",3337.07921/3307388.5187*100)</f>
        <v>0.10089770799929093</v>
      </c>
      <c r="E73" s="49">
        <f>IF(2843.55225="","-",2843.55225/2889645.06346*100)</f>
        <v>9.8404897056636811E-2</v>
      </c>
      <c r="F73" s="49">
        <f>IF(OR(3222930.24801="",3427.25803="",3337.07921=""),"-",(3337.07921-3427.25803)/3222930.24801*100)</f>
        <v>-2.7980382155549611E-3</v>
      </c>
      <c r="G73" s="49">
        <f>IF(OR(3307388.5187="",2843.55225="",3337.07921=""),"-",(2843.55225-3337.07921)/3307388.5187*100)</f>
        <v>-1.4921952991297954E-2</v>
      </c>
    </row>
    <row r="74" spans="1:7" s="9" customFormat="1" x14ac:dyDescent="0.25">
      <c r="A74" s="48" t="s">
        <v>87</v>
      </c>
      <c r="B74" s="49">
        <f>IF(2740.63807="","-",2740.63807)</f>
        <v>2740.63807</v>
      </c>
      <c r="C74" s="49">
        <f>IF(OR(1884.06596="",2740.63807=""),"-",2740.63807/1884.06596*100)</f>
        <v>145.4640192108773</v>
      </c>
      <c r="D74" s="49">
        <f>IF(1884.06596="","-",1884.06596/3307388.5187*100)</f>
        <v>5.6965365554952997E-2</v>
      </c>
      <c r="E74" s="49">
        <f>IF(2740.63807="","-",2740.63807/2889645.06346*100)</f>
        <v>9.4843415361138425E-2</v>
      </c>
      <c r="F74" s="49">
        <f>IF(OR(3222930.24801="",1039.86076="",1884.06596=""),"-",(1884.06596-1039.86076)/3222930.24801*100)</f>
        <v>2.6193716122812613E-2</v>
      </c>
      <c r="G74" s="49">
        <f>IF(OR(3307388.5187="",2740.63807="",1884.06596=""),"-",(2740.63807-1884.06596)/3307388.5187*100)</f>
        <v>2.5898744739450318E-2</v>
      </c>
    </row>
    <row r="75" spans="1:7" s="9" customFormat="1" x14ac:dyDescent="0.25">
      <c r="A75" s="48" t="s">
        <v>69</v>
      </c>
      <c r="B75" s="49">
        <f>IF(2699.54776="","-",2699.54776)</f>
        <v>2699.5477599999999</v>
      </c>
      <c r="C75" s="49">
        <f>IF(OR(3126.41208="",2699.54776=""),"-",2699.54776/3126.41208*100)</f>
        <v>86.346511301862677</v>
      </c>
      <c r="D75" s="49">
        <f>IF(3126.41208="","-",3126.41208/3307388.5187*100)</f>
        <v>9.4528116739936732E-2</v>
      </c>
      <c r="E75" s="49">
        <f>IF(2699.54776="","-",2699.54776/2889645.06346*100)</f>
        <v>9.3421430684902829E-2</v>
      </c>
      <c r="F75" s="49">
        <f>IF(OR(3222930.24801="",4061.15309="",3126.41208=""),"-",(3126.41208-4061.15309)/3222930.24801*100)</f>
        <v>-2.9002830904489976E-2</v>
      </c>
      <c r="G75" s="49">
        <f>IF(OR(3307388.5187="",2699.54776="",3126.41208=""),"-",(2699.54776-3126.41208)/3307388.5187*100)</f>
        <v>-1.290638573564932E-2</v>
      </c>
    </row>
    <row r="76" spans="1:7" s="9" customFormat="1" x14ac:dyDescent="0.25">
      <c r="A76" s="48" t="s">
        <v>81</v>
      </c>
      <c r="B76" s="49">
        <f>IF(2685.80352="","-",2685.80352)</f>
        <v>2685.8035199999999</v>
      </c>
      <c r="C76" s="49">
        <f>IF(OR(2851.24035="",2685.80352=""),"-",2685.80352/2851.24035*100)</f>
        <v>94.197724158891063</v>
      </c>
      <c r="D76" s="49">
        <f>IF(2851.24035="","-",2851.24035/3307388.5187*100)</f>
        <v>8.6208207287382932E-2</v>
      </c>
      <c r="E76" s="49">
        <f>IF(2685.80352="","-",2685.80352/2889645.06346*100)</f>
        <v>9.2945793030514132E-2</v>
      </c>
      <c r="F76" s="49">
        <f>IF(OR(3222930.24801="",3833.99397="",2851.24035=""),"-",(2851.24035-3833.99397)/3222930.24801*100)</f>
        <v>-3.0492550082546827E-2</v>
      </c>
      <c r="G76" s="49">
        <f>IF(OR(3307388.5187="",2685.80352="",2851.24035=""),"-",(2685.80352-2851.24035)/3307388.5187*100)</f>
        <v>-5.0020379844889409E-3</v>
      </c>
    </row>
    <row r="77" spans="1:7" s="9" customFormat="1" x14ac:dyDescent="0.25">
      <c r="A77" s="48" t="s">
        <v>86</v>
      </c>
      <c r="B77" s="49">
        <f>IF(2464.72458="","-",2464.72458)</f>
        <v>2464.7245800000001</v>
      </c>
      <c r="C77" s="49">
        <f>IF(OR(4967.42307="",2464.72458=""),"-",2464.72458/4967.42307*100)</f>
        <v>49.617770527445735</v>
      </c>
      <c r="D77" s="49">
        <f>IF(4967.42307="","-",4967.42307/3307388.5187*100)</f>
        <v>0.15019170085141653</v>
      </c>
      <c r="E77" s="49">
        <f>IF(2464.72458="","-",2464.72458/2889645.06346*100)</f>
        <v>8.529506309154769E-2</v>
      </c>
      <c r="F77" s="49">
        <f>IF(OR(3222930.24801="",3247.31494="",4967.42307=""),"-",(4967.42307-3247.31494)/3222930.24801*100)</f>
        <v>5.3370938792798299E-2</v>
      </c>
      <c r="G77" s="49">
        <f>IF(OR(3307388.5187="",2464.72458="",4967.42307=""),"-",(2464.72458-4967.42307)/3307388.5187*100)</f>
        <v>-7.5669927371692897E-2</v>
      </c>
    </row>
    <row r="78" spans="1:7" s="9" customFormat="1" x14ac:dyDescent="0.25">
      <c r="A78" s="48" t="s">
        <v>38</v>
      </c>
      <c r="B78" s="49">
        <f>IF(2147.83813="","-",2147.83813)</f>
        <v>2147.8381300000001</v>
      </c>
      <c r="C78" s="49">
        <f>IF(OR(1458.20758="",2147.83813=""),"-",2147.83813/1458.20758*100)</f>
        <v>147.29303011852403</v>
      </c>
      <c r="D78" s="49">
        <f>IF(1458.20758="","-",1458.20758/3307388.5187*100)</f>
        <v>4.4089394752242841E-2</v>
      </c>
      <c r="E78" s="49">
        <f>IF(2147.83813="","-",2147.83813/2889645.06346*100)</f>
        <v>7.4328787198114366E-2</v>
      </c>
      <c r="F78" s="49">
        <f>IF(OR(3222930.24801="",918.42887="",1458.20758=""),"-",(1458.20758-918.42887)/3222930.24801*100)</f>
        <v>1.6748072979031633E-2</v>
      </c>
      <c r="G78" s="49">
        <f>IF(OR(3307388.5187="",2147.83813="",1458.20758=""),"-",(2147.83813-1458.20758)/3307388.5187*100)</f>
        <v>2.085121073925315E-2</v>
      </c>
    </row>
    <row r="79" spans="1:7" s="9" customFormat="1" x14ac:dyDescent="0.25">
      <c r="A79" s="48" t="s">
        <v>40</v>
      </c>
      <c r="B79" s="49">
        <f>IF(2133.66966="","-",2133.66966)</f>
        <v>2133.66966</v>
      </c>
      <c r="C79" s="49">
        <f>IF(OR(1995.07051="",2133.66966=""),"-",2133.66966/1995.07051*100)</f>
        <v>106.94708028138815</v>
      </c>
      <c r="D79" s="49">
        <f>IF(1995.07051="","-",1995.07051/3307388.5187*100)</f>
        <v>6.0321625316162766E-2</v>
      </c>
      <c r="E79" s="49">
        <f>IF(2133.66966="","-",2133.66966/2889645.06346*100)</f>
        <v>7.383846850191314E-2</v>
      </c>
      <c r="F79" s="49">
        <f>IF(OR(3222930.24801="",2676.39852="",1995.07051=""),"-",(1995.07051-2676.39852)/3222930.24801*100)</f>
        <v>-2.1140017238061123E-2</v>
      </c>
      <c r="G79" s="49">
        <f>IF(OR(3307388.5187="",2133.66966="",1995.07051=""),"-",(2133.66966-1995.07051)/3307388.5187*100)</f>
        <v>4.1905917377519858E-3</v>
      </c>
    </row>
    <row r="80" spans="1:7" s="9" customFormat="1" x14ac:dyDescent="0.25">
      <c r="A80" s="48" t="s">
        <v>39</v>
      </c>
      <c r="B80" s="49">
        <f>IF(1584.05903="","-",1584.05903)</f>
        <v>1584.0590299999999</v>
      </c>
      <c r="C80" s="49">
        <f>IF(OR(1510.3982="",1584.05903=""),"-",1584.05903/1510.3982*100)</f>
        <v>104.87691457789077</v>
      </c>
      <c r="D80" s="49">
        <f>IF(1510.3982="","-",1510.3982/3307388.5187*100)</f>
        <v>4.5667395634356144E-2</v>
      </c>
      <c r="E80" s="49">
        <f>IF(1584.05903="","-",1584.05903/2889645.06346*100)</f>
        <v>5.4818463694059405E-2</v>
      </c>
      <c r="F80" s="49">
        <f>IF(OR(3222930.24801="",1249.10474="",1510.3982=""),"-",(1510.3982-1249.10474)/3222930.24801*100)</f>
        <v>8.1073259392236575E-3</v>
      </c>
      <c r="G80" s="49">
        <f>IF(OR(3307388.5187="",1584.05903="",1510.3982=""),"-",(1584.05903-1510.3982)/3307388.5187*100)</f>
        <v>2.2271598750349684E-3</v>
      </c>
    </row>
    <row r="81" spans="1:7" s="9" customFormat="1" x14ac:dyDescent="0.25">
      <c r="A81" s="48" t="s">
        <v>88</v>
      </c>
      <c r="B81" s="49">
        <f>IF(1345.2171="","-",1345.2171)</f>
        <v>1345.2171000000001</v>
      </c>
      <c r="C81" s="49">
        <f>IF(OR(1612.89678="",1345.2171=""),"-",1345.2171/1612.89678*100)</f>
        <v>83.403793514920409</v>
      </c>
      <c r="D81" s="49">
        <f>IF(1612.89678="","-",1612.89678/3307388.5187*100)</f>
        <v>4.8766474542699459E-2</v>
      </c>
      <c r="E81" s="49">
        <f>IF(1345.2171="","-",1345.2171/2889645.06346*100)</f>
        <v>4.6553021926826733E-2</v>
      </c>
      <c r="F81" s="49">
        <f>IF(OR(3222930.24801="",1656.68822="",1612.89678=""),"-",(1612.89678-1656.68822)/3222930.24801*100)</f>
        <v>-1.3587461294590228E-3</v>
      </c>
      <c r="G81" s="49">
        <f>IF(OR(3307388.5187="",1345.2171="",1612.89678=""),"-",(1345.2171-1612.89678)/3307388.5187*100)</f>
        <v>-8.0933848106001759E-3</v>
      </c>
    </row>
    <row r="82" spans="1:7" s="9" customFormat="1" x14ac:dyDescent="0.25">
      <c r="A82" s="48" t="s">
        <v>89</v>
      </c>
      <c r="B82" s="49">
        <f>IF(1245.60544="","-",1245.60544)</f>
        <v>1245.60544</v>
      </c>
      <c r="C82" s="49">
        <f>IF(OR(1692.8304="",1245.60544=""),"-",1245.60544/1692.8304*100)</f>
        <v>73.581230582815621</v>
      </c>
      <c r="D82" s="49">
        <f>IF(1692.8304="","-",1692.8304/3307388.5187*100)</f>
        <v>5.1183294325076234E-2</v>
      </c>
      <c r="E82" s="49">
        <f>IF(1245.60544="","-",1245.60544/2889645.06346*100)</f>
        <v>4.3105828316109471E-2</v>
      </c>
      <c r="F82" s="49">
        <f>IF(OR(3222930.24801="",2501.4132="",1692.8304=""),"-",(1692.8304-2501.4132)/3222930.24801*100)</f>
        <v>-2.5088436229709278E-2</v>
      </c>
      <c r="G82" s="49">
        <f>IF(OR(3307388.5187="",1245.60544="",1692.8304=""),"-",(1245.60544-1692.8304)/3307388.5187*100)</f>
        <v>-1.352199650786071E-2</v>
      </c>
    </row>
    <row r="83" spans="1:7" s="9" customFormat="1" x14ac:dyDescent="0.25">
      <c r="A83" s="48" t="s">
        <v>74</v>
      </c>
      <c r="B83" s="49">
        <f>IF(1165.99132="","-",1165.99132)</f>
        <v>1165.9913200000001</v>
      </c>
      <c r="C83" s="49">
        <f>IF(OR(941.92272="",1165.99132=""),"-",1165.99132/941.92272*100)</f>
        <v>123.7884271440018</v>
      </c>
      <c r="D83" s="49">
        <f>IF(941.92272="","-",941.92272/3307388.5187*100)</f>
        <v>2.8479349029433998E-2</v>
      </c>
      <c r="E83" s="49">
        <f>IF(1165.99132="","-",1165.99132/2889645.06346*100)</f>
        <v>4.0350676100125139E-2</v>
      </c>
      <c r="F83" s="49">
        <f>IF(OR(3222930.24801="",1258.34052="",941.92272=""),"-",(941.92272-1258.34052)/3222930.24801*100)</f>
        <v>-9.8177054931726255E-3</v>
      </c>
      <c r="G83" s="49">
        <f>IF(OR(3307388.5187="",1165.99132="",941.92272=""),"-",(1165.99132-941.92272)/3307388.5187*100)</f>
        <v>6.7747891949528913E-3</v>
      </c>
    </row>
    <row r="84" spans="1:7" s="9" customFormat="1" x14ac:dyDescent="0.25">
      <c r="A84" s="48" t="s">
        <v>188</v>
      </c>
      <c r="B84" s="49">
        <f>IF(1097.88616="","-",1097.88616)</f>
        <v>1097.88616</v>
      </c>
      <c r="C84" s="49">
        <f>IF(OR(1389.14418="",1097.88616=""),"-",1097.88616/1389.14418*100)</f>
        <v>79.033276445069944</v>
      </c>
      <c r="D84" s="49">
        <f>IF(1389.14418="","-",1389.14418/3307388.5187*100)</f>
        <v>4.2001239713622039E-2</v>
      </c>
      <c r="E84" s="49">
        <f>IF(1097.88616="","-",1097.88616/2889645.06346*100)</f>
        <v>3.7993806709444598E-2</v>
      </c>
      <c r="F84" s="49">
        <f>IF(OR(3222930.24801="",954.56491="",1389.14418=""),"-",(1389.14418-954.56491)/3222930.24801*100)</f>
        <v>1.3483979998274278E-2</v>
      </c>
      <c r="G84" s="49">
        <f>IF(OR(3307388.5187="",1097.88616="",1389.14418=""),"-",(1097.88616-1389.14418)/3307388.5187*100)</f>
        <v>-8.8062838203986291E-3</v>
      </c>
    </row>
    <row r="85" spans="1:7" s="9" customFormat="1" x14ac:dyDescent="0.25">
      <c r="A85" s="48" t="s">
        <v>92</v>
      </c>
      <c r="B85" s="49">
        <f>IF(1063.4357="","-",1063.4357)</f>
        <v>1063.4357</v>
      </c>
      <c r="C85" s="49">
        <f>IF(OR(1620.72279="",1063.4357=""),"-",1063.4357/1620.72279*100)</f>
        <v>65.614903829420442</v>
      </c>
      <c r="D85" s="49">
        <f>IF(1620.72279="","-",1620.72279/3307388.5187*100)</f>
        <v>4.9003096577146021E-2</v>
      </c>
      <c r="E85" s="49">
        <f>IF(1063.4357="","-",1063.4357/2889645.06346*100)</f>
        <v>3.68016028489902E-2</v>
      </c>
      <c r="F85" s="49">
        <f>IF(OR(3222930.24801="",1135.76102="",1620.72279=""),"-",(1620.72279-1135.76102)/3222930.24801*100)</f>
        <v>1.5047231329298546E-2</v>
      </c>
      <c r="G85" s="49">
        <f>IF(OR(3307388.5187="",1063.4357="",1620.72279=""),"-",(1063.4357-1620.72279)/3307388.5187*100)</f>
        <v>-1.6849761884613634E-2</v>
      </c>
    </row>
    <row r="86" spans="1:7" s="9" customFormat="1" x14ac:dyDescent="0.25">
      <c r="A86" s="48" t="s">
        <v>145</v>
      </c>
      <c r="B86" s="49">
        <f>IF(1019.13798="","-",1019.13798)</f>
        <v>1019.13798</v>
      </c>
      <c r="C86" s="49" t="s">
        <v>290</v>
      </c>
      <c r="D86" s="49">
        <f>IF(97.52841="","-",97.52841/3307388.5187*100)</f>
        <v>2.9488041531429894E-3</v>
      </c>
      <c r="E86" s="49">
        <f>IF(1019.13798="","-",1019.13798/2889645.06346*100)</f>
        <v>3.526862149566929E-2</v>
      </c>
      <c r="F86" s="49">
        <f>IF(OR(3222930.24801="",114.7116="",97.52841=""),"-",(97.52841-114.7116)/3222930.24801*100)</f>
        <v>-5.3315426266546662E-4</v>
      </c>
      <c r="G86" s="49">
        <f>IF(OR(3307388.5187="",1019.13798="",97.52841=""),"-",(1019.13798-97.52841)/3307388.5187*100)</f>
        <v>2.7865174133284081E-2</v>
      </c>
    </row>
    <row r="87" spans="1:7" s="9" customFormat="1" x14ac:dyDescent="0.25">
      <c r="A87" s="48" t="s">
        <v>147</v>
      </c>
      <c r="B87" s="49">
        <f>IF(874.77124="","-",874.77124)</f>
        <v>874.77124000000003</v>
      </c>
      <c r="C87" s="49">
        <f>IF(OR(1824.25556="",874.77124=""),"-",874.77124/1824.25556*100)</f>
        <v>47.952230991144681</v>
      </c>
      <c r="D87" s="49">
        <f>IF(1824.25556="","-",1824.25556/3307388.5187*100)</f>
        <v>5.5156978071540283E-2</v>
      </c>
      <c r="E87" s="49">
        <f>IF(874.77124="","-",874.77124/2889645.06346*100)</f>
        <v>3.0272618982227786E-2</v>
      </c>
      <c r="F87" s="49">
        <f>IF(OR(3222930.24801="",621.21245="",1824.25556=""),"-",(1824.25556-621.21245)/3222930.24801*100)</f>
        <v>3.7327618577622637E-2</v>
      </c>
      <c r="G87" s="49">
        <f>IF(OR(3307388.5187="",874.77124="",1824.25556=""),"-",(874.77124-1824.25556)/3307388.5187*100)</f>
        <v>-2.8707976538940267E-2</v>
      </c>
    </row>
    <row r="88" spans="1:7" s="9" customFormat="1" x14ac:dyDescent="0.25">
      <c r="A88" s="48" t="s">
        <v>98</v>
      </c>
      <c r="B88" s="49">
        <f>IF(869.75859="","-",869.75859)</f>
        <v>869.75859000000003</v>
      </c>
      <c r="C88" s="49">
        <f>IF(OR(710.15337="",869.75859=""),"-",869.75859/710.15337*100)</f>
        <v>122.47475358738353</v>
      </c>
      <c r="D88" s="49">
        <f>IF(710.15337="","-",710.15337/3307388.5187*100)</f>
        <v>2.1471725078102782E-2</v>
      </c>
      <c r="E88" s="49">
        <f>IF(869.75859="","-",869.75859/2889645.06346*100)</f>
        <v>3.0099149580625983E-2</v>
      </c>
      <c r="F88" s="49">
        <f>IF(OR(3222930.24801="",626.44453="",710.15337=""),"-",(710.15337-626.44453)/3222930.24801*100)</f>
        <v>2.5972898436659019E-3</v>
      </c>
      <c r="G88" s="49">
        <f>IF(OR(3307388.5187="",869.75859="",710.15337=""),"-",(869.75859-710.15337)/3307388.5187*100)</f>
        <v>4.8257173022640343E-3</v>
      </c>
    </row>
    <row r="89" spans="1:7" x14ac:dyDescent="0.25">
      <c r="A89" s="48" t="s">
        <v>90</v>
      </c>
      <c r="B89" s="49">
        <f>IF(659.1386="","-",659.1386)</f>
        <v>659.1386</v>
      </c>
      <c r="C89" s="49">
        <f>IF(OR(815.47972="",659.1386=""),"-",659.1386/815.47972*100)</f>
        <v>80.82832519734518</v>
      </c>
      <c r="D89" s="49">
        <f>IF(815.47972="","-",815.47972/3307388.5187*100)</f>
        <v>2.4656302559837515E-2</v>
      </c>
      <c r="E89" s="49">
        <f>IF(659.1386="","-",659.1386/2889645.06346*100)</f>
        <v>2.2810365478269548E-2</v>
      </c>
      <c r="F89" s="49">
        <f>IF(OR(3222930.24801="",872.26546="",815.47972=""),"-",(815.47972-872.26546)/3222930.24801*100)</f>
        <v>-1.7619289165523302E-3</v>
      </c>
      <c r="G89" s="49">
        <f>IF(OR(3307388.5187="",659.1386="",815.47972=""),"-",(659.1386-815.47972)/3307388.5187*100)</f>
        <v>-4.7270261451307022E-3</v>
      </c>
    </row>
    <row r="90" spans="1:7" x14ac:dyDescent="0.25">
      <c r="A90" s="48" t="s">
        <v>184</v>
      </c>
      <c r="B90" s="49">
        <f>IF(625.2805="","-",625.2805)</f>
        <v>625.28049999999996</v>
      </c>
      <c r="C90" s="49" t="str">
        <f>IF(OR(""="",625.2805=""),"-",625.2805/""*100)</f>
        <v>-</v>
      </c>
      <c r="D90" s="49" t="str">
        <f>IF(""="","-",""/3307388.5187*100)</f>
        <v>-</v>
      </c>
      <c r="E90" s="49">
        <f>IF(625.2805="","-",625.2805/2889645.06346*100)</f>
        <v>2.1638661021270975E-2</v>
      </c>
      <c r="F90" s="49" t="str">
        <f>IF(OR(3222930.24801="",""="",""=""),"-",(""-"")/3222930.24801*100)</f>
        <v>-</v>
      </c>
      <c r="G90" s="49" t="str">
        <f>IF(OR(3307388.5187="",625.2805="",""=""),"-",(625.2805-"")/3307388.5187*100)</f>
        <v>-</v>
      </c>
    </row>
    <row r="91" spans="1:7" x14ac:dyDescent="0.25">
      <c r="A91" s="48" t="s">
        <v>68</v>
      </c>
      <c r="B91" s="49">
        <f>IF(586.17266="","-",586.17266)</f>
        <v>586.17265999999995</v>
      </c>
      <c r="C91" s="49">
        <f>IF(OR(1108.7469="",586.17266=""),"-",586.17266/1108.7469*100)</f>
        <v>52.868031468678737</v>
      </c>
      <c r="D91" s="49">
        <f>IF(1108.7469="","-",1108.7469/3307388.5187*100)</f>
        <v>3.3523334006003123E-2</v>
      </c>
      <c r="E91" s="49">
        <f>IF(586.17266="","-",586.17266/2889645.06346*100)</f>
        <v>2.0285282348764633E-2</v>
      </c>
      <c r="F91" s="49">
        <f>IF(OR(3222930.24801="",1019.54667="",1108.7469=""),"-",(1108.7469-1019.54667)/3222930.24801*100)</f>
        <v>2.7676748528788942E-3</v>
      </c>
      <c r="G91" s="49">
        <f>IF(OR(3307388.5187="",586.17266="",1108.7469=""),"-",(586.17266-1108.7469)/3307388.5187*100)</f>
        <v>-1.5800207234359116E-2</v>
      </c>
    </row>
    <row r="92" spans="1:7" x14ac:dyDescent="0.25">
      <c r="A92" s="48" t="s">
        <v>178</v>
      </c>
      <c r="B92" s="49">
        <f>IF(584.07003="","-",584.07003)</f>
        <v>584.07002999999997</v>
      </c>
      <c r="C92" s="49">
        <f>IF(OR(663.99883="",584.07003=""),"-",584.07003/663.99883*100)</f>
        <v>87.962508909842512</v>
      </c>
      <c r="D92" s="49">
        <f>IF(663.99883="","-",663.99883/3307388.5187*100)</f>
        <v>2.0076227097171849E-2</v>
      </c>
      <c r="E92" s="49">
        <f>IF(584.07003="","-",584.07003/2889645.06346*100)</f>
        <v>2.0212518048865379E-2</v>
      </c>
      <c r="F92" s="49">
        <f>IF(OR(3222930.24801="",541.88011="",663.99883=""),"-",(663.99883-541.88011)/3222930.24801*100)</f>
        <v>3.7890587323570627E-3</v>
      </c>
      <c r="G92" s="49">
        <f>IF(OR(3307388.5187="",584.07003="",663.99883=""),"-",(584.07003-663.99883)/3307388.5187*100)</f>
        <v>-2.4166740480618463E-3</v>
      </c>
    </row>
    <row r="93" spans="1:7" x14ac:dyDescent="0.25">
      <c r="A93" s="48" t="s">
        <v>94</v>
      </c>
      <c r="B93" s="49">
        <f>IF(583.99703="","-",583.99703)</f>
        <v>583.99703</v>
      </c>
      <c r="C93" s="49">
        <f>IF(OR(593.95363="",583.99703=""),"-",583.99703/593.95363*100)</f>
        <v>98.323673853125541</v>
      </c>
      <c r="D93" s="49">
        <f>IF(593.95363="","-",593.95363/3307388.5187*100)</f>
        <v>1.795838700659997E-2</v>
      </c>
      <c r="E93" s="49">
        <f>IF(583.99703="","-",583.99703/2889645.06346*100)</f>
        <v>2.0209991787044402E-2</v>
      </c>
      <c r="F93" s="49">
        <f>IF(OR(3222930.24801="",370.55734="",593.95363=""),"-",(593.95363-370.55734)/3222930.24801*100)</f>
        <v>6.9314652446461136E-3</v>
      </c>
      <c r="G93" s="49">
        <f>IF(OR(3307388.5187="",583.99703="",593.95363=""),"-",(583.99703-593.95363)/3307388.5187*100)</f>
        <v>-3.0104113694854077E-4</v>
      </c>
    </row>
    <row r="94" spans="1:7" x14ac:dyDescent="0.25">
      <c r="A94" s="48" t="s">
        <v>95</v>
      </c>
      <c r="B94" s="49">
        <f>IF(483.20144="","-",483.20144)</f>
        <v>483.20143999999999</v>
      </c>
      <c r="C94" s="49" t="s">
        <v>106</v>
      </c>
      <c r="D94" s="49">
        <f>IF(252.63667="","-",252.63667/3307388.5187*100)</f>
        <v>7.6385543631052226E-3</v>
      </c>
      <c r="E94" s="49">
        <f>IF(483.20144="","-",483.20144/2889645.06346*100)</f>
        <v>1.6721826708413275E-2</v>
      </c>
      <c r="F94" s="49">
        <f>IF(OR(3222930.24801="",322.95794="",252.63667=""),"-",(252.63667-322.95794)/3222930.24801*100)</f>
        <v>-2.1819048067645863E-3</v>
      </c>
      <c r="G94" s="49">
        <f>IF(OR(3307388.5187="",483.20144="",252.63667=""),"-",(483.20144-252.63667)/3307388.5187*100)</f>
        <v>6.9712030714379333E-3</v>
      </c>
    </row>
    <row r="95" spans="1:7" x14ac:dyDescent="0.25">
      <c r="A95" s="48" t="s">
        <v>65</v>
      </c>
      <c r="B95" s="49">
        <f>IF(426.14642="","-",426.14642)</f>
        <v>426.14641999999998</v>
      </c>
      <c r="C95" s="49" t="s">
        <v>128</v>
      </c>
      <c r="D95" s="49">
        <f>IF(281.10103="","-",281.10103/3307388.5187*100)</f>
        <v>8.4991838246596257E-3</v>
      </c>
      <c r="E95" s="49">
        <f>IF(426.14642="","-",426.14642/2889645.06346*100)</f>
        <v>1.4747362068396776E-2</v>
      </c>
      <c r="F95" s="49">
        <f>IF(OR(3222930.24801="",184.35039="",281.10103=""),"-",(281.10103-184.35039)/3222930.24801*100)</f>
        <v>3.0019464448459193E-3</v>
      </c>
      <c r="G95" s="49">
        <f>IF(OR(3307388.5187="",426.14642="",281.10103=""),"-",(426.14642-281.10103)/3307388.5187*100)</f>
        <v>4.3854959639580372E-3</v>
      </c>
    </row>
    <row r="96" spans="1:7" x14ac:dyDescent="0.25">
      <c r="A96" s="48" t="s">
        <v>103</v>
      </c>
      <c r="B96" s="49">
        <f>IF(426.05468="","-",426.05468)</f>
        <v>426.05468000000002</v>
      </c>
      <c r="C96" s="49" t="s">
        <v>104</v>
      </c>
      <c r="D96" s="49">
        <f>IF(252.30622="","-",252.30622/3307388.5187*100)</f>
        <v>7.6285630966382908E-3</v>
      </c>
      <c r="E96" s="49">
        <f>IF(426.05468="","-",426.05468/2889645.06346*100)</f>
        <v>1.474418728402066E-2</v>
      </c>
      <c r="F96" s="49">
        <f>IF(OR(3222930.24801="",442.75191="",252.30622=""),"-",(252.30622-442.75191)/3222930.24801*100)</f>
        <v>-5.9090850668453276E-3</v>
      </c>
      <c r="G96" s="49">
        <f>IF(OR(3307388.5187="",426.05468="",252.30622=""),"-",(426.05468-252.30622)/3307388.5187*100)</f>
        <v>5.2533429023419809E-3</v>
      </c>
    </row>
    <row r="97" spans="1:7" x14ac:dyDescent="0.25">
      <c r="A97" s="48" t="s">
        <v>112</v>
      </c>
      <c r="B97" s="49">
        <f>IF(422.9867="","-",422.9867)</f>
        <v>422.98669999999998</v>
      </c>
      <c r="C97" s="49">
        <f>IF(OR(405.65979="",422.9867=""),"-",422.9867/405.65979*100)</f>
        <v>104.27129097512969</v>
      </c>
      <c r="D97" s="49">
        <f>IF(405.65979="","-",405.65979/3307388.5187*100)</f>
        <v>1.2265259666543451E-2</v>
      </c>
      <c r="E97" s="49">
        <f>IF(422.9867="","-",422.9867/2889645.06346*100)</f>
        <v>1.4638015767013429E-2</v>
      </c>
      <c r="F97" s="49">
        <f>IF(OR(3222930.24801="",41.85625="",405.65979=""),"-",(405.65979-41.85625)/3222930.24801*100)</f>
        <v>1.1287974358881351E-2</v>
      </c>
      <c r="G97" s="49">
        <f>IF(OR(3307388.5187="",422.9867="",405.65979=""),"-",(422.9867-405.65979)/3307388.5187*100)</f>
        <v>5.2388492921329069E-4</v>
      </c>
    </row>
    <row r="98" spans="1:7" x14ac:dyDescent="0.25">
      <c r="A98" s="48" t="s">
        <v>177</v>
      </c>
      <c r="B98" s="49">
        <f>IF(408.58951="","-",408.58951)</f>
        <v>408.58951000000002</v>
      </c>
      <c r="C98" s="49">
        <f>IF(OR(544.88064="",408.58951=""),"-",408.58951/544.88064*100)</f>
        <v>74.986975129085153</v>
      </c>
      <c r="D98" s="49">
        <f>IF(544.88064="","-",544.88064/3307388.5187*100)</f>
        <v>1.6474648712095381E-2</v>
      </c>
      <c r="E98" s="49">
        <f>IF(408.58951="","-",408.58951/2889645.06346*100)</f>
        <v>1.4139781911857491E-2</v>
      </c>
      <c r="F98" s="49">
        <f>IF(OR(3222930.24801="",366.98922="",544.88064=""),"-",(544.88064-366.98922)/3222930.24801*100)</f>
        <v>5.5195553831746472E-3</v>
      </c>
      <c r="G98" s="49">
        <f>IF(OR(3307388.5187="",408.58951="",544.88064=""),"-",(408.58951-544.88064)/3307388.5187*100)</f>
        <v>-4.1208079797522687E-3</v>
      </c>
    </row>
    <row r="99" spans="1:7" x14ac:dyDescent="0.25">
      <c r="A99" s="48" t="s">
        <v>93</v>
      </c>
      <c r="B99" s="49">
        <f>IF(405.82168="","-",405.82168)</f>
        <v>405.82168000000001</v>
      </c>
      <c r="C99" s="49">
        <f>IF(OR(347.54888="",405.82168=""),"-",405.82168/347.54888*100)</f>
        <v>116.76679263072292</v>
      </c>
      <c r="D99" s="49">
        <f>IF(347.54888="","-",347.54888/3307388.5187*100)</f>
        <v>1.0508256832693104E-2</v>
      </c>
      <c r="E99" s="49">
        <f>IF(405.82168="","-",405.82168/2889645.06346*100)</f>
        <v>1.4043997483693645E-2</v>
      </c>
      <c r="F99" s="49">
        <f>IF(OR(3222930.24801="",788.11414="",347.54888=""),"-",(347.54888-788.11414)/3222930.24801*100)</f>
        <v>-1.3669711290588036E-2</v>
      </c>
      <c r="G99" s="49">
        <f>IF(OR(3307388.5187="",405.82168="",347.54888=""),"-",(405.82168-347.54888)/3307388.5187*100)</f>
        <v>1.7618976322414245E-3</v>
      </c>
    </row>
    <row r="100" spans="1:7" x14ac:dyDescent="0.25">
      <c r="A100" s="48" t="s">
        <v>134</v>
      </c>
      <c r="B100" s="49">
        <f>IF(338.03759="","-",338.03759)</f>
        <v>338.03759000000002</v>
      </c>
      <c r="C100" s="49">
        <f>IF(OR(344.33438="",338.03759=""),"-",338.03759/344.33438*100)</f>
        <v>98.171315335982428</v>
      </c>
      <c r="D100" s="49">
        <f>IF(344.33438="","-",344.33438/3307388.5187*100)</f>
        <v>1.04110653481782E-2</v>
      </c>
      <c r="E100" s="49">
        <f>IF(338.03759="","-",338.03759/2889645.06346*100)</f>
        <v>1.1698239146202993E-2</v>
      </c>
      <c r="F100" s="49">
        <f>IF(OR(3222930.24801="",975.74485="",344.33438=""),"-",(344.33438-975.74485)/3222930.24801*100)</f>
        <v>-1.9591192530147516E-2</v>
      </c>
      <c r="G100" s="49">
        <f>IF(OR(3307388.5187="",338.03759="",344.33438=""),"-",(338.03759-344.33438)/3307388.5187*100)</f>
        <v>-1.9038555538298233E-4</v>
      </c>
    </row>
    <row r="101" spans="1:7" x14ac:dyDescent="0.25">
      <c r="A101" s="48" t="s">
        <v>99</v>
      </c>
      <c r="B101" s="49">
        <f>IF(234.09636="","-",234.09636)</f>
        <v>234.09636</v>
      </c>
      <c r="C101" s="49">
        <f>IF(OR(564.3471="",234.09636=""),"-",234.09636/564.3471*100)</f>
        <v>41.480918392244774</v>
      </c>
      <c r="D101" s="49">
        <f>IF(564.3471="","-",564.3471/3307388.5187*100)</f>
        <v>1.7063223652412685E-2</v>
      </c>
      <c r="E101" s="49">
        <f>IF(234.09636="","-",234.09636/2889645.06346*100)</f>
        <v>8.1012150232630288E-3</v>
      </c>
      <c r="F101" s="49">
        <f>IF(OR(3222930.24801="",517.59312="",564.3471=""),"-",(564.3471-517.59312)/3222930.24801*100)</f>
        <v>1.4506668280788336E-3</v>
      </c>
      <c r="G101" s="49">
        <f>IF(OR(3307388.5187="",234.09636="",564.3471=""),"-",(234.09636-564.3471)/3307388.5187*100)</f>
        <v>-9.9852417740691705E-3</v>
      </c>
    </row>
    <row r="102" spans="1:7" x14ac:dyDescent="0.25">
      <c r="A102" s="48" t="s">
        <v>102</v>
      </c>
      <c r="B102" s="49">
        <f>IF(220.1529="","-",220.1529)</f>
        <v>220.15289999999999</v>
      </c>
      <c r="C102" s="49">
        <f>IF(OR(661.10361="",220.1529=""),"-",220.1529/661.10361*100)</f>
        <v>33.300816493801932</v>
      </c>
      <c r="D102" s="49">
        <f>IF(661.10361="","-",661.10361/3307388.5187*100)</f>
        <v>1.998868915043138E-2</v>
      </c>
      <c r="E102" s="49">
        <f>IF(220.1529="","-",220.1529/2889645.06346*100)</f>
        <v>7.6186830965458974E-3</v>
      </c>
      <c r="F102" s="49">
        <f>IF(OR(3222930.24801="",732.99701="",661.10361=""),"-",(661.10361-732.99701)/3222930.24801*100)</f>
        <v>-2.2306843297148818E-3</v>
      </c>
      <c r="G102" s="49">
        <f>IF(OR(3307388.5187="",220.1529="",661.10361=""),"-",(220.1529-661.10361)/3307388.5187*100)</f>
        <v>-1.3332292456929729E-2</v>
      </c>
    </row>
    <row r="103" spans="1:7" x14ac:dyDescent="0.25">
      <c r="A103" s="48" t="s">
        <v>149</v>
      </c>
      <c r="B103" s="49">
        <f>IF(205.14183="","-",205.14183)</f>
        <v>205.14183</v>
      </c>
      <c r="C103" s="49" t="s">
        <v>104</v>
      </c>
      <c r="D103" s="49">
        <f>IF(122.74016="","-",122.74016/3307388.5187*100)</f>
        <v>3.7110898615637746E-3</v>
      </c>
      <c r="E103" s="49">
        <f>IF(205.14183="","-",205.14183/2889645.06346*100)</f>
        <v>7.0992051097918405E-3</v>
      </c>
      <c r="F103" s="49">
        <f>IF(OR(3222930.24801="",226.56263="",122.74016=""),"-",(122.74016-226.56263)/3222930.24801*100)</f>
        <v>-3.2213688169052137E-3</v>
      </c>
      <c r="G103" s="49">
        <f>IF(OR(3307388.5187="",205.14183="",122.74016=""),"-",(205.14183-122.74016)/3307388.5187*100)</f>
        <v>2.4914421010443838E-3</v>
      </c>
    </row>
    <row r="104" spans="1:7" x14ac:dyDescent="0.25">
      <c r="A104" s="48" t="s">
        <v>91</v>
      </c>
      <c r="B104" s="49">
        <f>IF(197.24883="","-",197.24883)</f>
        <v>197.24883</v>
      </c>
      <c r="C104" s="49">
        <f>IF(OR(367.26636="",197.24883=""),"-",197.24883/367.26636*100)</f>
        <v>53.707295707671122</v>
      </c>
      <c r="D104" s="49">
        <f>IF(367.26636="","-",367.26636/3307388.5187*100)</f>
        <v>1.1104421446814405E-2</v>
      </c>
      <c r="E104" s="49">
        <f>IF(197.24883="","-",197.24883/2889645.06346*100)</f>
        <v>6.8260573761892542E-3</v>
      </c>
      <c r="F104" s="49">
        <f>IF(OR(3222930.24801="",826.11579="",367.26636=""),"-",(367.26636-826.11579)/3222930.24801*100)</f>
        <v>-1.4237026391846881E-2</v>
      </c>
      <c r="G104" s="49">
        <f>IF(OR(3307388.5187="",197.24883="",367.26636=""),"-",(197.24883-367.26636)/3307388.5187*100)</f>
        <v>-5.1405369837477398E-3</v>
      </c>
    </row>
    <row r="105" spans="1:7" x14ac:dyDescent="0.25">
      <c r="A105" s="48" t="s">
        <v>135</v>
      </c>
      <c r="B105" s="49">
        <f>IF(155.66758="","-",155.66758)</f>
        <v>155.66757999999999</v>
      </c>
      <c r="C105" s="49">
        <f>IF(OR(134.36369="",155.66758=""),"-",155.66758/134.36369*100)</f>
        <v>115.85539218221828</v>
      </c>
      <c r="D105" s="49">
        <f>IF(134.36369="","-",134.36369/3307388.5187*100)</f>
        <v>4.0625311855654895E-3</v>
      </c>
      <c r="E105" s="49">
        <f>IF(155.66758="","-",155.66758/2889645.06346*100)</f>
        <v>5.3870830701126639E-3</v>
      </c>
      <c r="F105" s="49">
        <f>IF(OR(3222930.24801="",93.10667="",134.36369=""),"-",(134.36369-93.10667)/3222930.24801*100)</f>
        <v>1.2801089947718899E-3</v>
      </c>
      <c r="G105" s="49">
        <f>IF(OR(3307388.5187="",155.66758="",134.36369=""),"-",(155.66758-134.36369)/3307388.5187*100)</f>
        <v>6.4413025199632997E-4</v>
      </c>
    </row>
    <row r="106" spans="1:7" x14ac:dyDescent="0.25">
      <c r="A106" s="48" t="s">
        <v>108</v>
      </c>
      <c r="B106" s="49">
        <f>IF(154.25169="","-",154.25169)</f>
        <v>154.25169</v>
      </c>
      <c r="C106" s="49">
        <f>IF(OR(164.48396="",154.25169=""),"-",154.25169/164.48396*100)</f>
        <v>93.7791684976456</v>
      </c>
      <c r="D106" s="49">
        <f>IF(164.48396="","-",164.48396/3307388.5187*100)</f>
        <v>4.9732276407808288E-3</v>
      </c>
      <c r="E106" s="49">
        <f>IF(154.25169="","-",154.25169/2889645.06346*100)</f>
        <v>5.3380843187468248E-3</v>
      </c>
      <c r="F106" s="49">
        <f>IF(OR(3222930.24801="",17.89008="",164.48396=""),"-",(164.48396-17.89008)/3222930.24801*100)</f>
        <v>4.5484657972512579E-3</v>
      </c>
      <c r="G106" s="49">
        <f>IF(OR(3307388.5187="",154.25169="",164.48396=""),"-",(154.25169-164.48396)/3307388.5187*100)</f>
        <v>-3.0937611176149002E-4</v>
      </c>
    </row>
    <row r="107" spans="1:7" x14ac:dyDescent="0.25">
      <c r="A107" s="48" t="s">
        <v>166</v>
      </c>
      <c r="B107" s="49">
        <f>IF(118.50729="","-",118.50729)</f>
        <v>118.50729</v>
      </c>
      <c r="C107" s="49">
        <f>IF(OR(129.70559="",118.50729=""),"-",118.50729/129.70559*100)</f>
        <v>91.366370562749069</v>
      </c>
      <c r="D107" s="49">
        <f>IF(129.70559="","-",129.70559/3307388.5187*100)</f>
        <v>3.9216919713738986E-3</v>
      </c>
      <c r="E107" s="49">
        <f>IF(118.50729="","-",118.50729/2889645.06346*100)</f>
        <v>4.1011019484206782E-3</v>
      </c>
      <c r="F107" s="49">
        <f>IF(OR(3222930.24801="",17.0814="",129.70559=""),"-",(129.70559-17.0814)/3222930.24801*100)</f>
        <v>3.494465636342575E-3</v>
      </c>
      <c r="G107" s="49">
        <f>IF(OR(3307388.5187="",118.50729="",129.70559=""),"-",(118.50729-129.70559)/3307388.5187*100)</f>
        <v>-3.3858435247884332E-4</v>
      </c>
    </row>
    <row r="108" spans="1:7" x14ac:dyDescent="0.25">
      <c r="A108" s="48" t="s">
        <v>155</v>
      </c>
      <c r="B108" s="49">
        <f>IF(114.65281="","-",114.65281)</f>
        <v>114.65281</v>
      </c>
      <c r="C108" s="49" t="s">
        <v>291</v>
      </c>
      <c r="D108" s="49">
        <f>IF(22.99742="","-",22.99742/3307388.5187*100)</f>
        <v>6.9533469896180665E-4</v>
      </c>
      <c r="E108" s="49">
        <f>IF(114.65281="","-",114.65281/2889645.06346*100)</f>
        <v>3.9677125557668717E-3</v>
      </c>
      <c r="F108" s="49">
        <f>IF(OR(3222930.24801="",10.76779="",22.99742=""),"-",(22.99742-10.76779)/3222930.24801*100)</f>
        <v>3.794568625104807E-4</v>
      </c>
      <c r="G108" s="49">
        <f>IF(OR(3307388.5187="",114.65281="",22.99742=""),"-",(114.65281-22.99742)/3307388.5187*100)</f>
        <v>2.7712314256937076E-3</v>
      </c>
    </row>
    <row r="109" spans="1:7" x14ac:dyDescent="0.25">
      <c r="A109" s="48" t="s">
        <v>61</v>
      </c>
      <c r="B109" s="49">
        <f>IF(108.38257="","-",108.38257)</f>
        <v>108.38257</v>
      </c>
      <c r="C109" s="49">
        <f>IF(OR(305.28972="",108.38257=""),"-",108.38257/305.28972*100)</f>
        <v>35.501545875832306</v>
      </c>
      <c r="D109" s="49">
        <f>IF(305.28972="","-",305.28972/3307388.5187*100)</f>
        <v>9.2305369712052145E-3</v>
      </c>
      <c r="E109" s="49">
        <f>IF(108.38257="","-",108.38257/2889645.06346*100)</f>
        <v>3.7507225842548634E-3</v>
      </c>
      <c r="F109" s="49">
        <f>IF(OR(3222930.24801="",387.82032="",305.28972=""),"-",(305.28972-387.82032)/3222930.24801*100)</f>
        <v>-2.5607318076759046E-3</v>
      </c>
      <c r="G109" s="49">
        <f>IF(OR(3307388.5187="",108.38257="",305.28972=""),"-",(108.38257-305.28972)/3307388.5187*100)</f>
        <v>-5.9535536537871333E-3</v>
      </c>
    </row>
    <row r="110" spans="1:7" x14ac:dyDescent="0.25">
      <c r="A110" s="48" t="s">
        <v>148</v>
      </c>
      <c r="B110" s="49">
        <f>IF(91.46202="","-",91.46202)</f>
        <v>91.462019999999995</v>
      </c>
      <c r="C110" s="49" t="s">
        <v>292</v>
      </c>
      <c r="D110" s="49">
        <f>IF(32.60353="","-",32.60353/3307388.5187*100)</f>
        <v>9.8577865332903571E-4</v>
      </c>
      <c r="E110" s="49">
        <f>IF(91.46202="","-",91.46202/2889645.06346*100)</f>
        <v>3.1651645095292537E-3</v>
      </c>
      <c r="F110" s="49">
        <f>IF(OR(3222930.24801="",17.04929="",32.60353=""),"-",(32.60353-17.04929)/3222930.24801*100)</f>
        <v>4.826117477908178E-4</v>
      </c>
      <c r="G110" s="49">
        <f>IF(OR(3307388.5187="",91.46202="",32.60353=""),"-",(91.46202-32.60353)/3307388.5187*100)</f>
        <v>1.7796061656262531E-3</v>
      </c>
    </row>
    <row r="111" spans="1:7" x14ac:dyDescent="0.25">
      <c r="A111" s="48" t="s">
        <v>185</v>
      </c>
      <c r="B111" s="49">
        <f>IF(83.10008="","-",83.10008)</f>
        <v>83.100080000000005</v>
      </c>
      <c r="C111" s="49" t="s">
        <v>267</v>
      </c>
      <c r="D111" s="49">
        <f>IF(20.15427="","-",20.15427/3307388.5187*100)</f>
        <v>6.0937110611733708E-4</v>
      </c>
      <c r="E111" s="49">
        <f>IF(83.10008="","-",83.10008/2889645.06346*100)</f>
        <v>2.8757884852646134E-3</v>
      </c>
      <c r="F111" s="49">
        <f>IF(OR(3222930.24801="",7.71532="",20.15427=""),"-",(20.15427-7.71532)/3222930.24801*100)</f>
        <v>3.8595157334479817E-4</v>
      </c>
      <c r="G111" s="49">
        <f>IF(OR(3307388.5187="",83.10008="",20.15427=""),"-",(83.10008-20.15427)/3307388.5187*100)</f>
        <v>1.9031876552785957E-3</v>
      </c>
    </row>
    <row r="112" spans="1:7" x14ac:dyDescent="0.25">
      <c r="A112" s="48" t="s">
        <v>156</v>
      </c>
      <c r="B112" s="49">
        <f>IF(80.51796="","-",80.51796)</f>
        <v>80.517960000000002</v>
      </c>
      <c r="C112" s="49">
        <f>IF(OR(137.46298="",80.51796=""),"-",80.51796/137.46298*100)</f>
        <v>58.574286691587808</v>
      </c>
      <c r="D112" s="49">
        <f>IF(137.46298="","-",137.46298/3307388.5187*100)</f>
        <v>4.156239257129401E-3</v>
      </c>
      <c r="E112" s="49">
        <f>IF(80.51796="","-",80.51796/2889645.06346*100)</f>
        <v>2.7864307979606844E-3</v>
      </c>
      <c r="F112" s="49">
        <f>IF(OR(3222930.24801="",87.63267="",137.46298=""),"-",(137.46298-87.63267)/3222930.24801*100)</f>
        <v>1.5461181646971025E-3</v>
      </c>
      <c r="G112" s="49">
        <f>IF(OR(3307388.5187="",80.51796="",137.46298=""),"-",(80.51796-137.46298)/3307388.5187*100)</f>
        <v>-1.7217517590701063E-3</v>
      </c>
    </row>
    <row r="113" spans="1:7" x14ac:dyDescent="0.25">
      <c r="A113" s="48" t="s">
        <v>150</v>
      </c>
      <c r="B113" s="49">
        <f>IF(79.06714="","-",79.06714)</f>
        <v>79.067139999999995</v>
      </c>
      <c r="C113" s="49" t="s">
        <v>128</v>
      </c>
      <c r="D113" s="49">
        <f>IF(51.3169="","-",51.3169/3307388.5187*100)</f>
        <v>1.5515836651743165E-3</v>
      </c>
      <c r="E113" s="49">
        <f>IF(79.06714="","-",79.06714/2889645.06346*100)</f>
        <v>2.7362232476166701E-3</v>
      </c>
      <c r="F113" s="49">
        <f>IF(OR(3222930.24801="",28.60645="",51.3169=""),"-",(51.3169-28.60645)/3222930.24801*100)</f>
        <v>7.0465223422140687E-4</v>
      </c>
      <c r="G113" s="49">
        <f>IF(OR(3307388.5187="",79.06714="",51.3169=""),"-",(79.06714-51.3169)/3307388.5187*100)</f>
        <v>8.3903780408923622E-4</v>
      </c>
    </row>
    <row r="114" spans="1:7" x14ac:dyDescent="0.25">
      <c r="A114" s="48" t="s">
        <v>266</v>
      </c>
      <c r="B114" s="49">
        <f>IF(76.76139="","-",76.76139)</f>
        <v>76.761390000000006</v>
      </c>
      <c r="C114" s="49" t="s">
        <v>187</v>
      </c>
      <c r="D114" s="49">
        <f>IF(26.68818="","-",26.68818/3307388.5187*100)</f>
        <v>8.0692606414713088E-4</v>
      </c>
      <c r="E114" s="49">
        <f>IF(76.76139="","-",76.76139/2889645.06346*100)</f>
        <v>2.6564297107163582E-3</v>
      </c>
      <c r="F114" s="49">
        <f>IF(OR(3222930.24801="",29.46416="",26.68818=""),"-",(26.68818-29.46416)/3222930.24801*100)</f>
        <v>-8.6132177440514913E-5</v>
      </c>
      <c r="G114" s="49">
        <f>IF(OR(3307388.5187="",76.76139="",26.68818=""),"-",(76.76139-26.68818)/3307388.5187*100)</f>
        <v>1.5139802813272675E-3</v>
      </c>
    </row>
    <row r="115" spans="1:7" x14ac:dyDescent="0.25">
      <c r="A115" s="48" t="s">
        <v>165</v>
      </c>
      <c r="B115" s="49">
        <f>IF(69.24245="","-",69.24245)</f>
        <v>69.242450000000005</v>
      </c>
      <c r="C115" s="49">
        <f>IF(OR(85.65273="",69.24245=""),"-",69.24245/85.65273*100)</f>
        <v>80.84091423589183</v>
      </c>
      <c r="D115" s="49">
        <f>IF(85.65273="","-",85.65273/3307388.5187*100)</f>
        <v>2.5897389894086777E-3</v>
      </c>
      <c r="E115" s="49">
        <f>IF(69.24245="","-",69.24245/2889645.06346*100)</f>
        <v>2.3962268195350804E-3</v>
      </c>
      <c r="F115" s="49">
        <f>IF(OR(3222930.24801="",52.09629="",85.65273=""),"-",(85.65273-52.09629)/3222930.24801*100)</f>
        <v>1.0411779783543078E-3</v>
      </c>
      <c r="G115" s="49">
        <f>IF(OR(3307388.5187="",69.24245="",85.65273=""),"-",(69.24245-85.65273)/3307388.5187*100)</f>
        <v>-4.9617031404735647E-4</v>
      </c>
    </row>
    <row r="116" spans="1:7" x14ac:dyDescent="0.25">
      <c r="A116" s="51" t="s">
        <v>157</v>
      </c>
      <c r="B116" s="52">
        <f>IF(68.68197="","-",68.68197)</f>
        <v>68.681970000000007</v>
      </c>
      <c r="C116" s="52">
        <f>IF(OR(72.40079="",68.68197=""),"-",68.68197/72.40079*100)</f>
        <v>94.863564334035587</v>
      </c>
      <c r="D116" s="52">
        <f>IF(72.40079="","-",72.40079/3307388.5187*100)</f>
        <v>2.1890621434598741E-3</v>
      </c>
      <c r="E116" s="52">
        <f>IF(68.68197="","-",68.68197/2889645.06346*100)</f>
        <v>2.3768306657621701E-3</v>
      </c>
      <c r="F116" s="52">
        <f>IF(OR(3222930.24801="",1.42737="",72.40079=""),"-",(72.40079-1.42737)/3222930.24801*100)</f>
        <v>2.2021394984834864E-3</v>
      </c>
      <c r="G116" s="52">
        <f>IF(OR(3307388.5187="",68.68197="",72.40079=""),"-",(68.68197-72.40079)/3307388.5187*100)</f>
        <v>-1.1243976868679797E-4</v>
      </c>
    </row>
    <row r="117" spans="1:7" x14ac:dyDescent="0.25">
      <c r="A117" s="53" t="s">
        <v>180</v>
      </c>
      <c r="B117" s="54">
        <f>IF(62.4447="","-",62.4447)</f>
        <v>62.444699999999997</v>
      </c>
      <c r="C117" s="54">
        <f>IF(OR(45.48485="",62.4447=""),"-",62.4447/45.48485*100)</f>
        <v>137.28681088318416</v>
      </c>
      <c r="D117" s="54">
        <f>IF(45.48485="","-",45.48485/3307388.5187*100)</f>
        <v>1.3752496794019909E-3</v>
      </c>
      <c r="E117" s="54">
        <f>IF(62.4447="","-",62.4447/2889645.06346*100)</f>
        <v>2.1609816648287604E-3</v>
      </c>
      <c r="F117" s="54">
        <f>IF(OR(3222930.24801="",46.21723="",45.48485=""),"-",(45.48485-46.21723)/3222930.24801*100)</f>
        <v>-2.2724041280515069E-5</v>
      </c>
      <c r="G117" s="54">
        <f>IF(OR(3307388.5187="",62.4447="",45.48485=""),"-",(62.4447-45.48485)/3307388.5187*100)</f>
        <v>5.1278674713021695E-4</v>
      </c>
    </row>
    <row r="118" spans="1:7" x14ac:dyDescent="0.25">
      <c r="A118" s="44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5"/>
  <sheetViews>
    <sheetView workbookViewId="0">
      <selection activeCell="D113" sqref="D113"/>
    </sheetView>
  </sheetViews>
  <sheetFormatPr defaultRowHeight="15.75" x14ac:dyDescent="0.25"/>
  <cols>
    <col min="1" max="1" width="43" customWidth="1"/>
    <col min="2" max="3" width="15.5" customWidth="1"/>
    <col min="4" max="4" width="16" customWidth="1"/>
  </cols>
  <sheetData>
    <row r="1" spans="1:5" x14ac:dyDescent="0.25">
      <c r="A1" s="94" t="s">
        <v>161</v>
      </c>
      <c r="B1" s="94"/>
      <c r="C1" s="94"/>
      <c r="D1" s="94"/>
    </row>
    <row r="2" spans="1:5" x14ac:dyDescent="0.25">
      <c r="A2" s="4"/>
    </row>
    <row r="3" spans="1:5" ht="26.25" customHeight="1" x14ac:dyDescent="0.25">
      <c r="A3" s="95"/>
      <c r="B3" s="99" t="s">
        <v>275</v>
      </c>
      <c r="C3" s="100"/>
      <c r="D3" s="97" t="s">
        <v>276</v>
      </c>
      <c r="E3" s="1"/>
    </row>
    <row r="4" spans="1:5" ht="25.5" customHeight="1" x14ac:dyDescent="0.25">
      <c r="A4" s="96"/>
      <c r="B4" s="21">
        <v>2019</v>
      </c>
      <c r="C4" s="20">
        <v>2020</v>
      </c>
      <c r="D4" s="98"/>
      <c r="E4" s="1"/>
    </row>
    <row r="5" spans="1:5" ht="17.25" customHeight="1" x14ac:dyDescent="0.25">
      <c r="A5" s="39" t="s">
        <v>179</v>
      </c>
      <c r="B5" s="46">
        <f>IF(-1726008.3907="","-",-1726008.3907)</f>
        <v>-1726008.3907000001</v>
      </c>
      <c r="C5" s="46">
        <f>IF(-1510250.46629="","-",-1510250.46629)</f>
        <v>-1510250.4662899999</v>
      </c>
      <c r="D5" s="59">
        <f>IF(-1726008.3907="","-",-1510250.46629/-1726008.3907*100)</f>
        <v>87.499601648952734</v>
      </c>
    </row>
    <row r="6" spans="1:5" x14ac:dyDescent="0.25">
      <c r="A6" s="40" t="s">
        <v>153</v>
      </c>
      <c r="B6" s="35"/>
      <c r="C6" s="35"/>
      <c r="D6" s="78"/>
    </row>
    <row r="7" spans="1:5" x14ac:dyDescent="0.25">
      <c r="A7" s="37" t="s">
        <v>169</v>
      </c>
      <c r="B7" s="47">
        <f>IF(-627193.47471="","-",-627193.47471)</f>
        <v>-627193.47470999998</v>
      </c>
      <c r="C7" s="47">
        <f>IF(-432731.39298="","-",-432731.39298)</f>
        <v>-432731.39298</v>
      </c>
      <c r="D7" s="62">
        <f>IF(-627193.47471="","-",-432731.39298/-627193.47471*100)</f>
        <v>68.994881233432025</v>
      </c>
    </row>
    <row r="8" spans="1:5" x14ac:dyDescent="0.25">
      <c r="A8" s="48" t="s">
        <v>4</v>
      </c>
      <c r="B8" s="49">
        <f>IF(-139442.16254="","-",-139442.16254)</f>
        <v>-139442.16253999999</v>
      </c>
      <c r="C8" s="49">
        <f>IF(-115345.58279="","-",-115345.58279)</f>
        <v>-115345.58279</v>
      </c>
      <c r="D8" s="63">
        <f>IF(OR(-139442.16254="",-115345.58279="",-139442.16254=0),"-",-115345.58279/-139442.16254*100)</f>
        <v>82.719301457270717</v>
      </c>
    </row>
    <row r="9" spans="1:5" x14ac:dyDescent="0.25">
      <c r="A9" s="48" t="s">
        <v>3</v>
      </c>
      <c r="B9" s="49">
        <f>IF(-79676.15="","-",-79676.15)</f>
        <v>-79676.149999999994</v>
      </c>
      <c r="C9" s="49">
        <f>IF(-68543.00802="","-",-68543.00802)</f>
        <v>-68543.008019999994</v>
      </c>
      <c r="D9" s="63">
        <f>IF(OR(-79676.15="",-68543.00802="",-79676.15=0),"-",-68543.00802/-79676.15*100)</f>
        <v>86.027008107193936</v>
      </c>
    </row>
    <row r="10" spans="1:5" x14ac:dyDescent="0.25">
      <c r="A10" s="48" t="s">
        <v>5</v>
      </c>
      <c r="B10" s="49">
        <f>IF(-49465.34904="","-",-49465.34904)</f>
        <v>-49465.349040000001</v>
      </c>
      <c r="C10" s="49">
        <f>IF(-57706.77473="","-",-57706.77473)</f>
        <v>-57706.774729999997</v>
      </c>
      <c r="D10" s="63">
        <f>IF(OR(-49465.34904="",-57706.77473="",-49465.34904=0),"-",-57706.77473/-49465.34904*100)</f>
        <v>116.66100785690523</v>
      </c>
    </row>
    <row r="11" spans="1:5" x14ac:dyDescent="0.25">
      <c r="A11" s="48" t="s">
        <v>125</v>
      </c>
      <c r="B11" s="49">
        <f>IF(-67170.9956="","-",-67170.9956)</f>
        <v>-67170.995599999995</v>
      </c>
      <c r="C11" s="49">
        <f>IF(-53466.11897="","-",-53466.11897)</f>
        <v>-53466.118970000003</v>
      </c>
      <c r="D11" s="63">
        <f>IF(OR(-67170.9956="",-53466.11897="",-67170.9956=0),"-",-53466.11897/-67170.9956*100)</f>
        <v>79.597032160112875</v>
      </c>
    </row>
    <row r="12" spans="1:5" x14ac:dyDescent="0.25">
      <c r="A12" s="48" t="s">
        <v>43</v>
      </c>
      <c r="B12" s="49">
        <f>IF(-61774.3534="","-",-61774.3534)</f>
        <v>-61774.3534</v>
      </c>
      <c r="C12" s="49">
        <f>IF(-45287.82387="","-",-45287.82387)</f>
        <v>-45287.82387</v>
      </c>
      <c r="D12" s="63">
        <f>IF(OR(-61774.3534="",-45287.82387="",-61774.3534=0),"-",-45287.82387/-61774.3534*100)</f>
        <v>73.311692275843384</v>
      </c>
    </row>
    <row r="13" spans="1:5" x14ac:dyDescent="0.25">
      <c r="A13" s="48" t="s">
        <v>8</v>
      </c>
      <c r="B13" s="49">
        <f>IF(-38935.85591="","-",-38935.85591)</f>
        <v>-38935.855909999998</v>
      </c>
      <c r="C13" s="49">
        <f>IF(-21511.68798="","-",-21511.68798)</f>
        <v>-21511.687979999999</v>
      </c>
      <c r="D13" s="63">
        <f>IF(OR(-38935.85591="",-21511.68798="",-38935.85591=0),"-",-21511.68798/-38935.85591*100)</f>
        <v>55.249043528731299</v>
      </c>
    </row>
    <row r="14" spans="1:5" x14ac:dyDescent="0.25">
      <c r="A14" s="48" t="s">
        <v>41</v>
      </c>
      <c r="B14" s="49">
        <f>IF(-28747.75118="","-",-28747.75118)</f>
        <v>-28747.751179999999</v>
      </c>
      <c r="C14" s="49">
        <f>IF(-20289.90858="","-",-20289.90858)</f>
        <v>-20289.908579999999</v>
      </c>
      <c r="D14" s="63">
        <f>IF(OR(-28747.75118="",-20289.90858="",-28747.75118=0),"-",-20289.90858/-28747.75118*100)</f>
        <v>70.579115747028666</v>
      </c>
    </row>
    <row r="15" spans="1:5" x14ac:dyDescent="0.25">
      <c r="A15" s="48" t="s">
        <v>42</v>
      </c>
      <c r="B15" s="49">
        <f>IF(-16419.04618="","-",-16419.04618)</f>
        <v>-16419.046180000001</v>
      </c>
      <c r="C15" s="49">
        <f>IF(-15850.30983="","-",-15850.30983)</f>
        <v>-15850.30983</v>
      </c>
      <c r="D15" s="63">
        <f>IF(OR(-16419.04618="",-15850.30983="",-16419.04618=0),"-",-15850.30983/-16419.04618*100)</f>
        <v>96.536118214389475</v>
      </c>
    </row>
    <row r="16" spans="1:5" x14ac:dyDescent="0.25">
      <c r="A16" s="48" t="s">
        <v>53</v>
      </c>
      <c r="B16" s="49">
        <f>IF(-12836.0282="","-",-12836.0282)</f>
        <v>-12836.028200000001</v>
      </c>
      <c r="C16" s="49">
        <f>IF(-13449.76913="","-",-13449.76913)</f>
        <v>-13449.769130000001</v>
      </c>
      <c r="D16" s="63">
        <f>IF(OR(-12836.0282="",-13449.76913="",-12836.0282=0),"-",-13449.76913/-12836.0282*100)</f>
        <v>104.78139281432865</v>
      </c>
    </row>
    <row r="17" spans="1:4" x14ac:dyDescent="0.25">
      <c r="A17" s="48" t="s">
        <v>51</v>
      </c>
      <c r="B17" s="49">
        <f>IF(-13631.25136="","-",-13631.25136)</f>
        <v>-13631.25136</v>
      </c>
      <c r="C17" s="49">
        <f>IF(-10986.879="","-",-10986.879)</f>
        <v>-10986.879000000001</v>
      </c>
      <c r="D17" s="63">
        <f>IF(OR(-13631.25136="",-10986.879="",-13631.25136=0),"-",-10986.879/-13631.25136*100)</f>
        <v>80.600663210130989</v>
      </c>
    </row>
    <row r="18" spans="1:4" x14ac:dyDescent="0.25">
      <c r="A18" s="48" t="s">
        <v>6</v>
      </c>
      <c r="B18" s="49">
        <f>IF(-4775.59929="","-",-4775.59929)</f>
        <v>-4775.5992900000001</v>
      </c>
      <c r="C18" s="49">
        <f>IF(-10013.69646="","-",-10013.69646)</f>
        <v>-10013.696459999999</v>
      </c>
      <c r="D18" s="63" t="s">
        <v>96</v>
      </c>
    </row>
    <row r="19" spans="1:4" x14ac:dyDescent="0.25">
      <c r="A19" s="48" t="s">
        <v>45</v>
      </c>
      <c r="B19" s="49">
        <f>IF(-12811.49766="","-",-12811.49766)</f>
        <v>-12811.497660000001</v>
      </c>
      <c r="C19" s="49">
        <f>IF(-9431.51673="","-",-9431.51673)</f>
        <v>-9431.5167299999994</v>
      </c>
      <c r="D19" s="63">
        <f>IF(OR(-12811.49766="",-9431.51673="",-12811.49766=0),"-",-9431.51673/-12811.49766*100)</f>
        <v>73.617597101446137</v>
      </c>
    </row>
    <row r="20" spans="1:4" x14ac:dyDescent="0.25">
      <c r="A20" s="48" t="s">
        <v>49</v>
      </c>
      <c r="B20" s="49">
        <f>IF(-6549.02359="","-",-6549.02359)</f>
        <v>-6549.0235899999998</v>
      </c>
      <c r="C20" s="49">
        <f>IF(-6522.96948="","-",-6522.96948)</f>
        <v>-6522.9694799999997</v>
      </c>
      <c r="D20" s="63">
        <f>IF(OR(-6549.02359="",-6522.96948="",-6549.02359=0),"-",-6522.96948/-6549.02359*100)</f>
        <v>99.602168023340411</v>
      </c>
    </row>
    <row r="21" spans="1:4" x14ac:dyDescent="0.25">
      <c r="A21" s="48" t="s">
        <v>50</v>
      </c>
      <c r="B21" s="49">
        <f>IF(-7332.17973="","-",-7332.17973)</f>
        <v>-7332.1797299999998</v>
      </c>
      <c r="C21" s="49">
        <f>IF(-4798.57085="","-",-4798.57085)</f>
        <v>-4798.5708500000001</v>
      </c>
      <c r="D21" s="63">
        <f>IF(OR(-7332.17973="",-4798.57085="",-7332.17973=0),"-",-4798.57085/-7332.17973*100)</f>
        <v>65.445352224065019</v>
      </c>
    </row>
    <row r="22" spans="1:4" x14ac:dyDescent="0.25">
      <c r="A22" s="48" t="s">
        <v>54</v>
      </c>
      <c r="B22" s="49">
        <f>IF(-4202.88447="","-",-4202.88447)</f>
        <v>-4202.88447</v>
      </c>
      <c r="C22" s="49">
        <f>IF(-4023.85207="","-",-4023.85207)</f>
        <v>-4023.8520699999999</v>
      </c>
      <c r="D22" s="63">
        <f>IF(OR(-4202.88447="",-4023.85207="",-4202.88447=0),"-",-4023.85207/-4202.88447*100)</f>
        <v>95.740249315013884</v>
      </c>
    </row>
    <row r="23" spans="1:4" x14ac:dyDescent="0.25">
      <c r="A23" s="48" t="s">
        <v>44</v>
      </c>
      <c r="B23" s="49">
        <f>IF(-5480.291="","-",-5480.291)</f>
        <v>-5480.2910000000002</v>
      </c>
      <c r="C23" s="49">
        <f>IF(-3450.54605="","-",-3450.54605)</f>
        <v>-3450.5460499999999</v>
      </c>
      <c r="D23" s="63">
        <f>IF(OR(-5480.291="",-3450.54605="",-5480.291=0),"-",-3450.54605/-5480.291*100)</f>
        <v>62.962825331720516</v>
      </c>
    </row>
    <row r="24" spans="1:4" x14ac:dyDescent="0.25">
      <c r="A24" s="48" t="s">
        <v>126</v>
      </c>
      <c r="B24" s="49">
        <f>IF(-2775.01804="","-",-2775.01804)</f>
        <v>-2775.0180399999999</v>
      </c>
      <c r="C24" s="49">
        <f>IF(-2495.20842="","-",-2495.20842)</f>
        <v>-2495.2084199999999</v>
      </c>
      <c r="D24" s="63">
        <f>IF(OR(-2775.01804="",-2495.20842="",-2775.01804=0),"-",-2495.20842/-2775.01804*100)</f>
        <v>89.916836000100389</v>
      </c>
    </row>
    <row r="25" spans="1:4" x14ac:dyDescent="0.25">
      <c r="A25" s="48" t="s">
        <v>46</v>
      </c>
      <c r="B25" s="49">
        <f>IF(-1292.85254="","-",-1292.85254)</f>
        <v>-1292.8525400000001</v>
      </c>
      <c r="C25" s="49">
        <f>IF(-2393.66081="","-",-2393.66081)</f>
        <v>-2393.6608099999999</v>
      </c>
      <c r="D25" s="63" t="s">
        <v>106</v>
      </c>
    </row>
    <row r="26" spans="1:4" x14ac:dyDescent="0.25">
      <c r="A26" s="48" t="s">
        <v>55</v>
      </c>
      <c r="B26" s="49">
        <f>IF(-1015.55704="","-",-1015.55704)</f>
        <v>-1015.55704</v>
      </c>
      <c r="C26" s="49">
        <f>IF(-591.92151="","-",-591.92151)</f>
        <v>-591.92151000000001</v>
      </c>
      <c r="D26" s="63">
        <f>IF(OR(-1015.55704="",-591.92151="",-1015.55704=0),"-",-591.92151/-1015.55704*100)</f>
        <v>58.285402659411432</v>
      </c>
    </row>
    <row r="27" spans="1:4" x14ac:dyDescent="0.25">
      <c r="A27" s="48" t="s">
        <v>52</v>
      </c>
      <c r="B27" s="49">
        <f>IF(-10609.18318="","-",-10609.18318)</f>
        <v>-10609.18318</v>
      </c>
      <c r="C27" s="49">
        <f>IF(-556.65896="","-",-556.65896)</f>
        <v>-556.65895999999998</v>
      </c>
      <c r="D27" s="63">
        <f>IF(OR(-10609.18318="",-556.65896="",-10609.18318=0),"-",-556.65896/-10609.18318*100)</f>
        <v>5.2469539884030922</v>
      </c>
    </row>
    <row r="28" spans="1:4" x14ac:dyDescent="0.25">
      <c r="A28" s="48" t="s">
        <v>7</v>
      </c>
      <c r="B28" s="49">
        <f>IF(-34019.75177="","-",-34019.75177)</f>
        <v>-34019.751770000003</v>
      </c>
      <c r="C28" s="49">
        <f>IF(-398.17534="","-",-398.17534)</f>
        <v>-398.17534000000001</v>
      </c>
      <c r="D28" s="63">
        <f>IF(OR(-34019.75177="",-398.17534="",-34019.75177=0),"-",-398.17534/-34019.75177*100)</f>
        <v>1.1704240015975871</v>
      </c>
    </row>
    <row r="29" spans="1:4" x14ac:dyDescent="0.25">
      <c r="A29" s="48" t="s">
        <v>56</v>
      </c>
      <c r="B29" s="49">
        <f>IF(403.34932="","-",403.34932)</f>
        <v>403.34931999999998</v>
      </c>
      <c r="C29" s="49">
        <f>IF(-29.33783="","-",-29.33783)</f>
        <v>-29.33783</v>
      </c>
      <c r="D29" s="63" t="s">
        <v>22</v>
      </c>
    </row>
    <row r="30" spans="1:4" x14ac:dyDescent="0.25">
      <c r="A30" s="48" t="s">
        <v>47</v>
      </c>
      <c r="B30" s="49">
        <f>IF(-592.67458="","-",-592.67458)</f>
        <v>-592.67457999999999</v>
      </c>
      <c r="C30" s="49">
        <f>IF(1220.95667="","-",1220.95667)</f>
        <v>1220.95667</v>
      </c>
      <c r="D30" s="63" t="s">
        <v>22</v>
      </c>
    </row>
    <row r="31" spans="1:4" x14ac:dyDescent="0.25">
      <c r="A31" s="48" t="s">
        <v>10</v>
      </c>
      <c r="B31" s="49">
        <f>IF(-12705.65443="","-",-12705.65443)</f>
        <v>-12705.654430000001</v>
      </c>
      <c r="C31" s="49">
        <f>IF(7791.64249="","-",7791.64249)</f>
        <v>7791.6424900000002</v>
      </c>
      <c r="D31" s="63" t="s">
        <v>22</v>
      </c>
    </row>
    <row r="32" spans="1:4" x14ac:dyDescent="0.25">
      <c r="A32" s="48" t="s">
        <v>2</v>
      </c>
      <c r="B32" s="49">
        <f>IF(-24665.49009="","-",-24665.49009)</f>
        <v>-24665.490089999999</v>
      </c>
      <c r="C32" s="49">
        <f>IF(8319.15213="","-",8319.15213)</f>
        <v>8319.1521300000004</v>
      </c>
      <c r="D32" s="63" t="s">
        <v>22</v>
      </c>
    </row>
    <row r="33" spans="1:4" x14ac:dyDescent="0.25">
      <c r="A33" s="48" t="s">
        <v>9</v>
      </c>
      <c r="B33" s="49">
        <f>IF(2032.69333="","-",2032.69333)</f>
        <v>2032.6933300000001</v>
      </c>
      <c r="C33" s="49">
        <f>IF(8320.7632="","-",8320.7632)</f>
        <v>8320.7631999999994</v>
      </c>
      <c r="D33" s="63" t="s">
        <v>267</v>
      </c>
    </row>
    <row r="34" spans="1:4" x14ac:dyDescent="0.25">
      <c r="A34" s="48" t="s">
        <v>48</v>
      </c>
      <c r="B34" s="49">
        <f>IF(7297.08346="","-",7297.08346)</f>
        <v>7297.0834599999998</v>
      </c>
      <c r="C34" s="49">
        <f>IF(8760.06994="","-",8760.06994)</f>
        <v>8760.0699399999994</v>
      </c>
      <c r="D34" s="63">
        <f>IF(OR(7297.08346="",8760.06994="",7297.08346=0),"-",8760.06994/7297.08346*100)</f>
        <v>120.04892075059259</v>
      </c>
    </row>
    <row r="35" spans="1:4" x14ac:dyDescent="0.25">
      <c r="A35" s="37" t="s">
        <v>174</v>
      </c>
      <c r="B35" s="47">
        <f>IF(-576028.67316="","-",-576028.67316)</f>
        <v>-576028.67316000001</v>
      </c>
      <c r="C35" s="47">
        <f>IF(-512802.09619="","-",-512802.09619)</f>
        <v>-512802.09619000001</v>
      </c>
      <c r="D35" s="62">
        <f>IF(-576028.67316="","-",-512802.09619/-576028.67316*100)</f>
        <v>89.023710117909715</v>
      </c>
    </row>
    <row r="36" spans="1:4" x14ac:dyDescent="0.25">
      <c r="A36" s="48" t="s">
        <v>12</v>
      </c>
      <c r="B36" s="49">
        <f>IF(-282111.70708="","-",-282111.70708)</f>
        <v>-282111.70708000002</v>
      </c>
      <c r="C36" s="49">
        <f>IF(-242671.64431="","-",-242671.64431)</f>
        <v>-242671.64431</v>
      </c>
      <c r="D36" s="63">
        <f>IF(OR(-282111.70708="",-242671.64431="",-282111.70708=0),"-",-242671.64431/-282111.70708*100)</f>
        <v>86.019700076177358</v>
      </c>
    </row>
    <row r="37" spans="1:4" x14ac:dyDescent="0.25">
      <c r="A37" s="48" t="s">
        <v>127</v>
      </c>
      <c r="B37" s="49">
        <f>IF(-265193.60596="","-",-265193.60596)</f>
        <v>-265193.60596000002</v>
      </c>
      <c r="C37" s="49">
        <f>IF(-200119.90715="","-",-200119.90715)</f>
        <v>-200119.90715000001</v>
      </c>
      <c r="D37" s="63">
        <f>IF(OR(-265193.60596="",-200119.90715="",-265193.60596=0),"-",-200119.90715/-265193.60596*100)</f>
        <v>75.461814558298485</v>
      </c>
    </row>
    <row r="38" spans="1:4" x14ac:dyDescent="0.25">
      <c r="A38" s="48" t="s">
        <v>13</v>
      </c>
      <c r="B38" s="49">
        <f>IF(227.87401="","-",227.87401)</f>
        <v>227.87401</v>
      </c>
      <c r="C38" s="49">
        <f>IF(-45449.63395="","-",-45449.63395)</f>
        <v>-45449.633950000003</v>
      </c>
      <c r="D38" s="63" t="s">
        <v>22</v>
      </c>
    </row>
    <row r="39" spans="1:4" x14ac:dyDescent="0.25">
      <c r="A39" s="48" t="s">
        <v>11</v>
      </c>
      <c r="B39" s="49">
        <f>IF(-27189.13774="","-",-27189.13774)</f>
        <v>-27189.137739999998</v>
      </c>
      <c r="C39" s="49">
        <f>IF(-18541.10484="","-",-18541.10484)</f>
        <v>-18541.10484</v>
      </c>
      <c r="D39" s="63">
        <f>IF(OR(-27189.13774="",-18541.10484="",-27189.13774=0),"-",-18541.10484/-27189.13774*100)</f>
        <v>68.193059365478803</v>
      </c>
    </row>
    <row r="40" spans="1:4" x14ac:dyDescent="0.25">
      <c r="A40" s="48" t="s">
        <v>14</v>
      </c>
      <c r="B40" s="49">
        <f>IF(2357.56762="","-",2357.56762)</f>
        <v>2357.5676199999998</v>
      </c>
      <c r="C40" s="49">
        <f>IF(-2652.33997="","-",-2652.33997)</f>
        <v>-2652.33997</v>
      </c>
      <c r="D40" s="63" t="s">
        <v>22</v>
      </c>
    </row>
    <row r="41" spans="1:4" x14ac:dyDescent="0.25">
      <c r="A41" s="48" t="s">
        <v>15</v>
      </c>
      <c r="B41" s="49">
        <f>IF(-3570.46669="","-",-3570.46669)</f>
        <v>-3570.4666900000002</v>
      </c>
      <c r="C41" s="49">
        <f>IF(-2486.56452="","-",-2486.56452)</f>
        <v>-2486.5645199999999</v>
      </c>
      <c r="D41" s="63">
        <f>IF(OR(-3570.46669="",-2486.56452="",-3570.46669=0),"-",-2486.56452/-3570.46669*100)</f>
        <v>69.642563168682017</v>
      </c>
    </row>
    <row r="42" spans="1:4" x14ac:dyDescent="0.25">
      <c r="A42" s="48" t="s">
        <v>16</v>
      </c>
      <c r="B42" s="49">
        <f>IF(-1629.79426="","-",-1629.79426)</f>
        <v>-1629.7942599999999</v>
      </c>
      <c r="C42" s="49">
        <f>IF(-1337.05661="","-",-1337.05661)</f>
        <v>-1337.0566100000001</v>
      </c>
      <c r="D42" s="63">
        <f>IF(OR(-1629.79426="",-1337.05661="",-1629.79426=0),"-",-1337.05661/-1629.79426*100)</f>
        <v>82.038367836686348</v>
      </c>
    </row>
    <row r="43" spans="1:4" x14ac:dyDescent="0.25">
      <c r="A43" s="48" t="s">
        <v>17</v>
      </c>
      <c r="B43" s="49">
        <f>IF(444.84279="","-",444.84279)</f>
        <v>444.84278999999998</v>
      </c>
      <c r="C43" s="49">
        <f>IF(4.58289="","-",4.58289)</f>
        <v>4.5828899999999999</v>
      </c>
      <c r="D43" s="63">
        <f>IF(OR(444.84279="",4.58289="",444.84279=0),"-",4.58289/444.84279*100)</f>
        <v>1.0302268808268198</v>
      </c>
    </row>
    <row r="44" spans="1:4" x14ac:dyDescent="0.25">
      <c r="A44" s="48" t="s">
        <v>18</v>
      </c>
      <c r="B44" s="49">
        <f>IF(117.42155="","-",117.42155)</f>
        <v>117.42155</v>
      </c>
      <c r="C44" s="49">
        <f>IF(163.12742="","-",163.12742)</f>
        <v>163.12742</v>
      </c>
      <c r="D44" s="63">
        <f>IF(OR(117.42155="",163.12742="",117.42155=0),"-",163.12742/117.42155*100)</f>
        <v>138.92460114859665</v>
      </c>
    </row>
    <row r="45" spans="1:4" x14ac:dyDescent="0.25">
      <c r="A45" s="48" t="s">
        <v>129</v>
      </c>
      <c r="B45" s="49">
        <f>IF(518.3326="","-",518.3326)</f>
        <v>518.33259999999996</v>
      </c>
      <c r="C45" s="49">
        <f>IF(288.44485="","-",288.44485)</f>
        <v>288.44484999999997</v>
      </c>
      <c r="D45" s="63">
        <f>IF(OR(518.3326="",288.44485="",518.3326=0),"-",288.44485/518.3326*100)</f>
        <v>55.648602846897923</v>
      </c>
    </row>
    <row r="46" spans="1:4" x14ac:dyDescent="0.25">
      <c r="A46" s="37" t="s">
        <v>175</v>
      </c>
      <c r="B46" s="47">
        <f>IF(-522786.24283="","-",-522786.24283)</f>
        <v>-522786.24283</v>
      </c>
      <c r="C46" s="47">
        <f>IF(-564716.97712="","-",-564716.97712)</f>
        <v>-564716.97712000005</v>
      </c>
      <c r="D46" s="62">
        <f>IF(-522786.24283="","-",-564716.97712/-522786.24283*100)</f>
        <v>108.02062695127866</v>
      </c>
    </row>
    <row r="47" spans="1:4" x14ac:dyDescent="0.25">
      <c r="A47" s="48" t="s">
        <v>60</v>
      </c>
      <c r="B47" s="49">
        <f>IF(-320072.25276="","-",-320072.25276)</f>
        <v>-320072.25276</v>
      </c>
      <c r="C47" s="49">
        <v>-315317.46000000002</v>
      </c>
      <c r="D47" s="63">
        <f>IF(OR(-320072.25276="",-315317.45795="",-320072.25276=0),"-",-315317.45795/-320072.25276*100)</f>
        <v>98.514462041305009</v>
      </c>
    </row>
    <row r="48" spans="1:4" x14ac:dyDescent="0.25">
      <c r="A48" s="48" t="s">
        <v>57</v>
      </c>
      <c r="B48" s="49">
        <f>IF(-87295.30401="","-",-87295.30401)</f>
        <v>-87295.304010000007</v>
      </c>
      <c r="C48" s="79">
        <v>-98353.63</v>
      </c>
      <c r="D48" s="63">
        <f>IF(OR(-87295.30401="",-98353.62504="",-87295.30401=0),"-",-98353.62504/-87295.30401*100)</f>
        <v>112.66771581290698</v>
      </c>
    </row>
    <row r="49" spans="1:5" x14ac:dyDescent="0.25">
      <c r="A49" s="48" t="s">
        <v>77</v>
      </c>
      <c r="B49" s="49">
        <f>IF(-26085.79902="","-",-26085.79902)</f>
        <v>-26085.799019999999</v>
      </c>
      <c r="C49" s="49">
        <v>-28200.12</v>
      </c>
      <c r="D49" s="63">
        <f>IF(OR(-26085.79902="",-28200.11768="",-26085.79902=0),"-",-28200.11768/-26085.79902*100)</f>
        <v>108.10524783380777</v>
      </c>
    </row>
    <row r="50" spans="1:5" x14ac:dyDescent="0.25">
      <c r="A50" s="48" t="s">
        <v>19</v>
      </c>
      <c r="B50" s="49">
        <f>IF(-28627.41907="","-",-28627.41907)</f>
        <v>-28627.41907</v>
      </c>
      <c r="C50" s="79">
        <v>-23450.47</v>
      </c>
      <c r="D50" s="63">
        <f>IF(OR(-28627.41907="",-23450.47055="",-28627.41907=0),"-",-23450.47055/-28627.41907*100)</f>
        <v>81.916118573800574</v>
      </c>
    </row>
    <row r="51" spans="1:5" x14ac:dyDescent="0.25">
      <c r="A51" s="48" t="s">
        <v>70</v>
      </c>
      <c r="B51" s="49">
        <f>IF(-20674.93829="","-",-20674.93829)</f>
        <v>-20674.938289999998</v>
      </c>
      <c r="C51" s="49">
        <v>-22995.54</v>
      </c>
      <c r="D51" s="63">
        <f>IF(OR(-20674.93829="",-22995.54478="",-20674.93829=0),"-",-22995.54478/-20674.93829*100)</f>
        <v>111.22424868916019</v>
      </c>
    </row>
    <row r="52" spans="1:5" x14ac:dyDescent="0.25">
      <c r="A52" s="48" t="s">
        <v>37</v>
      </c>
      <c r="B52" s="49">
        <f>IF(-20512.21235="","-",-20512.21235)</f>
        <v>-20512.212350000002</v>
      </c>
      <c r="C52" s="49">
        <v>-21532.76</v>
      </c>
      <c r="D52" s="63">
        <f>IF(OR(-20512.21235="",-21532.76022="",-20512.21235=0),"-",-21532.76022/-20512.21235*100)</f>
        <v>104.9753183741782</v>
      </c>
    </row>
    <row r="53" spans="1:5" x14ac:dyDescent="0.25">
      <c r="A53" s="48" t="s">
        <v>73</v>
      </c>
      <c r="B53" s="49">
        <f>IF(-24317.26099="","-",-24317.26099)</f>
        <v>-24317.260989999999</v>
      </c>
      <c r="C53" s="49">
        <f>IF(-18750.58092="","-",-18750.58092)</f>
        <v>-18750.58092</v>
      </c>
      <c r="D53" s="63">
        <f>IF(OR(-24317.26099="",-18750.58092="",-24317.26099=0),"-",-18750.58092/-24317.26099*100)</f>
        <v>77.108112331034377</v>
      </c>
    </row>
    <row r="54" spans="1:5" x14ac:dyDescent="0.25">
      <c r="A54" s="48" t="s">
        <v>80</v>
      </c>
      <c r="B54" s="49">
        <f>IF(-10212.91685="","-",-10212.91685)</f>
        <v>-10212.91685</v>
      </c>
      <c r="C54" s="49">
        <v>-11517.86</v>
      </c>
      <c r="D54" s="63">
        <f>IF(OR(-10212.91685="",-11517.85786="",-10212.91685=0),"-",-11517.85786/-10212.91685*100)</f>
        <v>112.77735860544091</v>
      </c>
    </row>
    <row r="55" spans="1:5" x14ac:dyDescent="0.25">
      <c r="A55" s="48" t="s">
        <v>67</v>
      </c>
      <c r="B55" s="49">
        <f>IF(-5652.83075="","-",-5652.83075)</f>
        <v>-5652.8307500000001</v>
      </c>
      <c r="C55" s="79">
        <v>-11261.25</v>
      </c>
      <c r="D55" s="63" t="s">
        <v>20</v>
      </c>
    </row>
    <row r="56" spans="1:5" x14ac:dyDescent="0.25">
      <c r="A56" s="48" t="s">
        <v>71</v>
      </c>
      <c r="B56" s="49">
        <f>IF(-12044.52855="","-",-12044.52855)</f>
        <v>-12044.528550000001</v>
      </c>
      <c r="C56" s="79">
        <v>-8675.73</v>
      </c>
      <c r="D56" s="63">
        <f>IF(OR(-12044.52855="",-8675.73018="",-12044.52855=0),"-",-8675.73018/-12044.52855*100)</f>
        <v>72.030467145183536</v>
      </c>
    </row>
    <row r="57" spans="1:5" x14ac:dyDescent="0.25">
      <c r="A57" s="48" t="s">
        <v>84</v>
      </c>
      <c r="B57" s="49">
        <f>IF(-4752.15942="","-",-4752.15942)</f>
        <v>-4752.15942</v>
      </c>
      <c r="C57" s="49">
        <v>-5227.57</v>
      </c>
      <c r="D57" s="63">
        <f>IF(OR(-4752.15942="",-5227.56545="",-4752.15942=0),"-",-5227.56545/-4752.15942*100)</f>
        <v>110.00400003415712</v>
      </c>
    </row>
    <row r="58" spans="1:5" x14ac:dyDescent="0.25">
      <c r="A58" s="48" t="s">
        <v>83</v>
      </c>
      <c r="B58" s="49">
        <f>IF(-5605.22704="","-",-5605.22704)</f>
        <v>-5605.2270399999998</v>
      </c>
      <c r="C58" s="79">
        <v>-5178.04</v>
      </c>
      <c r="D58" s="63">
        <f>IF(OR(-5605.22704="",-5178.04024="",-5605.22704=0),"-",-5178.04024/-5605.22704*100)</f>
        <v>92.378777934390328</v>
      </c>
    </row>
    <row r="59" spans="1:5" x14ac:dyDescent="0.25">
      <c r="A59" s="48" t="s">
        <v>72</v>
      </c>
      <c r="B59" s="49">
        <f>IF(-5216.31627="","-",-5216.31627)</f>
        <v>-5216.3162700000003</v>
      </c>
      <c r="C59" s="49">
        <v>-5080.17</v>
      </c>
      <c r="D59" s="63">
        <f>IF(OR(-5216.31627="",-5080.17155="",-5216.31627=0),"-",-5080.17155/-5216.31627*100)</f>
        <v>97.39002175188277</v>
      </c>
    </row>
    <row r="60" spans="1:5" x14ac:dyDescent="0.25">
      <c r="A60" s="48" t="s">
        <v>75</v>
      </c>
      <c r="B60" s="49">
        <f>IF(-3425.84639="","-",-3425.84639)</f>
        <v>-3425.8463900000002</v>
      </c>
      <c r="C60" s="79">
        <v>-5039.82</v>
      </c>
      <c r="D60" s="63">
        <f>IF(OR(-3425.84639="",-5039.82433="",-3425.84639=0),"-",-5039.82433/-3425.84639*100)</f>
        <v>147.11180118032087</v>
      </c>
    </row>
    <row r="61" spans="1:5" x14ac:dyDescent="0.25">
      <c r="A61" s="48" t="s">
        <v>64</v>
      </c>
      <c r="B61" s="49">
        <f>IF(-4107.76654="","-",-4107.76654)</f>
        <v>-4107.7665399999996</v>
      </c>
      <c r="C61" s="49">
        <v>-4772.32</v>
      </c>
      <c r="D61" s="63">
        <f>IF(OR(-4107.76654="",-4772.32074="",-4107.76654=0),"-",-4772.32074/-4107.76654*100)</f>
        <v>116.17799340660682</v>
      </c>
      <c r="E61" s="1"/>
    </row>
    <row r="62" spans="1:5" x14ac:dyDescent="0.25">
      <c r="A62" s="48" t="s">
        <v>79</v>
      </c>
      <c r="B62" s="49">
        <f>IF(-4714.21539="","-",-4714.21539)</f>
        <v>-4714.2153900000003</v>
      </c>
      <c r="C62" s="79">
        <v>-4487.29</v>
      </c>
      <c r="D62" s="63">
        <f>IF(OR(-4714.21539="",-4487.28924="",-4714.21539=0),"-",-4487.28924/-4714.21539*100)</f>
        <v>95.1863431933686</v>
      </c>
    </row>
    <row r="63" spans="1:5" x14ac:dyDescent="0.25">
      <c r="A63" s="48" t="s">
        <v>124</v>
      </c>
      <c r="B63" s="49">
        <f>IF(-937.82925="","-",-937.82925)</f>
        <v>-937.82925</v>
      </c>
      <c r="C63" s="79">
        <v>-4231.1000000000004</v>
      </c>
      <c r="D63" s="63" t="s">
        <v>299</v>
      </c>
    </row>
    <row r="64" spans="1:5" x14ac:dyDescent="0.25">
      <c r="A64" s="48" t="s">
        <v>62</v>
      </c>
      <c r="B64" s="49">
        <f>IF(-4139.26758="","-",-4139.26758)</f>
        <v>-4139.2675799999997</v>
      </c>
      <c r="C64" s="49">
        <v>-3936.37</v>
      </c>
      <c r="D64" s="63">
        <f>IF(OR(-4139.26758="",-3936.37136="",-4139.26758=0),"-",-3936.37136/-4139.26758*100)</f>
        <v>95.098257938666535</v>
      </c>
    </row>
    <row r="65" spans="1:5" x14ac:dyDescent="0.25">
      <c r="A65" s="48" t="s">
        <v>85</v>
      </c>
      <c r="B65" s="49">
        <f>IF(-3296.61575="","-",-3296.61575)</f>
        <v>-3296.6157499999999</v>
      </c>
      <c r="C65" s="49">
        <v>-3712.29</v>
      </c>
      <c r="D65" s="63">
        <f>IF(OR(-3296.61575="",-3712.29376="",-3296.61575=0),"-",-3712.29376/-3296.61575*100)</f>
        <v>112.60923448539613</v>
      </c>
    </row>
    <row r="66" spans="1:5" x14ac:dyDescent="0.25">
      <c r="A66" s="48" t="s">
        <v>63</v>
      </c>
      <c r="B66" s="49">
        <f>IF(-2195.87373="","-",-2195.87373)</f>
        <v>-2195.8737299999998</v>
      </c>
      <c r="C66" s="49">
        <v>-3411.68</v>
      </c>
      <c r="D66" s="63">
        <f>IF(OR(-2195.87373="",-3411.6813="",-2195.87373=0),"-",-3411.6813/-2195.87373*100)</f>
        <v>155.36782709268081</v>
      </c>
    </row>
    <row r="67" spans="1:5" x14ac:dyDescent="0.25">
      <c r="A67" s="48" t="s">
        <v>82</v>
      </c>
      <c r="B67" s="49">
        <f>IF(-2326.84919="","-",-2326.84919)</f>
        <v>-2326.8491899999999</v>
      </c>
      <c r="C67" s="49">
        <v>-2933.91</v>
      </c>
      <c r="D67" s="63">
        <f>IF(OR(-2326.84919="",-2933.90672="",-2326.84919=0),"-",-2933.90672/-2326.84919*100)</f>
        <v>126.08925119036185</v>
      </c>
    </row>
    <row r="68" spans="1:5" x14ac:dyDescent="0.25">
      <c r="A68" s="48" t="s">
        <v>76</v>
      </c>
      <c r="B68" s="49">
        <f>IF(-1382.86989="","-",-1382.86989)</f>
        <v>-1382.8698899999999</v>
      </c>
      <c r="C68" s="49">
        <v>-2702.78</v>
      </c>
      <c r="D68" s="63" t="s">
        <v>20</v>
      </c>
      <c r="E68" s="1"/>
    </row>
    <row r="69" spans="1:5" x14ac:dyDescent="0.25">
      <c r="A69" s="48" t="s">
        <v>81</v>
      </c>
      <c r="B69" s="49">
        <f>IF(-2851.24035="","-",-2851.24035)</f>
        <v>-2851.24035</v>
      </c>
      <c r="C69" s="49">
        <v>-2680.81</v>
      </c>
      <c r="D69" s="63">
        <f>IF(OR(-2851.24035="",-2680.80636="",-2851.24035=0),"-",-2680.80636/-2851.24035*100)</f>
        <v>94.022461487682023</v>
      </c>
    </row>
    <row r="70" spans="1:5" x14ac:dyDescent="0.25">
      <c r="A70" s="48" t="s">
        <v>87</v>
      </c>
      <c r="B70" s="49">
        <f>IF(-1767.03232="","-",-1767.03232)</f>
        <v>-1767.03232</v>
      </c>
      <c r="C70" s="79">
        <v>-2452.79</v>
      </c>
      <c r="D70" s="63">
        <f>IF(OR(-1767.03232="",-2452.79023="",-1767.03232=0),"-",-2452.79023/-1767.03232*100)</f>
        <v>138.80845314702563</v>
      </c>
    </row>
    <row r="71" spans="1:5" x14ac:dyDescent="0.25">
      <c r="A71" s="48" t="s">
        <v>143</v>
      </c>
      <c r="B71" s="49">
        <f>IF(-2654.43537="","-",-2654.43537)</f>
        <v>-2654.4353700000001</v>
      </c>
      <c r="C71" s="49">
        <v>-1960.16</v>
      </c>
      <c r="D71" s="63">
        <f>IF(OR(-2654.43537="",-1960.15511="",-2654.43537=0),"-",-1960.15511/-2654.43537*100)</f>
        <v>73.844521970787326</v>
      </c>
    </row>
    <row r="72" spans="1:5" x14ac:dyDescent="0.25">
      <c r="A72" s="48" t="s">
        <v>86</v>
      </c>
      <c r="B72" s="49">
        <f>IF(-3155.80335="","-",-3155.80335)</f>
        <v>-3155.8033500000001</v>
      </c>
      <c r="C72" s="49">
        <v>-1668.49</v>
      </c>
      <c r="D72" s="63">
        <f>IF(OR(-3155.80335="",-1668.49006="",-3155.80335=0),"-",-1668.49006/-3155.80335*100)</f>
        <v>52.870533266909682</v>
      </c>
    </row>
    <row r="73" spans="1:5" x14ac:dyDescent="0.25">
      <c r="A73" s="48" t="s">
        <v>89</v>
      </c>
      <c r="B73" s="49">
        <f>IF(-1692.8304="","-",-1692.8304)</f>
        <v>-1692.8304000000001</v>
      </c>
      <c r="C73" s="49">
        <v>-1205.8</v>
      </c>
      <c r="D73" s="63">
        <f>IF(OR(-1692.8304="",-1205.80008="",-1692.8304=0),"-",-1205.80008/-1692.8304*100)</f>
        <v>71.229821959719047</v>
      </c>
    </row>
    <row r="74" spans="1:5" x14ac:dyDescent="0.25">
      <c r="A74" s="48" t="s">
        <v>74</v>
      </c>
      <c r="B74" s="49">
        <f>IF(-941.92272="","-",-941.92272)</f>
        <v>-941.92272000000003</v>
      </c>
      <c r="C74" s="49">
        <v>-1095.94</v>
      </c>
      <c r="D74" s="63">
        <f>IF(OR(-941.92272="",-1095.93895="",-941.92272=0),"-",-1095.93895/-941.92272*100)</f>
        <v>116.35125968720661</v>
      </c>
    </row>
    <row r="75" spans="1:5" x14ac:dyDescent="0.25">
      <c r="A75" s="48" t="s">
        <v>39</v>
      </c>
      <c r="B75" s="49">
        <f>IF(-885.95933="","-",-885.95933)</f>
        <v>-885.95933000000002</v>
      </c>
      <c r="C75" s="49">
        <v>-1040.32</v>
      </c>
      <c r="D75" s="63">
        <f>IF(OR(-885.95933="",-1040.32097="",-885.95933=0),"-",-1040.32097/-885.95933*100)</f>
        <v>117.42310676947214</v>
      </c>
    </row>
    <row r="76" spans="1:5" x14ac:dyDescent="0.25">
      <c r="A76" s="48" t="s">
        <v>145</v>
      </c>
      <c r="B76" s="49">
        <f>IF(16.64973="","-",16.64973)</f>
        <v>16.649730000000002</v>
      </c>
      <c r="C76" s="49">
        <v>-955.34</v>
      </c>
      <c r="D76" s="63" t="s">
        <v>22</v>
      </c>
      <c r="E76" s="12"/>
    </row>
    <row r="77" spans="1:5" x14ac:dyDescent="0.25">
      <c r="A77" s="48" t="s">
        <v>147</v>
      </c>
      <c r="B77" s="49">
        <f>IF(-1824.25556="","-",-1824.25556)</f>
        <v>-1824.2555600000001</v>
      </c>
      <c r="C77" s="49">
        <v>-874.77</v>
      </c>
      <c r="D77" s="63">
        <f>IF(OR(-1824.25556="",-874.77124="",-1824.25556=0),"-",-874.77124/-1824.25556*100)</f>
        <v>47.952230991144681</v>
      </c>
    </row>
    <row r="78" spans="1:5" x14ac:dyDescent="0.25">
      <c r="A78" s="48" t="s">
        <v>98</v>
      </c>
      <c r="B78" s="49">
        <f>IF(-710.15337="","-",-710.15337)</f>
        <v>-710.15337</v>
      </c>
      <c r="C78" s="79">
        <v>-869.76</v>
      </c>
      <c r="D78" s="63">
        <f>IF(OR(-710.15337="",-869.75859="",-710.15337=0),"-",-869.75859/-710.15337*100)</f>
        <v>122.47475358738353</v>
      </c>
    </row>
    <row r="79" spans="1:5" x14ac:dyDescent="0.25">
      <c r="A79" s="48" t="s">
        <v>40</v>
      </c>
      <c r="B79" s="49">
        <f>IF(-774.85898="","-",-774.85898)</f>
        <v>-774.85897999999997</v>
      </c>
      <c r="C79" s="49">
        <v>-793.6</v>
      </c>
      <c r="D79" s="63">
        <f>IF(OR(-774.85898="",-793.603="",-774.85898=0),"-",-793.603/-774.85898*100)</f>
        <v>102.41902339442461</v>
      </c>
    </row>
    <row r="80" spans="1:5" x14ac:dyDescent="0.25">
      <c r="A80" s="48" t="s">
        <v>92</v>
      </c>
      <c r="B80" s="49">
        <f>IF(-445.18603="","-",-445.18603)</f>
        <v>-445.18603000000002</v>
      </c>
      <c r="C80" s="79">
        <v>-785.08</v>
      </c>
      <c r="D80" s="63" t="s">
        <v>300</v>
      </c>
    </row>
    <row r="81" spans="1:5" x14ac:dyDescent="0.25">
      <c r="A81" s="48" t="s">
        <v>90</v>
      </c>
      <c r="B81" s="49">
        <f>IF(-814.38208="","-",-814.38208)</f>
        <v>-814.38207999999997</v>
      </c>
      <c r="C81" s="49">
        <v>-650.02</v>
      </c>
      <c r="D81" s="63">
        <f>IF(OR(-814.38208="",-650.02365="",-814.38208=0),"-",-650.02365/-814.38208*100)</f>
        <v>79.818019816939</v>
      </c>
    </row>
    <row r="82" spans="1:5" x14ac:dyDescent="0.25">
      <c r="A82" s="48" t="s">
        <v>184</v>
      </c>
      <c r="B82" s="49">
        <f>IF(3="","-",3)</f>
        <v>3</v>
      </c>
      <c r="C82" s="49">
        <v>-625.28</v>
      </c>
      <c r="D82" s="63" t="s">
        <v>22</v>
      </c>
    </row>
    <row r="83" spans="1:5" x14ac:dyDescent="0.25">
      <c r="A83" s="48" t="s">
        <v>178</v>
      </c>
      <c r="B83" s="49">
        <f>IF(-581.25769="","-",-581.25769)</f>
        <v>-581.25769000000003</v>
      </c>
      <c r="C83" s="49">
        <v>-576.39</v>
      </c>
      <c r="D83" s="63">
        <f>IF(OR(-581.25769="",-576.39403="",-581.25769=0),"-",-576.39403/-581.25769*100)</f>
        <v>99.163252360583826</v>
      </c>
    </row>
    <row r="84" spans="1:5" x14ac:dyDescent="0.25">
      <c r="A84" s="48" t="s">
        <v>95</v>
      </c>
      <c r="B84" s="49">
        <f>IF(-170.75693="","-",-170.75693)</f>
        <v>-170.75693000000001</v>
      </c>
      <c r="C84" s="79">
        <v>-432.84</v>
      </c>
      <c r="D84" s="63" t="s">
        <v>146</v>
      </c>
    </row>
    <row r="85" spans="1:5" x14ac:dyDescent="0.25">
      <c r="A85" s="48" t="s">
        <v>112</v>
      </c>
      <c r="B85" s="49">
        <f>IF(-149.20785="","-",-149.20785)</f>
        <v>-149.20785000000001</v>
      </c>
      <c r="C85" s="49">
        <v>-422.99</v>
      </c>
      <c r="D85" s="63" t="s">
        <v>292</v>
      </c>
    </row>
    <row r="86" spans="1:5" x14ac:dyDescent="0.25">
      <c r="A86" s="48" t="s">
        <v>93</v>
      </c>
      <c r="B86" s="49">
        <f>IF(-347.54888="","-",-347.54888)</f>
        <v>-347.54888</v>
      </c>
      <c r="C86" s="49">
        <v>-399.41</v>
      </c>
      <c r="D86" s="63">
        <f>IF(OR(-347.54888="",-399.40714="",-347.54888=0),"-",-399.40714/-347.54888*100)</f>
        <v>114.92114145210309</v>
      </c>
    </row>
    <row r="87" spans="1:5" x14ac:dyDescent="0.25">
      <c r="A87" s="48" t="s">
        <v>134</v>
      </c>
      <c r="B87" s="49">
        <f>IF(-344.33438="","-",-344.33438)</f>
        <v>-344.33438000000001</v>
      </c>
      <c r="C87" s="79">
        <v>-338.04</v>
      </c>
      <c r="D87" s="63">
        <f>IF(OR(-344.33438="",-338.03759="",-344.33438=0),"-",-338.03759/-344.33438*100)</f>
        <v>98.171315335982428</v>
      </c>
    </row>
    <row r="88" spans="1:5" x14ac:dyDescent="0.25">
      <c r="A88" s="48" t="s">
        <v>188</v>
      </c>
      <c r="B88" s="49">
        <f>IF(-579.66956="","-",-579.66956)</f>
        <v>-579.66956000000005</v>
      </c>
      <c r="C88" s="49">
        <v>-280.41000000000003</v>
      </c>
      <c r="D88" s="63">
        <f>IF(OR(-579.66956="",-280.40597="",-579.66956=0),"-",-280.40597/-579.66956*100)</f>
        <v>48.373416399508713</v>
      </c>
    </row>
    <row r="89" spans="1:5" x14ac:dyDescent="0.25">
      <c r="A89" s="48" t="s">
        <v>177</v>
      </c>
      <c r="B89" s="49">
        <f>IF(-544.88064="","-",-544.88064)</f>
        <v>-544.88063999999997</v>
      </c>
      <c r="C89" s="79">
        <v>-224.17</v>
      </c>
      <c r="D89" s="63">
        <f>IF(OR(-544.88064="",-224.17275="",-544.88064=0),"-",-224.17275/-544.88064*100)</f>
        <v>41.14162507223601</v>
      </c>
    </row>
    <row r="90" spans="1:5" x14ac:dyDescent="0.25">
      <c r="A90" s="48" t="s">
        <v>88</v>
      </c>
      <c r="B90" s="49">
        <f>IF(-1491.24944="","-",-1491.24944)</f>
        <v>-1491.24944</v>
      </c>
      <c r="C90" s="49">
        <v>-222.68</v>
      </c>
      <c r="D90" s="63">
        <f>IF(OR(-1491.24944="",-222.67808="",-1491.24944=0),"-",-222.67808/-1491.24944*100)</f>
        <v>14.932316085228504</v>
      </c>
    </row>
    <row r="91" spans="1:5" x14ac:dyDescent="0.25">
      <c r="A91" s="48" t="s">
        <v>149</v>
      </c>
      <c r="B91" s="49">
        <f>IF(-122.74016="","-",-122.74016)</f>
        <v>-122.74016</v>
      </c>
      <c r="C91" s="49">
        <v>-205.14</v>
      </c>
      <c r="D91" s="63" t="s">
        <v>104</v>
      </c>
    </row>
    <row r="92" spans="1:5" x14ac:dyDescent="0.25">
      <c r="A92" s="48" t="s">
        <v>99</v>
      </c>
      <c r="B92" s="49">
        <f>IF(-533.64211="","-",-533.64211)</f>
        <v>-533.64211</v>
      </c>
      <c r="C92" s="49">
        <v>-159.27000000000001</v>
      </c>
      <c r="D92" s="63">
        <f>IF(OR(-533.64211="",-159.26512="",-533.64211=0),"-",-159.26512/-533.64211*100)</f>
        <v>29.844931090614267</v>
      </c>
    </row>
    <row r="93" spans="1:5" x14ac:dyDescent="0.25">
      <c r="A93" s="48" t="s">
        <v>155</v>
      </c>
      <c r="B93" s="49">
        <f>IF(-22.99742="","-",-22.99742)</f>
        <v>-22.997420000000002</v>
      </c>
      <c r="C93" s="49">
        <f>IF(-110.9847="","-",-110.9847)</f>
        <v>-110.9847</v>
      </c>
      <c r="D93" s="63" t="s">
        <v>301</v>
      </c>
    </row>
    <row r="94" spans="1:5" x14ac:dyDescent="0.25">
      <c r="A94" s="48" t="s">
        <v>103</v>
      </c>
      <c r="B94" s="49">
        <f>IF(-151.32163="","-",-151.32163)</f>
        <v>-151.32163</v>
      </c>
      <c r="C94" s="49">
        <v>-110.96</v>
      </c>
      <c r="D94" s="63">
        <f>IF(OR(-151.32163="",-110.95986="",-151.32163=0),"-",-110.95986/-151.32163*100)</f>
        <v>73.327164133772555</v>
      </c>
    </row>
    <row r="95" spans="1:5" x14ac:dyDescent="0.25">
      <c r="A95" s="48" t="s">
        <v>91</v>
      </c>
      <c r="B95" s="49">
        <f>IF(-300.17836="","-",-300.17836)</f>
        <v>-300.17836</v>
      </c>
      <c r="C95" s="79">
        <v>-100.36</v>
      </c>
      <c r="D95" s="63">
        <f>IF(OR(-300.17836="",-100.36086="",-300.17836=0),"-",-100.36086/-300.17836*100)</f>
        <v>33.433742525610441</v>
      </c>
    </row>
    <row r="96" spans="1:5" x14ac:dyDescent="0.25">
      <c r="A96" s="48" t="s">
        <v>166</v>
      </c>
      <c r="B96" s="49">
        <f>IF(-129.70559="","-",-129.70559)</f>
        <v>-129.70559</v>
      </c>
      <c r="C96" s="79">
        <v>-95.6</v>
      </c>
      <c r="D96" s="63">
        <f>IF(OR(-129.70559="",-95.59739="",-129.70559=0),"-",-95.59739/-129.70559*100)</f>
        <v>73.703369299657794</v>
      </c>
      <c r="E96" s="12"/>
    </row>
    <row r="97" spans="1:5" x14ac:dyDescent="0.25">
      <c r="A97" s="48" t="s">
        <v>102</v>
      </c>
      <c r="B97" s="49">
        <f>IF(-319.63363="","-",-319.63363)</f>
        <v>-319.63362999999998</v>
      </c>
      <c r="C97" s="79">
        <v>-94.62</v>
      </c>
      <c r="D97" s="63">
        <f>IF(OR(-319.63363="",-94.61937="",-319.63363=0),"-",-94.61937/-319.63363*100)</f>
        <v>29.602445149466909</v>
      </c>
    </row>
    <row r="98" spans="1:5" x14ac:dyDescent="0.25">
      <c r="A98" s="48" t="s">
        <v>148</v>
      </c>
      <c r="B98" s="49">
        <f>IF(-32.60353="","-",-32.60353)</f>
        <v>-32.603529999999999</v>
      </c>
      <c r="C98" s="49">
        <v>-90.86</v>
      </c>
      <c r="D98" s="63" t="s">
        <v>292</v>
      </c>
      <c r="E98" s="11"/>
    </row>
    <row r="99" spans="1:5" x14ac:dyDescent="0.25">
      <c r="A99" s="48" t="s">
        <v>156</v>
      </c>
      <c r="B99" s="49">
        <f>IF(-137.46298="","-",-137.46298)</f>
        <v>-137.46297999999999</v>
      </c>
      <c r="C99" s="49">
        <v>-80.52</v>
      </c>
      <c r="D99" s="63">
        <f>IF(OR(-137.46298="",-80.51796="",-137.46298=0),"-",-80.51796/-137.46298*100)</f>
        <v>58.574286691587808</v>
      </c>
    </row>
    <row r="100" spans="1:5" x14ac:dyDescent="0.25">
      <c r="A100" s="48" t="s">
        <v>266</v>
      </c>
      <c r="B100" s="49">
        <f>IF(-26.52219="","-",-26.52219)</f>
        <v>-26.522189999999998</v>
      </c>
      <c r="C100" s="79">
        <v>-76.760000000000005</v>
      </c>
      <c r="D100" s="63" t="s">
        <v>187</v>
      </c>
      <c r="E100" s="11"/>
    </row>
    <row r="101" spans="1:5" x14ac:dyDescent="0.25">
      <c r="A101" s="48" t="s">
        <v>185</v>
      </c>
      <c r="B101" s="49">
        <f>IF(-19.82707="","-",-19.82707)</f>
        <v>-19.827069999999999</v>
      </c>
      <c r="C101" s="79">
        <v>-75.319999999999993</v>
      </c>
      <c r="D101" s="63" t="s">
        <v>287</v>
      </c>
      <c r="E101" s="1"/>
    </row>
    <row r="102" spans="1:5" x14ac:dyDescent="0.25">
      <c r="A102" s="48" t="s">
        <v>165</v>
      </c>
      <c r="B102" s="49">
        <f>IF(-85.21166="","-",-85.21166)</f>
        <v>-85.211659999999995</v>
      </c>
      <c r="C102" s="49">
        <v>-69.239999999999995</v>
      </c>
      <c r="D102" s="63">
        <f>IF(OR(-85.21166="",-69.24245="",-85.21166=0),"-",-69.24245/-85.21166*100)</f>
        <v>81.259360514746476</v>
      </c>
    </row>
    <row r="103" spans="1:5" x14ac:dyDescent="0.25">
      <c r="A103" s="48" t="s">
        <v>157</v>
      </c>
      <c r="B103" s="49">
        <f>IF(-26.0156="","-",-26.0156)</f>
        <v>-26.015599999999999</v>
      </c>
      <c r="C103" s="49">
        <v>-67.599999999999994</v>
      </c>
      <c r="D103" s="63" t="s">
        <v>151</v>
      </c>
    </row>
    <row r="104" spans="1:5" x14ac:dyDescent="0.25">
      <c r="A104" s="48" t="s">
        <v>180</v>
      </c>
      <c r="B104" s="49">
        <f>IF(-45.48485="","-",-45.48485)</f>
        <v>-45.484850000000002</v>
      </c>
      <c r="C104" s="49">
        <v>-62.44</v>
      </c>
      <c r="D104" s="63">
        <f>IF(OR(-45.48485="",-62.4447="",-45.48485=0),"-",-62.4447/-45.48485*100)</f>
        <v>137.28681088318416</v>
      </c>
    </row>
    <row r="105" spans="1:5" x14ac:dyDescent="0.25">
      <c r="A105" s="48" t="s">
        <v>108</v>
      </c>
      <c r="B105" s="49">
        <f>IF(86.67291="","-",86.67291)</f>
        <v>86.672910000000002</v>
      </c>
      <c r="C105" s="79">
        <v>-53.84</v>
      </c>
      <c r="D105" s="63" t="s">
        <v>22</v>
      </c>
      <c r="E105" s="12"/>
    </row>
    <row r="106" spans="1:5" x14ac:dyDescent="0.25">
      <c r="A106" s="48" t="s">
        <v>150</v>
      </c>
      <c r="B106" s="49">
        <f>IF(-51.3169="","-",-51.3169)</f>
        <v>-51.316899999999997</v>
      </c>
      <c r="C106" s="49">
        <v>-48.24</v>
      </c>
      <c r="D106" s="63">
        <f>IF(OR(-51.3169="",-48.24114="",-51.3169=0),"-",-48.24114/-51.3169*100)</f>
        <v>94.006340990979581</v>
      </c>
      <c r="E106" s="10"/>
    </row>
    <row r="107" spans="1:5" x14ac:dyDescent="0.25">
      <c r="A107" s="48" t="s">
        <v>189</v>
      </c>
      <c r="B107" s="49">
        <f>IF(-47.87974="","-",-47.87974)</f>
        <v>-47.879739999999998</v>
      </c>
      <c r="C107" s="49">
        <v>-45.34</v>
      </c>
      <c r="D107" s="63">
        <f>IF(OR(-47.87974="",-45.34095="",-47.87974=0),"-",-45.34095/-47.87974*100)</f>
        <v>94.697569368588887</v>
      </c>
    </row>
    <row r="108" spans="1:5" x14ac:dyDescent="0.25">
      <c r="A108" s="48" t="s">
        <v>65</v>
      </c>
      <c r="B108" s="49">
        <f>IF(761.77388="","-",761.77388)</f>
        <v>761.77387999999996</v>
      </c>
      <c r="C108" s="79">
        <v>6.07</v>
      </c>
      <c r="D108" s="63">
        <f>IF(OR(761.77388="",6.07255="",761.77388=0),"-",6.07255/761.77388*100)</f>
        <v>0.79715912548747414</v>
      </c>
    </row>
    <row r="109" spans="1:5" x14ac:dyDescent="0.25">
      <c r="A109" s="48" t="s">
        <v>94</v>
      </c>
      <c r="B109" s="49">
        <f>IF(-506.94022="","-",-506.94022)</f>
        <v>-506.94022000000001</v>
      </c>
      <c r="C109" s="49">
        <v>13.79</v>
      </c>
      <c r="D109" s="63" t="s">
        <v>22</v>
      </c>
    </row>
    <row r="110" spans="1:5" x14ac:dyDescent="0.25">
      <c r="A110" s="48" t="s">
        <v>144</v>
      </c>
      <c r="B110" s="49">
        <f>IF(-44.75105="","-",-44.75105)</f>
        <v>-44.751049999999999</v>
      </c>
      <c r="C110" s="49">
        <v>41.65</v>
      </c>
      <c r="D110" s="63" t="s">
        <v>22</v>
      </c>
    </row>
    <row r="111" spans="1:5" x14ac:dyDescent="0.25">
      <c r="A111" s="48" t="s">
        <v>154</v>
      </c>
      <c r="B111" s="49">
        <f>IF(43.23246="","-",43.23246)</f>
        <v>43.232460000000003</v>
      </c>
      <c r="C111" s="79">
        <v>50.18</v>
      </c>
      <c r="D111" s="63">
        <f>IF(OR(43.23246="",50.18097="",43.23246=0),"-",50.18097/43.23246*100)</f>
        <v>116.07243723813079</v>
      </c>
    </row>
    <row r="112" spans="1:5" x14ac:dyDescent="0.25">
      <c r="A112" s="48" t="s">
        <v>183</v>
      </c>
      <c r="B112" s="49">
        <f>IF(259.8605="","-",259.8605)</f>
        <v>259.8605</v>
      </c>
      <c r="C112" s="79">
        <v>61.22</v>
      </c>
      <c r="D112" s="63">
        <f>IF(OR(259.8605="",61.21976="",259.8605=0),"-",61.21976/259.8605*100)</f>
        <v>23.55870168802107</v>
      </c>
    </row>
    <row r="113" spans="1:4" x14ac:dyDescent="0.25">
      <c r="A113" s="48" t="s">
        <v>167</v>
      </c>
      <c r="B113" s="49">
        <f>IF(5.18118="","-",5.18118)</f>
        <v>5.1811800000000003</v>
      </c>
      <c r="C113" s="79">
        <v>76.47</v>
      </c>
      <c r="D113" s="63" t="s">
        <v>302</v>
      </c>
    </row>
    <row r="114" spans="1:4" x14ac:dyDescent="0.25">
      <c r="A114" s="48" t="s">
        <v>132</v>
      </c>
      <c r="B114" s="49">
        <f>IF(2995.41757="","-",2995.41757)</f>
        <v>2995.4175700000001</v>
      </c>
      <c r="C114" s="49">
        <v>82.91</v>
      </c>
      <c r="D114" s="63">
        <f>IF(OR(2995.41757="",82.90693="",2995.41757=0),"-",82.90693/2995.41757*100)</f>
        <v>2.7677920711401849</v>
      </c>
    </row>
    <row r="115" spans="1:4" x14ac:dyDescent="0.25">
      <c r="A115" s="48" t="s">
        <v>182</v>
      </c>
      <c r="B115" s="49">
        <f>IF(450.38566="","-",450.38566)</f>
        <v>450.38565999999997</v>
      </c>
      <c r="C115" s="49">
        <v>137.69</v>
      </c>
      <c r="D115" s="63">
        <f>IF(OR(450.38566="",137.69334="",450.38566=0),"-",137.69334/450.38566*100)</f>
        <v>30.572318843366375</v>
      </c>
    </row>
    <row r="116" spans="1:4" x14ac:dyDescent="0.25">
      <c r="A116" s="48" t="s">
        <v>137</v>
      </c>
      <c r="B116" s="49">
        <f>IF(261.93325="","-",261.93325)</f>
        <v>261.93324999999999</v>
      </c>
      <c r="C116" s="79">
        <v>177.88</v>
      </c>
      <c r="D116" s="63">
        <f>IF(OR(261.93325="",177.87595="",261.93325=0),"-",177.87595/261.93325*100)</f>
        <v>67.908885183534352</v>
      </c>
    </row>
    <row r="117" spans="1:4" x14ac:dyDescent="0.25">
      <c r="A117" s="48" t="s">
        <v>176</v>
      </c>
      <c r="B117" s="49">
        <f>IF(71.9935="","-",71.9935)</f>
        <v>71.993499999999997</v>
      </c>
      <c r="C117" s="49">
        <v>179.72</v>
      </c>
      <c r="D117" s="63" t="s">
        <v>146</v>
      </c>
    </row>
    <row r="118" spans="1:4" x14ac:dyDescent="0.25">
      <c r="A118" s="48" t="s">
        <v>97</v>
      </c>
      <c r="B118" s="49">
        <f>IF(335.15055="","-",335.15055)</f>
        <v>335.15055000000001</v>
      </c>
      <c r="C118" s="49">
        <v>183.24</v>
      </c>
      <c r="D118" s="63">
        <f>IF(OR(335.15055="",183.24437="",335.15055=0),"-",183.24437/335.15055*100)</f>
        <v>54.675240723907514</v>
      </c>
    </row>
    <row r="119" spans="1:4" x14ac:dyDescent="0.25">
      <c r="A119" s="48" t="s">
        <v>168</v>
      </c>
      <c r="B119" s="49">
        <f>IF(149.53541="","-",149.53541)</f>
        <v>149.53541000000001</v>
      </c>
      <c r="C119" s="49">
        <v>211.05</v>
      </c>
      <c r="D119" s="63">
        <f>IF(OR(149.53541="",211.04957="",149.53541=0),"-",211.04957/149.53541*100)</f>
        <v>141.13685179985126</v>
      </c>
    </row>
    <row r="120" spans="1:4" x14ac:dyDescent="0.25">
      <c r="A120" s="48" t="s">
        <v>181</v>
      </c>
      <c r="B120" s="49">
        <f>IF(15.4645="","-",15.4645)</f>
        <v>15.464499999999999</v>
      </c>
      <c r="C120" s="49">
        <v>259.86</v>
      </c>
      <c r="D120" s="63" t="s">
        <v>303</v>
      </c>
    </row>
    <row r="121" spans="1:4" x14ac:dyDescent="0.25">
      <c r="A121" s="48" t="s">
        <v>69</v>
      </c>
      <c r="B121" s="49">
        <f>IF(2170.68312="","-",2170.68312)</f>
        <v>2170.6831200000001</v>
      </c>
      <c r="C121" s="49">
        <v>282.23</v>
      </c>
      <c r="D121" s="63">
        <f>IF(OR(2170.68312="",282.22661="",2170.68312=0),"-",282.22661/2170.68312*100)</f>
        <v>13.001741589993108</v>
      </c>
    </row>
    <row r="122" spans="1:4" x14ac:dyDescent="0.25">
      <c r="A122" s="48" t="s">
        <v>142</v>
      </c>
      <c r="B122" s="49">
        <f>IF(39.84902="","-",39.84902)</f>
        <v>39.849020000000003</v>
      </c>
      <c r="C122" s="49">
        <v>288.19</v>
      </c>
      <c r="D122" s="63" t="s">
        <v>285</v>
      </c>
    </row>
    <row r="123" spans="1:4" x14ac:dyDescent="0.25">
      <c r="A123" s="48" t="s">
        <v>110</v>
      </c>
      <c r="B123" s="49">
        <f>IF(936.09838="","-",936.09838)</f>
        <v>936.09838000000002</v>
      </c>
      <c r="C123" s="79">
        <v>525</v>
      </c>
      <c r="D123" s="63">
        <f>IF(OR(936.09838="",524.99863="",936.09838=0),"-",524.99863/936.09838*100)</f>
        <v>56.083702441617298</v>
      </c>
    </row>
    <row r="124" spans="1:4" x14ac:dyDescent="0.25">
      <c r="A124" s="48" t="s">
        <v>38</v>
      </c>
      <c r="B124" s="49">
        <f>IF(397.38379="","-",397.38379)</f>
        <v>397.38378999999998</v>
      </c>
      <c r="C124" s="49">
        <v>628.66</v>
      </c>
      <c r="D124" s="63" t="s">
        <v>105</v>
      </c>
    </row>
    <row r="125" spans="1:4" x14ac:dyDescent="0.25">
      <c r="A125" s="48" t="s">
        <v>78</v>
      </c>
      <c r="B125" s="49">
        <f>IF(753.92354="","-",753.92354)</f>
        <v>753.92354</v>
      </c>
      <c r="C125" s="79">
        <v>678.45</v>
      </c>
      <c r="D125" s="63">
        <f>IF(OR(753.92354="",678.45387="",753.92354=0),"-",678.45387/753.92354*100)</f>
        <v>89.989744848661985</v>
      </c>
    </row>
    <row r="126" spans="1:4" x14ac:dyDescent="0.25">
      <c r="A126" s="48" t="s">
        <v>136</v>
      </c>
      <c r="B126" s="49">
        <f>IF(180.89096="","-",180.89096)</f>
        <v>180.89096000000001</v>
      </c>
      <c r="C126" s="49">
        <v>743.78</v>
      </c>
      <c r="D126" s="63" t="s">
        <v>267</v>
      </c>
    </row>
    <row r="127" spans="1:4" x14ac:dyDescent="0.25">
      <c r="A127" s="48" t="s">
        <v>135</v>
      </c>
      <c r="B127" s="49">
        <f>IF(-134.36369="","-",-134.36369)</f>
        <v>-134.36368999999999</v>
      </c>
      <c r="C127" s="49">
        <v>942.48</v>
      </c>
      <c r="D127" s="63" t="s">
        <v>22</v>
      </c>
    </row>
    <row r="128" spans="1:4" x14ac:dyDescent="0.25">
      <c r="A128" s="48" t="s">
        <v>66</v>
      </c>
      <c r="B128" s="49">
        <f>IF(3630.77496="","-",3630.77496)</f>
        <v>3630.7749600000002</v>
      </c>
      <c r="C128" s="49">
        <v>1174.3900000000001</v>
      </c>
      <c r="D128" s="63">
        <f>IF(OR(3630.77496="",1174.38833="",3630.77496=0),"-",1174.38833/3630.77496*100)</f>
        <v>32.345390252443515</v>
      </c>
    </row>
    <row r="129" spans="1:4" x14ac:dyDescent="0.25">
      <c r="A129" s="48" t="s">
        <v>68</v>
      </c>
      <c r="B129" s="49">
        <f>IF(-1086.47818="","-",-1086.47818)</f>
        <v>-1086.4781800000001</v>
      </c>
      <c r="C129" s="49">
        <v>2504.9</v>
      </c>
      <c r="D129" s="63" t="s">
        <v>22</v>
      </c>
    </row>
    <row r="130" spans="1:4" x14ac:dyDescent="0.25">
      <c r="A130" s="48" t="s">
        <v>131</v>
      </c>
      <c r="B130" s="49">
        <f>IF(8944.061="","-",8944.061)</f>
        <v>8944.0609999999997</v>
      </c>
      <c r="C130" s="79">
        <v>3273.37</v>
      </c>
      <c r="D130" s="63">
        <f>IF(OR(8944.061="",3273.37467="",8944.061=0),"-",3273.37467/8944.061*100)</f>
        <v>36.598304394390873</v>
      </c>
    </row>
    <row r="131" spans="1:4" x14ac:dyDescent="0.25">
      <c r="A131" s="48" t="s">
        <v>58</v>
      </c>
      <c r="B131" s="49">
        <f>IF(6619.62425="","-",6619.62425)</f>
        <v>6619.6242499999998</v>
      </c>
      <c r="C131" s="49">
        <v>4399.68</v>
      </c>
      <c r="D131" s="63">
        <f>IF(OR(6619.62425="",4399.67522="",6619.62425=0),"-",4399.67522/6619.62425*100)</f>
        <v>66.464123246874635</v>
      </c>
    </row>
    <row r="132" spans="1:4" x14ac:dyDescent="0.25">
      <c r="A132" s="48" t="s">
        <v>59</v>
      </c>
      <c r="B132" s="49">
        <f>IF(9794.48269="","-",9794.48269)</f>
        <v>9794.4826900000007</v>
      </c>
      <c r="C132" s="49">
        <v>7805.17</v>
      </c>
      <c r="D132" s="63">
        <f>IF(OR(9794.48269="",7805.17002="",9794.48269=0),"-",7805.17002/9794.48269*100)</f>
        <v>79.689456472968644</v>
      </c>
    </row>
    <row r="133" spans="1:4" x14ac:dyDescent="0.25">
      <c r="A133" s="48" t="s">
        <v>61</v>
      </c>
      <c r="B133" s="49">
        <f>IF(8127.86807="","-",8127.86807)</f>
        <v>8127.8680700000004</v>
      </c>
      <c r="C133" s="49">
        <v>9405.68</v>
      </c>
      <c r="D133" s="63">
        <f>IF(OR(8127.86807="",9405.67783="",8127.86807=0),"-",9405.67783/8127.86807*100)</f>
        <v>115.7213398273085</v>
      </c>
    </row>
    <row r="134" spans="1:4" x14ac:dyDescent="0.25">
      <c r="A134" s="53" t="s">
        <v>130</v>
      </c>
      <c r="B134" s="54">
        <f>IF(23962.2967="","-",23962.2967)</f>
        <v>23962.296699999999</v>
      </c>
      <c r="C134" s="54">
        <v>24913.05</v>
      </c>
      <c r="D134" s="80">
        <f>IF(OR(23962.2967="",24913.04722="",23962.2967=0),"-",24913.04722/23962.2967*100)</f>
        <v>103.96769363096988</v>
      </c>
    </row>
    <row r="135" spans="1:4" x14ac:dyDescent="0.25">
      <c r="A135" s="44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I5" sqref="I5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81" t="s">
        <v>304</v>
      </c>
      <c r="B1" s="81"/>
      <c r="C1" s="81"/>
      <c r="D1" s="81"/>
      <c r="E1" s="81"/>
    </row>
    <row r="2" spans="1:6" x14ac:dyDescent="0.25">
      <c r="A2" s="9"/>
      <c r="B2" s="9"/>
      <c r="C2" s="9"/>
      <c r="D2" s="9"/>
      <c r="E2" s="9"/>
    </row>
    <row r="3" spans="1:6" x14ac:dyDescent="0.25">
      <c r="A3" s="82"/>
      <c r="B3" s="85" t="s">
        <v>271</v>
      </c>
      <c r="C3" s="86"/>
      <c r="D3" s="85" t="s">
        <v>109</v>
      </c>
      <c r="E3" s="101"/>
      <c r="F3" s="1"/>
    </row>
    <row r="4" spans="1:6" ht="18" customHeight="1" x14ac:dyDescent="0.25">
      <c r="A4" s="83"/>
      <c r="B4" s="89" t="s">
        <v>123</v>
      </c>
      <c r="C4" s="91" t="s">
        <v>272</v>
      </c>
      <c r="D4" s="93" t="s">
        <v>273</v>
      </c>
      <c r="E4" s="85"/>
      <c r="F4" s="1"/>
    </row>
    <row r="5" spans="1:6" ht="22.5" customHeight="1" x14ac:dyDescent="0.25">
      <c r="A5" s="84"/>
      <c r="B5" s="90"/>
      <c r="C5" s="92"/>
      <c r="D5" s="23">
        <v>2019</v>
      </c>
      <c r="E5" s="22">
        <v>2020</v>
      </c>
      <c r="F5" s="1"/>
    </row>
    <row r="6" spans="1:6" ht="15.75" customHeight="1" x14ac:dyDescent="0.25">
      <c r="A6" s="39" t="s">
        <v>158</v>
      </c>
      <c r="B6" s="66">
        <f>IF(1379394.59717="","-",1379394.59717)</f>
        <v>1379394.59717</v>
      </c>
      <c r="C6" s="67">
        <v>87.227262613609867</v>
      </c>
      <c r="D6" s="68">
        <v>100</v>
      </c>
      <c r="E6" s="68">
        <v>100</v>
      </c>
    </row>
    <row r="7" spans="1:6" ht="15.75" customHeight="1" x14ac:dyDescent="0.25">
      <c r="A7" s="40" t="s">
        <v>138</v>
      </c>
      <c r="B7" s="31"/>
      <c r="C7" s="45"/>
      <c r="D7" s="31"/>
      <c r="E7" s="31"/>
    </row>
    <row r="8" spans="1:6" x14ac:dyDescent="0.25">
      <c r="A8" s="41" t="s">
        <v>113</v>
      </c>
      <c r="B8" s="49">
        <f>IF(118837.16155="","-",118837.16155)</f>
        <v>118837.16155</v>
      </c>
      <c r="C8" s="69">
        <v>107.60279962102295</v>
      </c>
      <c r="D8" s="49">
        <f>IF(110440.58516="","-",110440.58516/1581380.128*100)</f>
        <v>6.983810103879085</v>
      </c>
      <c r="E8" s="49">
        <f>IF(118837.16155="","-",118837.16155/1379394.59717*100)</f>
        <v>8.6151679725155716</v>
      </c>
    </row>
    <row r="9" spans="1:6" x14ac:dyDescent="0.25">
      <c r="A9" s="41" t="s">
        <v>114</v>
      </c>
      <c r="B9" s="49">
        <f>IF(50994.45954="","-",50994.45954)</f>
        <v>50994.459540000003</v>
      </c>
      <c r="C9" s="69">
        <v>72.734355720047802</v>
      </c>
      <c r="D9" s="49">
        <f>IF(70110.55372="","-",70110.55372/1581380.128*100)</f>
        <v>4.4335041574520151</v>
      </c>
      <c r="E9" s="49">
        <f>IF(50994.45954="","-",50994.45954/1379394.59717*100)</f>
        <v>3.6968725007783485</v>
      </c>
    </row>
    <row r="10" spans="1:6" x14ac:dyDescent="0.25">
      <c r="A10" s="41" t="s">
        <v>115</v>
      </c>
      <c r="B10" s="49">
        <f>IF(1176084.28282="","-",1176084.28282)</f>
        <v>1176084.2828200001</v>
      </c>
      <c r="C10" s="69">
        <v>85.606871624900364</v>
      </c>
      <c r="D10" s="49">
        <f>IF(1373819.95218="","-",1373819.95218/1581380.128*100)</f>
        <v>86.874744905103555</v>
      </c>
      <c r="E10" s="49">
        <f>IF(1176084.28282="","-",1176084.28282/1379394.59717*100)</f>
        <v>85.260902517153809</v>
      </c>
    </row>
    <row r="11" spans="1:6" x14ac:dyDescent="0.25">
      <c r="A11" s="41" t="s">
        <v>116</v>
      </c>
      <c r="B11" s="49">
        <f>IF(32759.26538="","-",32759.26538)</f>
        <v>32759.265380000001</v>
      </c>
      <c r="C11" s="69">
        <v>127.9090550941073</v>
      </c>
      <c r="D11" s="49">
        <f>IF(25611.37314="","-",25611.37314/1581380.128*100)</f>
        <v>1.6195583014180888</v>
      </c>
      <c r="E11" s="49">
        <f>IF(32759.26538="","-",32759.26538/1379394.59717*100)</f>
        <v>2.374901674053945</v>
      </c>
    </row>
    <row r="12" spans="1:6" x14ac:dyDescent="0.25">
      <c r="A12" s="41" t="s">
        <v>117</v>
      </c>
      <c r="B12" s="49">
        <f>IF(687.38295="","-",687.38295)</f>
        <v>687.38295000000005</v>
      </c>
      <c r="C12" s="69">
        <v>76.908403958645579</v>
      </c>
      <c r="D12" s="49">
        <f>IF(893.76832="","-",893.76832/1581380.128*100)</f>
        <v>5.6518246573033962E-2</v>
      </c>
      <c r="E12" s="49">
        <f>IF(687.38295="","-",687.38295/1379394.59717*100)</f>
        <v>4.9832219976086022E-2</v>
      </c>
    </row>
    <row r="13" spans="1:6" x14ac:dyDescent="0.25">
      <c r="A13" s="41" t="s">
        <v>118</v>
      </c>
      <c r="B13" s="49">
        <f>IF(4.46042="","-",4.46042)</f>
        <v>4.4604200000000001</v>
      </c>
      <c r="C13" s="69">
        <v>105.03211890588501</v>
      </c>
      <c r="D13" s="49">
        <f>IF(4.24672="","-",4.24672/1581380.128*100)</f>
        <v>2.6854517296678713E-4</v>
      </c>
      <c r="E13" s="49">
        <f>IF(4.46042="","-",4.46042/1379394.59717*100)</f>
        <v>3.2336069817520728E-4</v>
      </c>
    </row>
    <row r="14" spans="1:6" x14ac:dyDescent="0.25">
      <c r="A14" s="41" t="s">
        <v>119</v>
      </c>
      <c r="B14" s="49">
        <f>IF(27.58451="","-",27.58451)</f>
        <v>27.584510000000002</v>
      </c>
      <c r="C14" s="69">
        <v>5.5207802377013806</v>
      </c>
      <c r="D14" s="49">
        <f>IF(499.64876="","-",499.64876/1581380.128*100)</f>
        <v>3.1595740401260439E-2</v>
      </c>
      <c r="E14" s="49">
        <f>IF(27.58451="","-",27.58451/1379394.59717*100)</f>
        <v>1.9997548240795683E-3</v>
      </c>
    </row>
    <row r="15" spans="1:6" x14ac:dyDescent="0.25">
      <c r="A15" s="37" t="s">
        <v>170</v>
      </c>
      <c r="B15" s="47">
        <f>IF(893593.88446="","-",893593.88446)</f>
        <v>893593.88445999997</v>
      </c>
      <c r="C15" s="70">
        <v>89.224656323180881</v>
      </c>
      <c r="D15" s="47">
        <f>IF(1001510.03241="","-",1001510.03241/1581380.128*100)</f>
        <v>63.331391022133801</v>
      </c>
      <c r="E15" s="47">
        <f>IF(893593.88446="","-",893593.88446/1379394.59717*100)</f>
        <v>64.781599572255772</v>
      </c>
    </row>
    <row r="16" spans="1:6" x14ac:dyDescent="0.25">
      <c r="A16" s="40" t="s">
        <v>138</v>
      </c>
      <c r="B16" s="32"/>
      <c r="C16" s="70"/>
      <c r="D16" s="32"/>
      <c r="E16" s="32"/>
    </row>
    <row r="17" spans="1:11" x14ac:dyDescent="0.25">
      <c r="A17" s="41" t="s">
        <v>113</v>
      </c>
      <c r="B17" s="49">
        <f>IF(56573.27213="","-",56573.27213)</f>
        <v>56573.272129999998</v>
      </c>
      <c r="C17" s="69">
        <v>133.63747535158353</v>
      </c>
      <c r="D17" s="49">
        <f>IF(42333.38888="","-",42333.38888/1581380.128*100)</f>
        <v>2.6769900626954128</v>
      </c>
      <c r="E17" s="49">
        <f>IF(56573.27213="","-",56573.27213/1379394.59717*100)</f>
        <v>4.1013117092141087</v>
      </c>
      <c r="K17" s="25"/>
    </row>
    <row r="18" spans="1:11" x14ac:dyDescent="0.25">
      <c r="A18" s="41" t="s">
        <v>114</v>
      </c>
      <c r="B18" s="49">
        <f>IF(11094.62701="","-",11094.62701)</f>
        <v>11094.62701</v>
      </c>
      <c r="C18" s="69">
        <v>70.868266534999918</v>
      </c>
      <c r="D18" s="49">
        <f>IF(15655.28205="","-",15655.28205/1581380.128*100)</f>
        <v>0.9899758933862105</v>
      </c>
      <c r="E18" s="49">
        <f>IF(11094.62701="","-",11094.62701/1379394.59717*100)</f>
        <v>0.80431132851774334</v>
      </c>
    </row>
    <row r="19" spans="1:11" x14ac:dyDescent="0.25">
      <c r="A19" s="41" t="s">
        <v>115</v>
      </c>
      <c r="B19" s="49">
        <f>IF(804599.86035="","-",804599.86035)</f>
        <v>804599.86034999997</v>
      </c>
      <c r="C19" s="69">
        <v>85.592928588271647</v>
      </c>
      <c r="D19" s="49">
        <f>IF(940030.76378="","-",940030.76378/1581380.128*100)</f>
        <v>59.443693969322474</v>
      </c>
      <c r="E19" s="49">
        <f>IF(804599.86035="","-",804599.86035/1379394.59717*100)</f>
        <v>58.329926911468043</v>
      </c>
    </row>
    <row r="20" spans="1:11" x14ac:dyDescent="0.25">
      <c r="A20" s="41" t="s">
        <v>116</v>
      </c>
      <c r="B20" s="49">
        <f>IF(21021.31515="","-",21021.31515)</f>
        <v>21021.315149999999</v>
      </c>
      <c r="C20" s="69" t="s">
        <v>298</v>
      </c>
      <c r="D20" s="49">
        <f>IF(2797.46953="","-",2797.46953/1581380.128*100)</f>
        <v>0.17690051117171998</v>
      </c>
      <c r="E20" s="49">
        <f>IF(21021.31515="","-",21021.31515/1379394.59717*100)</f>
        <v>1.5239522608779132</v>
      </c>
    </row>
    <row r="21" spans="1:11" x14ac:dyDescent="0.25">
      <c r="A21" s="41" t="s">
        <v>117</v>
      </c>
      <c r="B21" s="49">
        <f>IF(292.65964="","-",292.65964)</f>
        <v>292.65964000000002</v>
      </c>
      <c r="C21" s="71">
        <v>91.080056561450704</v>
      </c>
      <c r="D21" s="49">
        <f>IF(321.32132="","-",321.32132/1581380.128*100)</f>
        <v>2.0319043746071408E-2</v>
      </c>
      <c r="E21" s="49">
        <f>IF(292.65964="","-",292.65964/1379394.59717*100)</f>
        <v>2.1216527931922292E-2</v>
      </c>
    </row>
    <row r="22" spans="1:11" x14ac:dyDescent="0.25">
      <c r="A22" s="36" t="s">
        <v>119</v>
      </c>
      <c r="B22" s="49">
        <f>IF(12.15018="","-",12.15018)</f>
        <v>12.150180000000001</v>
      </c>
      <c r="C22" s="71">
        <v>3.2678741663850466</v>
      </c>
      <c r="D22" s="49">
        <f>IF(371.80685="","-",371.80685/1581380.128*100)</f>
        <v>2.3511541811912791E-2</v>
      </c>
      <c r="E22" s="49">
        <f>IF(12.15018="","-",12.15018/1379394.59717*100)</f>
        <v>8.8083424604733186E-4</v>
      </c>
    </row>
    <row r="23" spans="1:11" x14ac:dyDescent="0.25">
      <c r="A23" s="37" t="s">
        <v>171</v>
      </c>
      <c r="B23" s="47">
        <f>IF(220867.28852="","-",220867.28852)</f>
        <v>220867.28852</v>
      </c>
      <c r="C23" s="70">
        <v>94.83907997355746</v>
      </c>
      <c r="D23" s="47">
        <f>IF(232886.36771="","-",232886.36771/1581380.128*100)</f>
        <v>14.726779702520707</v>
      </c>
      <c r="E23" s="47">
        <f>IF(220867.28852="","-",220867.28852/1379394.59717*100)</f>
        <v>16.011900363618707</v>
      </c>
    </row>
    <row r="24" spans="1:11" x14ac:dyDescent="0.25">
      <c r="A24" s="40" t="s">
        <v>138</v>
      </c>
      <c r="B24" s="32"/>
      <c r="C24" s="70"/>
      <c r="D24" s="32"/>
      <c r="E24" s="32"/>
    </row>
    <row r="25" spans="1:11" x14ac:dyDescent="0.25">
      <c r="A25" s="41" t="s">
        <v>113</v>
      </c>
      <c r="B25" s="49">
        <f>IF(1252.01706="","-",1252.01706)</f>
        <v>1252.0170599999999</v>
      </c>
      <c r="C25" s="69">
        <v>31.111466728994774</v>
      </c>
      <c r="D25" s="49">
        <f>IF(4024.29455="","-",4024.29455/1581380.128*100)</f>
        <v>0.25447989883935102</v>
      </c>
      <c r="E25" s="49">
        <f>IF(1252.01706="","-",1252.01706/1379394.59717*100)</f>
        <v>9.076569261389518E-2</v>
      </c>
    </row>
    <row r="26" spans="1:11" x14ac:dyDescent="0.25">
      <c r="A26" s="41" t="s">
        <v>114</v>
      </c>
      <c r="B26" s="49">
        <f>IF(3922.42686="","-",3922.42686)</f>
        <v>3922.42686</v>
      </c>
      <c r="C26" s="69">
        <v>40.491056613049643</v>
      </c>
      <c r="D26" s="49">
        <f>IF(9687.14375="","-",9687.14375/1581380.128*100)</f>
        <v>0.61257528019221441</v>
      </c>
      <c r="E26" s="49">
        <f>IF(3922.42686="","-",3922.42686/1379394.59717*100)</f>
        <v>0.28435857788970231</v>
      </c>
      <c r="F26" s="1"/>
      <c r="G26" s="1"/>
    </row>
    <row r="27" spans="1:11" x14ac:dyDescent="0.25">
      <c r="A27" s="41" t="s">
        <v>115</v>
      </c>
      <c r="B27" s="49">
        <f>IF(211133.03413="","-",211133.03413)</f>
        <v>211133.03412999999</v>
      </c>
      <c r="C27" s="72">
        <v>98.90144826908886</v>
      </c>
      <c r="D27" s="49">
        <f>IF(213478.20262="","-",213478.20262/1581380.128*100)</f>
        <v>13.499486862149313</v>
      </c>
      <c r="E27" s="49">
        <f>IF(211133.03413="","-",211133.03413/1379394.59717*100)</f>
        <v>15.306210025990078</v>
      </c>
      <c r="F27" s="12"/>
      <c r="G27" s="12"/>
    </row>
    <row r="28" spans="1:11" x14ac:dyDescent="0.25">
      <c r="A28" s="41" t="s">
        <v>116</v>
      </c>
      <c r="B28" s="49">
        <f>IF(4444.54709="","-",4444.54709)</f>
        <v>4444.54709</v>
      </c>
      <c r="C28" s="72">
        <v>83.914629081709123</v>
      </c>
      <c r="D28" s="49">
        <f>IF(5296.51044="","-",5296.51044/1581380.128*100)</f>
        <v>0.33492961914847075</v>
      </c>
      <c r="E28" s="49">
        <f>IF(4444.54709="","-",4444.54709/1379394.59717*100)</f>
        <v>0.32220998248931398</v>
      </c>
    </row>
    <row r="29" spans="1:11" x14ac:dyDescent="0.25">
      <c r="A29" s="41" t="s">
        <v>117</v>
      </c>
      <c r="B29" s="49">
        <f>IF(95.36863="","-",95.36863)</f>
        <v>95.368629999999996</v>
      </c>
      <c r="C29" s="72">
        <v>25.043481407462298</v>
      </c>
      <c r="D29" s="49">
        <f>IF(380.81219="","-",380.81219/1581380.128*100)</f>
        <v>2.4081002616468946E-2</v>
      </c>
      <c r="E29" s="49">
        <f>IF(95.36863="","-",95.36863/1379394.59717*100)</f>
        <v>6.9138033595071806E-3</v>
      </c>
    </row>
    <row r="30" spans="1:11" x14ac:dyDescent="0.25">
      <c r="A30" s="41" t="s">
        <v>118</v>
      </c>
      <c r="B30" s="49">
        <f>IF(4.46042="","-",4.46042)</f>
        <v>4.4604200000000001</v>
      </c>
      <c r="C30" s="72">
        <v>105.03211890588501</v>
      </c>
      <c r="D30" s="49">
        <f>IF(4.24672="","-",4.24672/1581380.128*100)</f>
        <v>2.6854517296678713E-4</v>
      </c>
      <c r="E30" s="49">
        <f>IF(4.46042="","-",4.46042/1379394.59717*100)</f>
        <v>3.2336069817520728E-4</v>
      </c>
    </row>
    <row r="31" spans="1:11" x14ac:dyDescent="0.25">
      <c r="A31" s="41" t="s">
        <v>119</v>
      </c>
      <c r="B31" s="49">
        <f>IF(15.43433="","-",15.43433)</f>
        <v>15.434329999999999</v>
      </c>
      <c r="C31" s="72">
        <v>101.82675966390103</v>
      </c>
      <c r="D31" s="49">
        <f>IF(15.15744="","-",15.15744/1581380.128*100)</f>
        <v>9.5849440192282461E-4</v>
      </c>
      <c r="E31" s="49">
        <f>IF(15.43433="","-",15.43433/1379394.59717*100)</f>
        <v>1.1189205780322363E-3</v>
      </c>
    </row>
    <row r="32" spans="1:11" x14ac:dyDescent="0.25">
      <c r="A32" s="37" t="s">
        <v>172</v>
      </c>
      <c r="B32" s="47">
        <f>IF(264933.42419="","-",264933.42419)</f>
        <v>264933.42418999999</v>
      </c>
      <c r="C32" s="70">
        <v>76.353270457000761</v>
      </c>
      <c r="D32" s="47">
        <f>IF(346983.72788="","-",346983.72788/1581380.128*100)</f>
        <v>21.941829275345491</v>
      </c>
      <c r="E32" s="47">
        <f>IF(264933.42419="","-",264933.42419/1379394.59717*100)</f>
        <v>19.206500064125521</v>
      </c>
    </row>
    <row r="33" spans="1:5" x14ac:dyDescent="0.25">
      <c r="A33" s="40" t="s">
        <v>138</v>
      </c>
      <c r="B33" s="32"/>
      <c r="C33" s="70"/>
      <c r="D33" s="32"/>
      <c r="E33" s="32"/>
    </row>
    <row r="34" spans="1:5" x14ac:dyDescent="0.25">
      <c r="A34" s="41" t="s">
        <v>113</v>
      </c>
      <c r="B34" s="49">
        <f>IF(61011.87236="","-",61011.87236)</f>
        <v>61011.872360000001</v>
      </c>
      <c r="C34" s="69">
        <v>95.207724233619857</v>
      </c>
      <c r="D34" s="49">
        <f>IF(64082.90173="","-",64082.90173/1581380.128*100)</f>
        <v>4.0523401423443204</v>
      </c>
      <c r="E34" s="49">
        <f>IF(61011.87236="","-",61011.87236/1379394.59717*100)</f>
        <v>4.4230905706875658</v>
      </c>
    </row>
    <row r="35" spans="1:5" x14ac:dyDescent="0.25">
      <c r="A35" s="41" t="s">
        <v>114</v>
      </c>
      <c r="B35" s="49">
        <f>IF(35977.40567="","-",35977.40567)</f>
        <v>35977.40567</v>
      </c>
      <c r="C35" s="69">
        <v>80.363882390371799</v>
      </c>
      <c r="D35" s="49">
        <f>IF(44768.12792="","-",44768.12792/1581380.128*100)</f>
        <v>2.8309529838735901</v>
      </c>
      <c r="E35" s="49">
        <f>IF(35977.40567="","-",35977.40567/1379394.59717*100)</f>
        <v>2.6082025943709026</v>
      </c>
    </row>
    <row r="36" spans="1:5" x14ac:dyDescent="0.25">
      <c r="A36" s="41" t="s">
        <v>115</v>
      </c>
      <c r="B36" s="49">
        <f>IF(160351.38834="","-",160351.38834)</f>
        <v>160351.38834</v>
      </c>
      <c r="C36" s="69">
        <v>72.78410914112338</v>
      </c>
      <c r="D36" s="49">
        <f>IF(220310.98578="","-",220310.98578/1581380.128*100)</f>
        <v>13.931564073631764</v>
      </c>
      <c r="E36" s="49">
        <f>IF(160351.38834="","-",160351.38834/1379394.59717*100)</f>
        <v>11.624765579695678</v>
      </c>
    </row>
    <row r="37" spans="1:5" x14ac:dyDescent="0.25">
      <c r="A37" s="41" t="s">
        <v>116</v>
      </c>
      <c r="B37" s="49">
        <f>IF(7293.40314="","-",7293.40314)</f>
        <v>7293.4031400000003</v>
      </c>
      <c r="C37" s="71">
        <v>41.635208328203554</v>
      </c>
      <c r="D37" s="49">
        <f>IF(17517.39317="","-",17517.39317/1581380.128*100)</f>
        <v>1.1077281710978981</v>
      </c>
      <c r="E37" s="49">
        <f>IF(7293.40314="","-",7293.40314/1379394.59717*100)</f>
        <v>0.52873943068671769</v>
      </c>
    </row>
    <row r="38" spans="1:5" x14ac:dyDescent="0.25">
      <c r="A38" s="36" t="s">
        <v>117</v>
      </c>
      <c r="B38" s="49">
        <f>IF(299.35468="","-",299.35468)</f>
        <v>299.35467999999997</v>
      </c>
      <c r="C38" s="71" t="s">
        <v>105</v>
      </c>
      <c r="D38" s="49">
        <f>IF(191.63481="","-",191.63481/1581380.128*100)</f>
        <v>1.2118200210493601E-2</v>
      </c>
      <c r="E38" s="49">
        <f>IF(299.35468="","-",299.35468/1379394.59717*100)</f>
        <v>2.1701888684656549E-2</v>
      </c>
    </row>
    <row r="39" spans="1:5" x14ac:dyDescent="0.25">
      <c r="A39" s="42" t="s">
        <v>119</v>
      </c>
      <c r="B39" s="54" t="s">
        <v>152</v>
      </c>
      <c r="C39" s="73" t="s">
        <v>22</v>
      </c>
      <c r="D39" s="54">
        <f>IF(112.68447="","-",112.68447/1581380.128*100)</f>
        <v>7.1257041874248223E-3</v>
      </c>
      <c r="E39" s="54" t="s">
        <v>152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I5" sqref="I5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81" t="s">
        <v>305</v>
      </c>
      <c r="B1" s="81"/>
      <c r="C1" s="81"/>
      <c r="D1" s="81"/>
      <c r="E1" s="81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2"/>
      <c r="B3" s="85" t="s">
        <v>271</v>
      </c>
      <c r="C3" s="86"/>
      <c r="D3" s="85" t="s">
        <v>109</v>
      </c>
      <c r="E3" s="101"/>
      <c r="F3" s="1"/>
    </row>
    <row r="4" spans="1:6" ht="20.25" customHeight="1" x14ac:dyDescent="0.25">
      <c r="A4" s="83"/>
      <c r="B4" s="89" t="s">
        <v>123</v>
      </c>
      <c r="C4" s="91" t="s">
        <v>272</v>
      </c>
      <c r="D4" s="93" t="s">
        <v>273</v>
      </c>
      <c r="E4" s="85"/>
      <c r="F4" s="1"/>
    </row>
    <row r="5" spans="1:6" ht="20.25" customHeight="1" x14ac:dyDescent="0.25">
      <c r="A5" s="84"/>
      <c r="B5" s="90"/>
      <c r="C5" s="92"/>
      <c r="D5" s="30">
        <v>2019</v>
      </c>
      <c r="E5" s="29">
        <v>2020</v>
      </c>
      <c r="F5" s="1"/>
    </row>
    <row r="6" spans="1:6" ht="15.75" customHeight="1" x14ac:dyDescent="0.25">
      <c r="A6" s="39" t="s">
        <v>139</v>
      </c>
      <c r="B6" s="66">
        <f>IF(2889645.06346="","-",2889645.06346)</f>
        <v>2889645.0634599999</v>
      </c>
      <c r="C6" s="74">
        <v>87.369386666305587</v>
      </c>
      <c r="D6" s="68">
        <v>100</v>
      </c>
      <c r="E6" s="68">
        <v>100</v>
      </c>
    </row>
    <row r="7" spans="1:6" ht="15.75" customHeight="1" x14ac:dyDescent="0.25">
      <c r="A7" s="40" t="s">
        <v>138</v>
      </c>
      <c r="B7" s="31"/>
      <c r="C7" s="75"/>
      <c r="D7" s="31"/>
      <c r="E7" s="31"/>
    </row>
    <row r="8" spans="1:6" x14ac:dyDescent="0.25">
      <c r="A8" s="41" t="s">
        <v>113</v>
      </c>
      <c r="B8" s="49">
        <f>IF(45266.90332="","-",45266.90332)</f>
        <v>45266.903319999998</v>
      </c>
      <c r="C8" s="69">
        <v>66.971748450769269</v>
      </c>
      <c r="D8" s="49">
        <f>IF(67591.04304="","-",67591.04304/3307388.5187*100)</f>
        <v>2.0436378326235256</v>
      </c>
      <c r="E8" s="49">
        <f>IF(45266.90332="","-",45266.90332/2889645.06346*100)</f>
        <v>1.566521227551676</v>
      </c>
    </row>
    <row r="9" spans="1:6" x14ac:dyDescent="0.25">
      <c r="A9" s="41" t="s">
        <v>114</v>
      </c>
      <c r="B9" s="49">
        <f>IF(157978.36058="","-",157978.36058)</f>
        <v>157978.36058000001</v>
      </c>
      <c r="C9" s="69">
        <v>101.04292543528722</v>
      </c>
      <c r="D9" s="49">
        <f>IF(156347.76992="","-",156347.76992/3307388.5187*100)</f>
        <v>4.7272272076899498</v>
      </c>
      <c r="E9" s="49">
        <f>IF(157978.36058="","-",157978.36058/2889645.06346*100)</f>
        <v>5.4670506969060089</v>
      </c>
    </row>
    <row r="10" spans="1:6" x14ac:dyDescent="0.25">
      <c r="A10" s="41" t="s">
        <v>115</v>
      </c>
      <c r="B10" s="49">
        <f>IF(2483927.64615="","-",2483927.64615)</f>
        <v>2483927.6461499999</v>
      </c>
      <c r="C10" s="69">
        <v>89.009380839230104</v>
      </c>
      <c r="D10" s="49">
        <f>IF(2790635.79898="","-",2790635.79898/3307388.5187*100)</f>
        <v>84.375808381801036</v>
      </c>
      <c r="E10" s="49">
        <f>IF(2483927.64615="","-",2483927.64615/2889645.06346*100)</f>
        <v>85.959610664978953</v>
      </c>
    </row>
    <row r="11" spans="1:6" x14ac:dyDescent="0.25">
      <c r="A11" s="41" t="s">
        <v>116</v>
      </c>
      <c r="B11" s="49">
        <f>IF(65191.11931="","-",65191.11931)</f>
        <v>65191.119310000002</v>
      </c>
      <c r="C11" s="69">
        <v>74.708783383864059</v>
      </c>
      <c r="D11" s="49">
        <f>IF(87260.31446="","-",87260.31446/3307388.5187*100)</f>
        <v>2.6383448441762893</v>
      </c>
      <c r="E11" s="49">
        <f>IF(65191.11931="","-",65191.11931/2889645.06346*100)</f>
        <v>2.2560251476678435</v>
      </c>
    </row>
    <row r="12" spans="1:6" x14ac:dyDescent="0.25">
      <c r="A12" s="41" t="s">
        <v>117</v>
      </c>
      <c r="B12" s="49">
        <f>IF(8287.87163="","-",8287.87163)</f>
        <v>8287.8716299999996</v>
      </c>
      <c r="C12" s="69">
        <v>133.72841057875752</v>
      </c>
      <c r="D12" s="49">
        <f>IF(6197.53992="","-",6197.53992/3307388.5187*100)</f>
        <v>0.18738469596054597</v>
      </c>
      <c r="E12" s="49">
        <f>IF(8287.87163="","-",8287.87163/2889645.06346*100)</f>
        <v>0.28681279008281652</v>
      </c>
    </row>
    <row r="13" spans="1:6" x14ac:dyDescent="0.25">
      <c r="A13" s="41" t="s">
        <v>118</v>
      </c>
      <c r="B13" s="49">
        <f>IF(115744.84092="","-",115744.84092)</f>
        <v>115744.84092</v>
      </c>
      <c r="C13" s="69">
        <v>65.41322580802607</v>
      </c>
      <c r="D13" s="49">
        <f>IF(176944.09577="","-",176944.09577/3307388.5187*100)</f>
        <v>5.3499640205423926</v>
      </c>
      <c r="E13" s="49">
        <f>IF(115744.84092="","-",115744.84092/2889645.06346*100)</f>
        <v>4.0055037341302251</v>
      </c>
    </row>
    <row r="14" spans="1:6" x14ac:dyDescent="0.25">
      <c r="A14" s="41" t="s">
        <v>119</v>
      </c>
      <c r="B14" s="49">
        <f>IF(13248.32155="","-",13248.32155)</f>
        <v>13248.321550000001</v>
      </c>
      <c r="C14" s="69">
        <v>59.112739599400818</v>
      </c>
      <c r="D14" s="49">
        <f>IF(22411.95661="","-",22411.95661/3307388.5187*100)</f>
        <v>0.6776330172062528</v>
      </c>
      <c r="E14" s="49">
        <f>IF(13248.32155="","-",13248.32155/2889645.06346*100)</f>
        <v>0.45847573868247826</v>
      </c>
    </row>
    <row r="15" spans="1:6" x14ac:dyDescent="0.25">
      <c r="A15" s="37" t="s">
        <v>170</v>
      </c>
      <c r="B15" s="47">
        <f>IF(1326325.27744="","-",1326325.27744)</f>
        <v>1326325.2774400001</v>
      </c>
      <c r="C15" s="76">
        <v>81.434421405852532</v>
      </c>
      <c r="D15" s="47">
        <f>IF(1628703.50712="","-",1628703.50712/3307388.5187*100)</f>
        <v>49.244396233200241</v>
      </c>
      <c r="E15" s="47">
        <f>IF(1326325.27744="","-",1326325.27744/2889645.06346*100)</f>
        <v>45.899245350634388</v>
      </c>
    </row>
    <row r="16" spans="1:6" x14ac:dyDescent="0.25">
      <c r="A16" s="40" t="s">
        <v>138</v>
      </c>
      <c r="B16" s="31"/>
      <c r="C16" s="77"/>
      <c r="D16" s="31"/>
      <c r="E16" s="31"/>
    </row>
    <row r="17" spans="1:7" x14ac:dyDescent="0.25">
      <c r="A17" s="41" t="s">
        <v>113</v>
      </c>
      <c r="B17" s="49">
        <f>IF(13780.43173="","-",13780.43173)</f>
        <v>13780.43173</v>
      </c>
      <c r="C17" s="69">
        <v>28.56526796226736</v>
      </c>
      <c r="D17" s="49">
        <f>IF(48241.91304="","-",48241.91304/3307388.5187*100)</f>
        <v>1.4586104041675132</v>
      </c>
      <c r="E17" s="49">
        <f>IF(13780.43173="","-",13780.43173/2889645.06346*100)</f>
        <v>0.47689011720697638</v>
      </c>
    </row>
    <row r="18" spans="1:7" x14ac:dyDescent="0.25">
      <c r="A18" s="41" t="s">
        <v>114</v>
      </c>
      <c r="B18" s="49">
        <f>IF(14356.1619="","-",14356.1619)</f>
        <v>14356.161899999999</v>
      </c>
      <c r="C18" s="69">
        <v>65.341570193804316</v>
      </c>
      <c r="D18" s="49">
        <f>IF(21970.94722="","-",21970.94722/3307388.5187*100)</f>
        <v>0.66429895053986232</v>
      </c>
      <c r="E18" s="49">
        <f>IF(14356.1619="","-",14356.1619/2889645.06346*100)</f>
        <v>0.49681402333926217</v>
      </c>
    </row>
    <row r="19" spans="1:7" x14ac:dyDescent="0.25">
      <c r="A19" s="41" t="s">
        <v>115</v>
      </c>
      <c r="B19" s="49">
        <f>IF(1268129.71852="","-",1268129.71852)</f>
        <v>1268129.7185200001</v>
      </c>
      <c r="C19" s="69">
        <v>83.837151226622211</v>
      </c>
      <c r="D19" s="49">
        <f>IF(1512610.6982="","-",1512610.6982/3307388.5187*100)</f>
        <v>45.734291258728376</v>
      </c>
      <c r="E19" s="49">
        <f>IF(1268129.71852="","-",1268129.71852/2889645.06346*100)</f>
        <v>43.88531084857766</v>
      </c>
    </row>
    <row r="20" spans="1:7" x14ac:dyDescent="0.25">
      <c r="A20" s="41" t="s">
        <v>116</v>
      </c>
      <c r="B20" s="49">
        <f>IF(16169.59581="","-",16169.59581)</f>
        <v>16169.595810000001</v>
      </c>
      <c r="C20" s="69">
        <v>63.358881364804695</v>
      </c>
      <c r="D20" s="49">
        <f>IF(25520.64598="","-",25520.64598/3307388.5187*100)</f>
        <v>0.77162528187136392</v>
      </c>
      <c r="E20" s="49">
        <f>IF(16169.59581="","-",16169.59581/2889645.06346*100)</f>
        <v>0.55957030897901583</v>
      </c>
    </row>
    <row r="21" spans="1:7" x14ac:dyDescent="0.25">
      <c r="A21" s="41" t="s">
        <v>117</v>
      </c>
      <c r="B21" s="49">
        <f>IF(2285.95774="","-",2285.95774)</f>
        <v>2285.9577399999998</v>
      </c>
      <c r="C21" s="69">
        <v>88.461608668336041</v>
      </c>
      <c r="D21" s="49">
        <f>IF(2584.12409="","-",2584.12409/3307388.5187*100)</f>
        <v>7.8131857669256052E-2</v>
      </c>
      <c r="E21" s="49">
        <f>IF(2285.95774="","-",2285.95774/2889645.06346*100)</f>
        <v>7.9108599492244983E-2</v>
      </c>
    </row>
    <row r="22" spans="1:7" x14ac:dyDescent="0.25">
      <c r="A22" s="41" t="s">
        <v>119</v>
      </c>
      <c r="B22" s="49">
        <f>IF(11603.41174="","-",11603.41174)</f>
        <v>11603.41174</v>
      </c>
      <c r="C22" s="69">
        <v>65.278735070081794</v>
      </c>
      <c r="D22" s="49">
        <f>IF(17775.17859="","-",17775.17859/3307388.5187*100)</f>
        <v>0.53743848022386864</v>
      </c>
      <c r="E22" s="49">
        <f>IF(11603.41174="","-",11603.41174/2889645.06346*100)</f>
        <v>0.40155145303922962</v>
      </c>
    </row>
    <row r="23" spans="1:7" x14ac:dyDescent="0.25">
      <c r="A23" s="37" t="s">
        <v>171</v>
      </c>
      <c r="B23" s="47">
        <f>IF(733669.38471="","-",733669.38471)</f>
        <v>733669.38471000001</v>
      </c>
      <c r="C23" s="76">
        <v>90.697953139915384</v>
      </c>
      <c r="D23" s="47">
        <f>IF(808915.04087="","-",808915.04087/3307388.5187*100)</f>
        <v>24.457817286853004</v>
      </c>
      <c r="E23" s="47">
        <f>IF(733669.38471="","-",733669.38471/2889645.06346*100)</f>
        <v>25.389602134440686</v>
      </c>
    </row>
    <row r="24" spans="1:7" x14ac:dyDescent="0.25">
      <c r="A24" s="41" t="s">
        <v>138</v>
      </c>
      <c r="B24" s="31"/>
      <c r="C24" s="77"/>
      <c r="D24" s="31"/>
      <c r="E24" s="31"/>
    </row>
    <row r="25" spans="1:7" x14ac:dyDescent="0.25">
      <c r="A25" s="41" t="s">
        <v>113</v>
      </c>
      <c r="B25" s="49">
        <f>IF(23585.29466="","-",23585.29466)</f>
        <v>23585.29466</v>
      </c>
      <c r="C25" s="69" t="s">
        <v>105</v>
      </c>
      <c r="D25" s="49">
        <f>IF(15155.20844="","-",15155.20844/3307388.5187*100)</f>
        <v>0.45822280492032724</v>
      </c>
      <c r="E25" s="49">
        <f>IF(23585.29466="","-",23585.29466/2889645.06346*100)</f>
        <v>0.81620040323428045</v>
      </c>
    </row>
    <row r="26" spans="1:7" x14ac:dyDescent="0.25">
      <c r="A26" s="41" t="s">
        <v>114</v>
      </c>
      <c r="B26" s="49">
        <f>IF(143464.27916="","-",143464.27916)</f>
        <v>143464.27916000001</v>
      </c>
      <c r="C26" s="69">
        <v>106.99646483880305</v>
      </c>
      <c r="D26" s="49">
        <f>IF(134083.19553="","-",134083.19553/3307388.5187*100)</f>
        <v>4.0540503412856577</v>
      </c>
      <c r="E26" s="49">
        <f>IF(143464.27916="","-",143464.27916/2889645.06346*100)</f>
        <v>4.9647716591261526</v>
      </c>
      <c r="F26" s="1"/>
      <c r="G26" s="1"/>
    </row>
    <row r="27" spans="1:7" x14ac:dyDescent="0.25">
      <c r="A27" s="41" t="s">
        <v>115</v>
      </c>
      <c r="B27" s="49">
        <f>IF(442723.16113="","-",442723.16113)</f>
        <v>442723.16113000002</v>
      </c>
      <c r="C27" s="69">
        <v>94.296395978565428</v>
      </c>
      <c r="D27" s="49">
        <f>IF(469501.6777="","-",469501.6777/3307388.5187*100)</f>
        <v>14.195540531311455</v>
      </c>
      <c r="E27" s="49">
        <f>IF(442723.16113="","-",442723.16113/2889645.06346*100)</f>
        <v>15.321022181177252</v>
      </c>
      <c r="F27" s="1"/>
      <c r="G27" s="1"/>
    </row>
    <row r="28" spans="1:7" x14ac:dyDescent="0.25">
      <c r="A28" s="41" t="s">
        <v>116</v>
      </c>
      <c r="B28" s="49">
        <f>IF(7703.65332="","-",7703.65332)</f>
        <v>7703.6533200000003</v>
      </c>
      <c r="C28" s="69">
        <v>74.037560375667184</v>
      </c>
      <c r="D28" s="49">
        <f>IF(10405.061="","-",10405.061/3307388.5187*100)</f>
        <v>0.31460050553993602</v>
      </c>
      <c r="E28" s="49">
        <f>IF(7703.65332="","-",7703.65332/2889645.06346*100)</f>
        <v>0.26659514060788519</v>
      </c>
      <c r="F28" s="12"/>
      <c r="G28" s="12"/>
    </row>
    <row r="29" spans="1:7" x14ac:dyDescent="0.25">
      <c r="A29" s="41" t="s">
        <v>117</v>
      </c>
      <c r="B29" s="49">
        <f>IF(240.4306="","-",240.4306)</f>
        <v>240.4306</v>
      </c>
      <c r="C29" s="69">
        <v>82.657548907084148</v>
      </c>
      <c r="D29" s="49">
        <f>IF(290.87555="","-",290.87555/3307388.5187*100)</f>
        <v>8.7947197118024498E-3</v>
      </c>
      <c r="E29" s="49">
        <f>IF(240.4306="","-",240.4306/2889645.06346*100)</f>
        <v>8.3204197996591834E-3</v>
      </c>
    </row>
    <row r="30" spans="1:7" x14ac:dyDescent="0.25">
      <c r="A30" s="41" t="s">
        <v>118</v>
      </c>
      <c r="B30" s="49">
        <f>IF(115744.84092="","-",115744.84092)</f>
        <v>115744.84092</v>
      </c>
      <c r="C30" s="69">
        <v>65.41322580802607</v>
      </c>
      <c r="D30" s="49">
        <f>IF(176944.09577="","-",176944.09577/3307388.5187*100)</f>
        <v>5.3499640205423926</v>
      </c>
      <c r="E30" s="49">
        <f>IF(115744.84092="","-",115744.84092/2889645.06346*100)</f>
        <v>4.0055037341302251</v>
      </c>
    </row>
    <row r="31" spans="1:7" x14ac:dyDescent="0.25">
      <c r="A31" s="41" t="s">
        <v>119</v>
      </c>
      <c r="B31" s="49">
        <f>IF(207.72492="","-",207.72492)</f>
        <v>207.72492</v>
      </c>
      <c r="C31" s="69">
        <v>8.1945132871051491</v>
      </c>
      <c r="D31" s="49">
        <f>IF(2534.92688="","-",2534.92688/3307388.5187*100)</f>
        <v>7.664436354143167E-2</v>
      </c>
      <c r="E31" s="49">
        <f>IF(207.72492="","-",207.72492/2889645.06346*100)</f>
        <v>7.188596365232296E-3</v>
      </c>
    </row>
    <row r="32" spans="1:7" x14ac:dyDescent="0.25">
      <c r="A32" s="37" t="s">
        <v>173</v>
      </c>
      <c r="B32" s="47">
        <f>IF(829650.40131="","-",829650.40131)</f>
        <v>829650.40130999999</v>
      </c>
      <c r="C32" s="76">
        <v>95.387335646084665</v>
      </c>
      <c r="D32" s="47">
        <f>IF(869769.97071="","-",869769.97071/3307388.5187*100)</f>
        <v>26.297786479946762</v>
      </c>
      <c r="E32" s="47">
        <f>IF(829650.40131="","-",829650.40131/2889645.06346*100)</f>
        <v>28.711152514924937</v>
      </c>
    </row>
    <row r="33" spans="1:5" x14ac:dyDescent="0.25">
      <c r="A33" s="41" t="s">
        <v>138</v>
      </c>
      <c r="B33" s="31"/>
      <c r="C33" s="77"/>
      <c r="D33" s="33"/>
      <c r="E33" s="31"/>
    </row>
    <row r="34" spans="1:5" x14ac:dyDescent="0.25">
      <c r="A34" s="41" t="s">
        <v>113</v>
      </c>
      <c r="B34" s="49">
        <f>IF(7901.17693="","-",7901.17693)</f>
        <v>7901.1769299999996</v>
      </c>
      <c r="C34" s="69" t="s">
        <v>106</v>
      </c>
      <c r="D34" s="49">
        <f>IF(4193.92156="","-",4193.92156/3307388.5187*100)</f>
        <v>0.12680462353568489</v>
      </c>
      <c r="E34" s="49">
        <f>IF(7901.17693="","-",7901.17693/2889645.06346*100)</f>
        <v>0.27343070711041922</v>
      </c>
    </row>
    <row r="35" spans="1:5" x14ac:dyDescent="0.25">
      <c r="A35" s="41" t="s">
        <v>114</v>
      </c>
      <c r="B35" s="49">
        <f>IF(157.91952="","-",157.91952)</f>
        <v>157.91952000000001</v>
      </c>
      <c r="C35" s="69">
        <v>53.782325389029907</v>
      </c>
      <c r="D35" s="49">
        <f>IF(293.62717="","-",293.62717/3307388.5187*100)</f>
        <v>8.8779158644298889E-3</v>
      </c>
      <c r="E35" s="49">
        <f>IF(157.91952="","-",157.91952/2889645.06346*100)</f>
        <v>5.4650144405939778E-3</v>
      </c>
    </row>
    <row r="36" spans="1:5" x14ac:dyDescent="0.25">
      <c r="A36" s="41" t="s">
        <v>115</v>
      </c>
      <c r="B36" s="49">
        <f>IF(773074.7665="","-",773074.7665)</f>
        <v>773074.76650000003</v>
      </c>
      <c r="C36" s="69">
        <v>95.61563022565737</v>
      </c>
      <c r="D36" s="49">
        <f>IF(808523.42308="","-",808523.42308/3307388.5187*100)</f>
        <v>24.445976591761216</v>
      </c>
      <c r="E36" s="49">
        <f>IF(773074.7665="","-",773074.7665/2889645.06346*100)</f>
        <v>26.753277635224055</v>
      </c>
    </row>
    <row r="37" spans="1:5" x14ac:dyDescent="0.25">
      <c r="A37" s="41" t="s">
        <v>116</v>
      </c>
      <c r="B37" s="49">
        <f>IF(41317.87018="","-",41317.87018)</f>
        <v>41317.870179999998</v>
      </c>
      <c r="C37" s="69">
        <v>80.487359713615163</v>
      </c>
      <c r="D37" s="49">
        <f>IF(51334.60748="","-",51334.60748/3307388.5187*100)</f>
        <v>1.5521190567649894</v>
      </c>
      <c r="E37" s="49">
        <f>IF(41317.87018="","-",41317.87018/2889645.06346*100)</f>
        <v>1.4298596980809419</v>
      </c>
    </row>
    <row r="38" spans="1:5" x14ac:dyDescent="0.25">
      <c r="A38" s="41" t="s">
        <v>117</v>
      </c>
      <c r="B38" s="49">
        <f>IF(5761.48329="","-",5761.48329)</f>
        <v>5761.4832900000001</v>
      </c>
      <c r="C38" s="69" t="s">
        <v>104</v>
      </c>
      <c r="D38" s="49">
        <f>IF(3322.54028="","-",3322.54028/3307388.5187*100)</f>
        <v>0.10045811857948747</v>
      </c>
      <c r="E38" s="49">
        <f>IF(5761.48329="","-",5761.48329/2889645.06346*100)</f>
        <v>0.19938377079091238</v>
      </c>
    </row>
    <row r="39" spans="1:5" x14ac:dyDescent="0.25">
      <c r="A39" s="42" t="s">
        <v>119</v>
      </c>
      <c r="B39" s="54">
        <f>IF(1437.18489="","-",1437.18489)</f>
        <v>1437.18489</v>
      </c>
      <c r="C39" s="73">
        <v>68.377101624808688</v>
      </c>
      <c r="D39" s="54">
        <f>IF(2101.85114="","-",2101.85114/3307388.5187*100)</f>
        <v>6.3550173440952512E-2</v>
      </c>
      <c r="E39" s="54">
        <f>IF(1437.18489="","-",1437.18489/2889645.06346*100)</f>
        <v>4.9735689278016207E-2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9"/>
  <sheetViews>
    <sheetView zoomScaleNormal="100" workbookViewId="0">
      <selection activeCell="A35" sqref="A35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4" t="s">
        <v>162</v>
      </c>
      <c r="B1" s="94"/>
      <c r="C1" s="94"/>
      <c r="D1" s="94"/>
      <c r="E1" s="94"/>
      <c r="F1" s="94"/>
      <c r="G1" s="94"/>
    </row>
    <row r="2" spans="1:9" x14ac:dyDescent="0.25">
      <c r="A2" s="94" t="s">
        <v>23</v>
      </c>
      <c r="B2" s="94"/>
      <c r="C2" s="94"/>
      <c r="D2" s="94"/>
      <c r="E2" s="94"/>
      <c r="F2" s="94"/>
      <c r="G2" s="94"/>
    </row>
    <row r="3" spans="1:9" x14ac:dyDescent="0.25">
      <c r="A3" s="6"/>
    </row>
    <row r="4" spans="1:9" ht="57" customHeight="1" x14ac:dyDescent="0.25">
      <c r="A4" s="102"/>
      <c r="B4" s="105" t="s">
        <v>271</v>
      </c>
      <c r="C4" s="100"/>
      <c r="D4" s="105" t="s">
        <v>0</v>
      </c>
      <c r="E4" s="100"/>
      <c r="F4" s="97" t="s">
        <v>107</v>
      </c>
      <c r="G4" s="106"/>
    </row>
    <row r="5" spans="1:9" ht="19.5" customHeight="1" x14ac:dyDescent="0.25">
      <c r="A5" s="103"/>
      <c r="B5" s="107" t="s">
        <v>111</v>
      </c>
      <c r="C5" s="95" t="s">
        <v>272</v>
      </c>
      <c r="D5" s="109" t="s">
        <v>273</v>
      </c>
      <c r="E5" s="109"/>
      <c r="F5" s="109" t="s">
        <v>273</v>
      </c>
      <c r="G5" s="105"/>
    </row>
    <row r="6" spans="1:9" ht="26.25" customHeight="1" x14ac:dyDescent="0.25">
      <c r="A6" s="104"/>
      <c r="B6" s="108"/>
      <c r="C6" s="96"/>
      <c r="D6" s="24">
        <v>2019</v>
      </c>
      <c r="E6" s="24">
        <v>2020</v>
      </c>
      <c r="F6" s="24" t="s">
        <v>122</v>
      </c>
      <c r="G6" s="20" t="s">
        <v>141</v>
      </c>
    </row>
    <row r="7" spans="1:9" ht="16.5" customHeight="1" x14ac:dyDescent="0.25">
      <c r="A7" s="50" t="s">
        <v>101</v>
      </c>
      <c r="B7" s="46">
        <f>IF(1379394.59717="","-",1379394.59717)</f>
        <v>1379394.59717</v>
      </c>
      <c r="C7" s="46">
        <f>IF(1581380.128="","-",1379394.59717/1581380.128*100)</f>
        <v>87.227262613609867</v>
      </c>
      <c r="D7" s="46">
        <v>100</v>
      </c>
      <c r="E7" s="46">
        <v>100</v>
      </c>
      <c r="F7" s="46">
        <f>IF(1533630.30697="","-",(1581380.128-1533630.30697)/1533630.30697*100)</f>
        <v>3.1135157418960713</v>
      </c>
      <c r="G7" s="46">
        <f>IF(1581380.128="","-",(1379394.59717-1581380.128)/1581380.128*100)</f>
        <v>-12.772737386390128</v>
      </c>
    </row>
    <row r="8" spans="1:9" ht="13.5" customHeight="1" x14ac:dyDescent="0.25">
      <c r="A8" s="36" t="s">
        <v>138</v>
      </c>
      <c r="B8" s="38"/>
      <c r="C8" s="38"/>
      <c r="D8" s="38"/>
      <c r="E8" s="38"/>
      <c r="F8" s="38"/>
      <c r="G8" s="38"/>
    </row>
    <row r="9" spans="1:9" ht="13.5" customHeight="1" x14ac:dyDescent="0.25">
      <c r="A9" s="55" t="s">
        <v>190</v>
      </c>
      <c r="B9" s="47">
        <f>IF(350665.20707="","-",350665.20707)</f>
        <v>350665.20707</v>
      </c>
      <c r="C9" s="47">
        <f>IF(342973.06495="","-",350665.20707/342973.06495*100)</f>
        <v>102.24278315299232</v>
      </c>
      <c r="D9" s="47">
        <f>IF(342973.06495="","-",342973.06495/1581380.128*100)</f>
        <v>21.688211384302917</v>
      </c>
      <c r="E9" s="47">
        <f>IF(350665.20707="","-",350665.20707/1379394.59717*100)</f>
        <v>25.42167468173599</v>
      </c>
      <c r="F9" s="47">
        <f>IF(1533630.30697="","-",(342973.06495-329610.2878)/1533630.30697*100)</f>
        <v>0.87131671102672281</v>
      </c>
      <c r="G9" s="47">
        <f>IF(1581380.128="","-",(350665.20707-342973.06495)/1581380.128*100)</f>
        <v>0.48641955111250618</v>
      </c>
      <c r="I9" s="17"/>
    </row>
    <row r="10" spans="1:9" s="9" customFormat="1" ht="13.5" customHeight="1" x14ac:dyDescent="0.25">
      <c r="A10" s="48" t="s">
        <v>24</v>
      </c>
      <c r="B10" s="49">
        <f>IF(7626.76778="","-",7626.76778)</f>
        <v>7626.7677800000001</v>
      </c>
      <c r="C10" s="49">
        <f>IF(OR(6740.30453="",7626.76778=""),"-",7626.76778/6740.30453*100)</f>
        <v>113.15167951321037</v>
      </c>
      <c r="D10" s="49">
        <f>IF(6740.30453="","-",6740.30453/1581380.128*100)</f>
        <v>0.42622924182843913</v>
      </c>
      <c r="E10" s="49">
        <f>IF(7626.76778="","-",7626.76778/1379394.59717*100)</f>
        <v>0.55290689086699807</v>
      </c>
      <c r="F10" s="49">
        <f>IF(OR(1533630.30697="",8662.40913="",6740.30453=""),"-",(6740.30453-8662.40913)/1533630.30697*100)</f>
        <v>-0.12533037403241659</v>
      </c>
      <c r="G10" s="49">
        <f>IF(OR(1581380.128="",7626.76778="",6740.30453=""),"-",(7626.76778-6740.30453)/1581380.128*100)</f>
        <v>5.6056303876862668E-2</v>
      </c>
      <c r="I10" s="17"/>
    </row>
    <row r="11" spans="1:9" s="9" customFormat="1" ht="14.25" customHeight="1" x14ac:dyDescent="0.25">
      <c r="A11" s="48" t="s">
        <v>191</v>
      </c>
      <c r="B11" s="49">
        <f>IF(2084.75787="","-",2084.75787)</f>
        <v>2084.7578699999999</v>
      </c>
      <c r="C11" s="49">
        <f>IF(OR(3512.08292="",2084.75787=""),"-",2084.75787/3512.08292*100)</f>
        <v>59.35958567857503</v>
      </c>
      <c r="D11" s="49">
        <f>IF(3512.08292="","-",3512.08292/1581380.128*100)</f>
        <v>0.22208973401239046</v>
      </c>
      <c r="E11" s="49">
        <f>IF(2084.75787="","-",2084.75787/1379394.59717*100)</f>
        <v>0.15113571376001766</v>
      </c>
      <c r="F11" s="49">
        <f>IF(OR(1533630.30697="",3853.22416="",3512.08292=""),"-",(3512.08292-3853.22416)/1533630.30697*100)</f>
        <v>-2.2244033548997514E-2</v>
      </c>
      <c r="G11" s="49">
        <f>IF(OR(1581380.128="",2084.75787="",3512.08292=""),"-",(2084.75787-3512.08292)/1581380.128*100)</f>
        <v>-9.0258188067986134E-2</v>
      </c>
      <c r="I11" s="17"/>
    </row>
    <row r="12" spans="1:9" s="9" customFormat="1" x14ac:dyDescent="0.25">
      <c r="A12" s="48" t="s">
        <v>192</v>
      </c>
      <c r="B12" s="49">
        <f>IF(6013.07989="","-",6013.07989)</f>
        <v>6013.07989</v>
      </c>
      <c r="C12" s="49">
        <f>IF(OR(9966.95342="",6013.07989=""),"-",6013.07989/9966.95342*100)</f>
        <v>60.330169477204201</v>
      </c>
      <c r="D12" s="49">
        <f>IF(9966.95342="","-",9966.95342/1581380.128*100)</f>
        <v>0.63026929727549985</v>
      </c>
      <c r="E12" s="49">
        <f>IF(6013.07989="","-",6013.07989/1379394.59717*100)</f>
        <v>0.43592166464451754</v>
      </c>
      <c r="F12" s="49">
        <f>IF(OR(1533630.30697="",12775.81329="",9966.95342=""),"-",(9966.95342-12775.81329)/1533630.30697*100)</f>
        <v>-0.18315104084956932</v>
      </c>
      <c r="G12" s="49">
        <f>IF(OR(1581380.128="",6013.07989="",9966.95342=""),"-",(6013.07989-9966.95342)/1581380.128*100)</f>
        <v>-0.25002676206640684</v>
      </c>
      <c r="I12" s="17"/>
    </row>
    <row r="13" spans="1:9" s="9" customFormat="1" x14ac:dyDescent="0.25">
      <c r="A13" s="48" t="s">
        <v>193</v>
      </c>
      <c r="B13" s="49">
        <f>IF(2.95359="","-",2.95359)</f>
        <v>2.9535900000000002</v>
      </c>
      <c r="C13" s="49">
        <f>IF(OR(19.48475="",2.95359=""),"-",2.95359/19.48475*100)</f>
        <v>15.158470085579751</v>
      </c>
      <c r="D13" s="49">
        <f>IF(19.48475="","-",19.48475/1581380.128*100)</f>
        <v>1.2321357562929992E-3</v>
      </c>
      <c r="E13" s="49">
        <f>IF(2.95359="","-",2.95359/1379394.59717*100)</f>
        <v>2.1412219578499571E-4</v>
      </c>
      <c r="F13" s="49">
        <f>IF(OR(1533630.30697="",10.53017="",19.48475=""),"-",(19.48475-10.53017)/1533630.30697*100)</f>
        <v>5.8388126260308464E-4</v>
      </c>
      <c r="G13" s="49">
        <f>IF(OR(1581380.128="",2.95359="",19.48475=""),"-",(2.95359-19.48475)/1581380.128*100)</f>
        <v>-1.0453628262615932E-3</v>
      </c>
      <c r="I13" s="17"/>
    </row>
    <row r="14" spans="1:9" s="9" customFormat="1" ht="15" customHeight="1" x14ac:dyDescent="0.25">
      <c r="A14" s="48" t="s">
        <v>194</v>
      </c>
      <c r="B14" s="49">
        <f>IF(120022.42685="","-",120022.42685)</f>
        <v>120022.42685</v>
      </c>
      <c r="C14" s="49">
        <f>IF(OR(143626.11159="",120022.42685=""),"-",120022.42685/143626.11159*100)</f>
        <v>83.565881942567756</v>
      </c>
      <c r="D14" s="49">
        <f>IF(143626.11159="","-",143626.11159/1581380.128*100)</f>
        <v>9.0823268262290942</v>
      </c>
      <c r="E14" s="49">
        <f>IF(120022.42685="","-",120022.42685/1379394.59717*100)</f>
        <v>8.7010944581224958</v>
      </c>
      <c r="F14" s="49">
        <f>IF(OR(1533630.30697="",118171.93463="",143626.11159=""),"-",(143626.11159-118171.93463)/1533630.30697*100)</f>
        <v>1.6597335644918172</v>
      </c>
      <c r="G14" s="49">
        <f>IF(OR(1581380.128="",120022.42685="",143626.11159=""),"-",(120022.42685-143626.11159)/1581380.128*100)</f>
        <v>-1.4926003129843288</v>
      </c>
      <c r="I14" s="17"/>
    </row>
    <row r="15" spans="1:9" s="9" customFormat="1" ht="15.75" customHeight="1" x14ac:dyDescent="0.25">
      <c r="A15" s="48" t="s">
        <v>195</v>
      </c>
      <c r="B15" s="49">
        <f>IF(180570.9334="","-",180570.9334)</f>
        <v>180570.93340000001</v>
      </c>
      <c r="C15" s="49">
        <f>IF(OR(152193.17846="",180570.9334=""),"-",180570.9334/152193.17846*100)</f>
        <v>118.64587836797058</v>
      </c>
      <c r="D15" s="49">
        <f>IF(152193.17846="","-",152193.17846/1581380.128*100)</f>
        <v>9.624073033754474</v>
      </c>
      <c r="E15" s="49">
        <f>IF(180570.9334="","-",180570.9334/1379394.59717*100)</f>
        <v>13.090593059481586</v>
      </c>
      <c r="F15" s="49">
        <f>IF(OR(1533630.30697="",151947.6866="",152193.17846=""),"-",(152193.17846-151947.6866)/1533630.30697*100)</f>
        <v>1.6007238438384051E-2</v>
      </c>
      <c r="G15" s="49">
        <f>IF(OR(1581380.128="",180570.9334="",152193.17846=""),"-",(180570.9334-152193.17846)/1581380.128*100)</f>
        <v>1.7944929519185164</v>
      </c>
      <c r="I15" s="17"/>
    </row>
    <row r="16" spans="1:9" s="9" customFormat="1" ht="15" customHeight="1" x14ac:dyDescent="0.25">
      <c r="A16" s="48" t="s">
        <v>196</v>
      </c>
      <c r="B16" s="49">
        <f>IF(11237.20836="","-",11237.20836)</f>
        <v>11237.208360000001</v>
      </c>
      <c r="C16" s="49">
        <f>IF(OR(7923.70619="",11237.20836=""),"-",11237.20836/7923.70619*100)</f>
        <v>141.81757993729954</v>
      </c>
      <c r="D16" s="49">
        <f>IF(7923.70619="","-",7923.70619/1581380.128*100)</f>
        <v>0.50106271412561976</v>
      </c>
      <c r="E16" s="49">
        <f>IF(11237.20836="","-",11237.20836/1379394.59717*100)</f>
        <v>0.81464784500784138</v>
      </c>
      <c r="F16" s="49">
        <f>IF(OR(1533630.30697="",14997.50085="",7923.70619=""),"-",(7923.70619-14997.50085)/1533630.30697*100)</f>
        <v>-0.46124510110756267</v>
      </c>
      <c r="G16" s="49">
        <f>IF(OR(1581380.128="",11237.20836="",7923.70619=""),"-",(11237.20836-7923.70619)/1581380.128*100)</f>
        <v>0.20953230101548367</v>
      </c>
      <c r="I16" s="17"/>
    </row>
    <row r="17" spans="1:9" s="9" customFormat="1" ht="25.5" x14ac:dyDescent="0.25">
      <c r="A17" s="48" t="s">
        <v>197</v>
      </c>
      <c r="B17" s="49">
        <f>IF(4235.95436="","-",4235.95436)</f>
        <v>4235.9543599999997</v>
      </c>
      <c r="C17" s="49">
        <f>IF(OR(5398.24957="",4235.95436=""),"-",4235.95436/5398.24957*100)</f>
        <v>78.469035287673819</v>
      </c>
      <c r="D17" s="49">
        <f>IF(5398.24957="","-",5398.24957/1581380.128*100)</f>
        <v>0.34136318487998607</v>
      </c>
      <c r="E17" s="49">
        <f>IF(4235.95436="","-",4235.95436/1379394.59717*100)</f>
        <v>0.30708793326366424</v>
      </c>
      <c r="F17" s="49">
        <f>IF(OR(1533630.30697="",5935.28559="",5398.24957=""),"-",(5398.24957-5935.28559)/1533630.30697*100)</f>
        <v>-3.501730616298427E-2</v>
      </c>
      <c r="G17" s="49">
        <f>IF(OR(1581380.128="",4235.95436="",5398.24957=""),"-",(4235.95436-5398.24957)/1581380.128*100)</f>
        <v>-7.3498786877382594E-2</v>
      </c>
      <c r="I17" s="17"/>
    </row>
    <row r="18" spans="1:9" s="9" customFormat="1" ht="25.5" x14ac:dyDescent="0.25">
      <c r="A18" s="48" t="s">
        <v>198</v>
      </c>
      <c r="B18" s="49">
        <f>IF(16989.03091="","-",16989.03091)</f>
        <v>16989.030910000001</v>
      </c>
      <c r="C18" s="49">
        <f>IF(OR(11863.79031="",16989.03091=""),"-",16989.03091/11863.79031*100)</f>
        <v>143.20070117624996</v>
      </c>
      <c r="D18" s="49">
        <f>IF(11863.79031="","-",11863.79031/1581380.128*100)</f>
        <v>0.7502174904021558</v>
      </c>
      <c r="E18" s="49">
        <f>IF(16989.03091="","-",16989.03091/1379394.59717*100)</f>
        <v>1.2316295094134133</v>
      </c>
      <c r="F18" s="49">
        <f>IF(OR(1533630.30697="",11804.52274="",11863.79031=""),"-",(11863.79031-11804.52274)/1533630.30697*100)</f>
        <v>3.8645278285544035E-3</v>
      </c>
      <c r="G18" s="49">
        <f>IF(OR(1581380.128="",16989.03091="",11863.79031=""),"-",(16989.03091-11863.79031)/1581380.128*100)</f>
        <v>0.32409921620059723</v>
      </c>
      <c r="I18" s="17"/>
    </row>
    <row r="19" spans="1:9" s="9" customFormat="1" x14ac:dyDescent="0.25">
      <c r="A19" s="48" t="s">
        <v>199</v>
      </c>
      <c r="B19" s="49">
        <f>IF(1882.09406="","-",1882.09406)</f>
        <v>1882.0940599999999</v>
      </c>
      <c r="C19" s="49">
        <f>IF(OR(1729.20321="",1882.09406=""),"-",1882.09406/1729.20321*100)</f>
        <v>108.84169362604872</v>
      </c>
      <c r="D19" s="49">
        <f>IF(1729.20321="","-",1729.20321/1581380.128*100)</f>
        <v>0.10934772603896031</v>
      </c>
      <c r="E19" s="49">
        <f>IF(1882.09406="","-",1882.09406/1379394.59717*100)</f>
        <v>0.13644348497966793</v>
      </c>
      <c r="F19" s="49">
        <f>IF(OR(1533630.30697="",1451.38064="",1729.20321=""),"-",(1729.20321-1451.38064)/1533630.30697*100)</f>
        <v>1.8115354706891195E-2</v>
      </c>
      <c r="G19" s="49">
        <f>IF(OR(1581380.128="",1882.09406="",1729.20321=""),"-",(1882.09406-1729.20321)/1581380.128*100)</f>
        <v>9.6681909234159792E-3</v>
      </c>
    </row>
    <row r="20" spans="1:9" s="9" customFormat="1" x14ac:dyDescent="0.25">
      <c r="A20" s="55" t="s">
        <v>200</v>
      </c>
      <c r="B20" s="47">
        <f>IF(99642.21947="","-",99642.21947)</f>
        <v>99642.219469999996</v>
      </c>
      <c r="C20" s="47">
        <f>IF(122617.1839="","-",99642.21947/122617.1839*100)</f>
        <v>81.262851013821063</v>
      </c>
      <c r="D20" s="47">
        <f>IF(122617.1839="","-",122617.1839/1581380.128*100)</f>
        <v>7.7538083177430703</v>
      </c>
      <c r="E20" s="47">
        <f>IF(99642.21947="","-",99642.21947/1379394.59717*100)</f>
        <v>7.2236196715884233</v>
      </c>
      <c r="F20" s="47">
        <f>IF(1533630.30697="","-",(122617.1839-125041.28)/1533630.30697*100)</f>
        <v>-0.15806261059024665</v>
      </c>
      <c r="G20" s="47">
        <f>IF(1581380.128="","-",(99642.21947-122617.1839)/1581380.128*100)</f>
        <v>-1.4528426165982533</v>
      </c>
    </row>
    <row r="21" spans="1:9" s="9" customFormat="1" x14ac:dyDescent="0.25">
      <c r="A21" s="48" t="s">
        <v>201</v>
      </c>
      <c r="B21" s="49">
        <f>IF(94502.69186="","-",94502.69186)</f>
        <v>94502.691860000006</v>
      </c>
      <c r="C21" s="49">
        <f>IF(OR(106919.22689="",94502.69186=""),"-",94502.69186/106919.22689*100)</f>
        <v>88.386995125980192</v>
      </c>
      <c r="D21" s="49">
        <f>IF(106919.22689="","-",106919.22689/1581380.128*100)</f>
        <v>6.7611338347360341</v>
      </c>
      <c r="E21" s="49">
        <f>IF(94502.69186="","-",94502.69186/1379394.59717*100)</f>
        <v>6.8510266789419116</v>
      </c>
      <c r="F21" s="49">
        <f>IF(OR(1533630.30697="",111901.93454="",106919.22689=""),"-",(106919.22689-111901.93454)/1533630.30697*100)</f>
        <v>-0.32489626915657094</v>
      </c>
      <c r="G21" s="49">
        <f>IF(OR(1581380.128="",94502.69186="",106919.22689=""),"-",(94502.69186-106919.22689)/1581380.128*100)</f>
        <v>-0.78517080176689813</v>
      </c>
    </row>
    <row r="22" spans="1:9" s="9" customFormat="1" x14ac:dyDescent="0.25">
      <c r="A22" s="48" t="s">
        <v>202</v>
      </c>
      <c r="B22" s="49">
        <f>IF(5139.52761="","-",5139.52761)</f>
        <v>5139.5276100000001</v>
      </c>
      <c r="C22" s="49">
        <f>IF(OR(15697.95701="",5139.52761=""),"-",5139.52761/15697.95701*100)</f>
        <v>32.740105013193684</v>
      </c>
      <c r="D22" s="49">
        <f>IF(15697.95701="","-",15697.95701/1581380.128*100)</f>
        <v>0.99267448300703576</v>
      </c>
      <c r="E22" s="49">
        <f>IF(5139.52761="","-",5139.52761/1379394.59717*100)</f>
        <v>0.37259299264651186</v>
      </c>
      <c r="F22" s="49">
        <f>IF(OR(1533630.30697="",13139.34546="",15697.95701=""),"-",(15697.95701-13139.34546)/1533630.30697*100)</f>
        <v>0.16683365856632421</v>
      </c>
      <c r="G22" s="49">
        <f>IF(OR(1581380.128="",5139.52761="",15697.95701=""),"-",(5139.52761-15697.95701)/1581380.128*100)</f>
        <v>-0.66767181483135474</v>
      </c>
    </row>
    <row r="23" spans="1:9" s="9" customFormat="1" ht="25.5" x14ac:dyDescent="0.25">
      <c r="A23" s="55" t="s">
        <v>25</v>
      </c>
      <c r="B23" s="47">
        <f>IF(120920.851="","-",120920.851)</f>
        <v>120920.851</v>
      </c>
      <c r="C23" s="47">
        <f>IF(165068.42601="","-",120920.851/165068.42601*100)</f>
        <v>73.254985173648237</v>
      </c>
      <c r="D23" s="47">
        <f>IF(165068.42601="","-",165068.42601/1581380.128*100)</f>
        <v>10.438250935830654</v>
      </c>
      <c r="E23" s="47">
        <f>IF(120920.851="","-",120920.851/1379394.59717*100)</f>
        <v>8.7662262305568106</v>
      </c>
      <c r="F23" s="47">
        <f>IF(1533630.30697="","-",(165068.42601-155831.53693)/1533630.30697*100)</f>
        <v>0.60228915912918768</v>
      </c>
      <c r="G23" s="47">
        <f>IF(1581380.128="","-",(120920.851-165068.42601)/1581380.128*100)</f>
        <v>-2.7917117603997106</v>
      </c>
      <c r="H23" s="7"/>
    </row>
    <row r="24" spans="1:9" s="9" customFormat="1" x14ac:dyDescent="0.25">
      <c r="A24" s="48" t="s">
        <v>203</v>
      </c>
      <c r="B24" s="49">
        <f>IF(795.9297="","-",795.9297)</f>
        <v>795.92970000000003</v>
      </c>
      <c r="C24" s="49">
        <f>IF(OR(1010.06232="",795.9297=""),"-",795.9297/1010.06232*100)</f>
        <v>78.800058594404348</v>
      </c>
      <c r="D24" s="49">
        <f>IF(1010.06232="","-",1010.06232/1581380.128*100)</f>
        <v>6.3872202648546247E-2</v>
      </c>
      <c r="E24" s="49">
        <f>IF(795.9297="","-",795.9297/1379394.59717*100)</f>
        <v>5.7701378679672156E-2</v>
      </c>
      <c r="F24" s="49">
        <f>IF(OR(1533630.30697="",2018.90544="",1010.06232=""),"-",(1010.06232-2018.90544)/1533630.30697*100)</f>
        <v>-6.5781376086207877E-2</v>
      </c>
      <c r="G24" s="49">
        <f>IF(OR(1581380.128="",795.9297="",1010.06232=""),"-",(795.9297-1010.06232)/1581380.128*100)</f>
        <v>-1.3540869535955114E-2</v>
      </c>
      <c r="H24" s="8"/>
    </row>
    <row r="25" spans="1:9" s="9" customFormat="1" x14ac:dyDescent="0.25">
      <c r="A25" s="48" t="s">
        <v>204</v>
      </c>
      <c r="B25" s="49">
        <f>IF(100590.02753="","-",100590.02753)</f>
        <v>100590.02753000001</v>
      </c>
      <c r="C25" s="49">
        <f>IF(OR(143924.12076="",100590.02753=""),"-",100590.02753/143924.12076*100)</f>
        <v>69.891014097448235</v>
      </c>
      <c r="D25" s="49">
        <f>IF(143924.12076="","-",143924.12076/1581380.128*100)</f>
        <v>9.101171705124651</v>
      </c>
      <c r="E25" s="49">
        <f>IF(100590.02753="","-",100590.02753/1379394.59717*100)</f>
        <v>7.292331558813772</v>
      </c>
      <c r="F25" s="49">
        <f>IF(OR(1533630.30697="",131815.32488="",143924.12076=""),"-",(143924.12076-131815.32488)/1533630.30697*100)</f>
        <v>0.78955116007868886</v>
      </c>
      <c r="G25" s="49">
        <f>IF(OR(1581380.128="",100590.02753="",143924.12076=""),"-",(100590.02753-143924.12076)/1581380.128*100)</f>
        <v>-2.7402705056630117</v>
      </c>
      <c r="H25" s="8"/>
    </row>
    <row r="26" spans="1:9" s="9" customFormat="1" ht="25.5" x14ac:dyDescent="0.25">
      <c r="A26" s="48" t="s">
        <v>205</v>
      </c>
      <c r="B26" s="49">
        <f>IF(0.14712="","-",0.14712)</f>
        <v>0.14712</v>
      </c>
      <c r="C26" s="49">
        <f>IF(OR(0.52541="",0.14712=""),"-",0.14712/0.52541*100)</f>
        <v>28.000989703279345</v>
      </c>
      <c r="D26" s="49">
        <f>IF(0.52541="","-",0.52541/1581380.128*100)</f>
        <v>3.3224775668864357E-5</v>
      </c>
      <c r="E26" s="49">
        <f>IF(0.14712="","-",0.14712/1379394.59717*100)</f>
        <v>1.0665548516851889E-5</v>
      </c>
      <c r="F26" s="49">
        <f>IF(OR(1533630.30697="",0.93688="",0.52541=""),"-",(0.52541-0.93688)/1533630.30697*100)</f>
        <v>-2.6829803644982931E-5</v>
      </c>
      <c r="G26" s="49">
        <f>IF(OR(1581380.128="",0.14712="",0.52541=""),"-",(0.14712-0.52541)/1581380.128*100)</f>
        <v>-2.3921509654887988E-5</v>
      </c>
      <c r="H26" s="8"/>
    </row>
    <row r="27" spans="1:9" s="9" customFormat="1" ht="14.25" customHeight="1" x14ac:dyDescent="0.25">
      <c r="A27" s="48" t="s">
        <v>206</v>
      </c>
      <c r="B27" s="49">
        <f>IF(950.80928="","-",950.80928)</f>
        <v>950.80927999999994</v>
      </c>
      <c r="C27" s="49" t="s">
        <v>106</v>
      </c>
      <c r="D27" s="49">
        <f>IF(490.14121="","-",490.14121/1581380.128*100)</f>
        <v>3.0994521893979436E-2</v>
      </c>
      <c r="E27" s="49">
        <f>IF(950.80928="","-",950.80928/1379394.59717*100)</f>
        <v>6.8929462385216217E-2</v>
      </c>
      <c r="F27" s="49">
        <f>IF(OR(1533630.30697="",468.87259="",490.14121=""),"-",(490.14121-468.87259)/1533630.30697*100)</f>
        <v>1.3868153167904266E-3</v>
      </c>
      <c r="G27" s="49">
        <f>IF(OR(1581380.128="",950.80928="",490.14121=""),"-",(950.80928-490.14121)/1581380.128*100)</f>
        <v>2.9130761278922553E-2</v>
      </c>
      <c r="H27" s="8"/>
    </row>
    <row r="28" spans="1:9" s="9" customFormat="1" x14ac:dyDescent="0.25">
      <c r="A28" s="48" t="s">
        <v>207</v>
      </c>
      <c r="B28" s="49">
        <f>IF(1055.0354="","-",1055.0354)</f>
        <v>1055.0354</v>
      </c>
      <c r="C28" s="49">
        <f>IF(OR(1538.12397="",1055.0354=""),"-",1055.0354/1538.12397*100)</f>
        <v>68.592351499469828</v>
      </c>
      <c r="D28" s="49">
        <f>IF(1538.12397="","-",1538.12397/1581380.128*100)</f>
        <v>9.7264657798962817E-2</v>
      </c>
      <c r="E28" s="49">
        <f>IF(1055.0354="","-",1055.0354/1379394.59717*100)</f>
        <v>7.6485394546603025E-2</v>
      </c>
      <c r="F28" s="49">
        <f>IF(OR(1533630.30697="",1888.82295="",1538.12397=""),"-",(1538.12397-1888.82295)/1533630.30697*100)</f>
        <v>-2.2867243716178078E-2</v>
      </c>
      <c r="G28" s="49">
        <f>IF(OR(1581380.128="",1055.0354="",1538.12397=""),"-",(1055.0354-1538.12397)/1581380.128*100)</f>
        <v>-3.054854183674174E-2</v>
      </c>
      <c r="H28" s="8"/>
    </row>
    <row r="29" spans="1:9" s="9" customFormat="1" ht="38.25" x14ac:dyDescent="0.25">
      <c r="A29" s="48" t="s">
        <v>208</v>
      </c>
      <c r="B29" s="49">
        <f>IF(79.42829="","-",79.42829)</f>
        <v>79.428290000000004</v>
      </c>
      <c r="C29" s="49">
        <f>IF(OR(219.24078="",79.42829=""),"-",79.42829/219.24078*100)</f>
        <v>36.22879374904614</v>
      </c>
      <c r="D29" s="49">
        <f>IF(219.24078="","-",219.24078/1581380.128*100)</f>
        <v>1.3863888644995038E-2</v>
      </c>
      <c r="E29" s="49">
        <f>IF(79.42829="","-",79.42829/1379394.59717*100)</f>
        <v>5.7581992972103157E-3</v>
      </c>
      <c r="F29" s="49">
        <f>IF(OR(1533630.30697="",244.99582="",219.24078=""),"-",(219.24078-244.99582)/1533630.30697*100)</f>
        <v>-1.6793512675740184E-3</v>
      </c>
      <c r="G29" s="49">
        <f>IF(OR(1581380.128="",79.42829="",219.24078=""),"-",(79.42829-219.24078)/1581380.128*100)</f>
        <v>-8.8411690222023592E-3</v>
      </c>
      <c r="H29" s="8"/>
    </row>
    <row r="30" spans="1:9" s="9" customFormat="1" ht="38.25" x14ac:dyDescent="0.25">
      <c r="A30" s="48" t="s">
        <v>209</v>
      </c>
      <c r="B30" s="49">
        <f>IF(4920.45396="","-",4920.45396)</f>
        <v>4920.4539599999998</v>
      </c>
      <c r="C30" s="49">
        <f>IF(OR(5710.44612="",4920.45396=""),"-",4920.45396/5710.44612*100)</f>
        <v>86.165841627799139</v>
      </c>
      <c r="D30" s="49">
        <f>IF(5710.44612="","-",5710.44612/1581380.128*100)</f>
        <v>0.3611052155576347</v>
      </c>
      <c r="E30" s="49">
        <f>IF(4920.45396="","-",4920.45396/1379394.59717*100)</f>
        <v>0.35671112313292547</v>
      </c>
      <c r="F30" s="49">
        <f>IF(OR(1533630.30697="",6847.68973="",5710.44612=""),"-",(5710.44612-6847.68973)/1533630.30697*100)</f>
        <v>-7.4153699547504212E-2</v>
      </c>
      <c r="G30" s="49">
        <f>IF(OR(1581380.128="",4920.45396="",5710.44612=""),"-",(4920.45396-5710.44612)/1581380.128*100)</f>
        <v>-4.9955867410520521E-2</v>
      </c>
      <c r="H30" s="8"/>
    </row>
    <row r="31" spans="1:9" s="9" customFormat="1" ht="15.75" customHeight="1" x14ac:dyDescent="0.25">
      <c r="A31" s="48" t="s">
        <v>210</v>
      </c>
      <c r="B31" s="49">
        <f>IF(9814.84916="","-",9814.84916)</f>
        <v>9814.8491599999998</v>
      </c>
      <c r="C31" s="49">
        <f>IF(OR(9834.49189="",9814.84916=""),"-",9814.84916/9834.49189*100)</f>
        <v>99.800266956140632</v>
      </c>
      <c r="D31" s="49">
        <f>IF(9834.49189="","-",9834.49189/1581380.128*100)</f>
        <v>0.62189297284504641</v>
      </c>
      <c r="E31" s="49">
        <f>IF(9814.84916="","-",9814.84916/1379394.59717*100)</f>
        <v>0.7115331015603793</v>
      </c>
      <c r="F31" s="49">
        <f>IF(OR(1533630.30697="",10395.85107="",9834.49189=""),"-",(9834.49189-10395.85107)/1533630.30697*100)</f>
        <v>-3.6603292035163354E-2</v>
      </c>
      <c r="G31" s="49">
        <f>IF(OR(1581380.128="",9814.84916="",9834.49189=""),"-",(9814.84916-9834.49189)/1581380.128*100)</f>
        <v>-1.2421257642109167E-3</v>
      </c>
    </row>
    <row r="32" spans="1:9" s="9" customFormat="1" ht="25.5" x14ac:dyDescent="0.25">
      <c r="A32" s="48" t="s">
        <v>211</v>
      </c>
      <c r="B32" s="49">
        <f>IF(2714.17056="","-",2714.17056)</f>
        <v>2714.17056</v>
      </c>
      <c r="C32" s="49">
        <f>IF(OR(2341.27355="",2714.17056=""),"-",2714.17056/2341.27355*100)</f>
        <v>115.92710129920532</v>
      </c>
      <c r="D32" s="49">
        <f>IF(2341.27355="","-",2341.27355/1581380.128*100)</f>
        <v>0.14805254654116912</v>
      </c>
      <c r="E32" s="49">
        <f>IF(2714.17056="","-",2714.17056/1379394.59717*100)</f>
        <v>0.19676534659251671</v>
      </c>
      <c r="F32" s="49">
        <f>IF(OR(1533630.30697="",2150.13757="",2341.27355=""),"-",(2341.27355-2150.13757)/1533630.30697*100)</f>
        <v>1.2462976189980764E-2</v>
      </c>
      <c r="G32" s="49">
        <f>IF(OR(1581380.128="",2714.17056="",2341.27355=""),"-",(2714.17056-2341.27355)/1581380.128*100)</f>
        <v>2.3580479063665085E-2</v>
      </c>
    </row>
    <row r="33" spans="1:7" s="9" customFormat="1" ht="25.5" x14ac:dyDescent="0.25">
      <c r="A33" s="55" t="s">
        <v>212</v>
      </c>
      <c r="B33" s="47">
        <f>IF(2812.24625="","-",2812.24625)</f>
        <v>2812.2462500000001</v>
      </c>
      <c r="C33" s="47">
        <f>IF(7910.41613="","-",2812.24625/7910.41613*100)</f>
        <v>35.551179657093471</v>
      </c>
      <c r="D33" s="47">
        <f>IF(7910.41613="","-",7910.41613/1581380.128*100)</f>
        <v>0.50022230518379196</v>
      </c>
      <c r="E33" s="47">
        <f>IF(2812.24625="","-",2812.24625/1379394.59717*100)</f>
        <v>0.2038753998145037</v>
      </c>
      <c r="F33" s="47">
        <f>IF(1533630.30697="","-",(7910.41613-13444.0353)/1533630.30697*100)</f>
        <v>-0.36081832400226849</v>
      </c>
      <c r="G33" s="47">
        <f>IF(1581380.128="","-",(2812.24625-7910.41613)/1581380.128*100)</f>
        <v>-0.32238737478304774</v>
      </c>
    </row>
    <row r="34" spans="1:7" s="9" customFormat="1" ht="25.5" x14ac:dyDescent="0.25">
      <c r="A34" s="48" t="s">
        <v>213</v>
      </c>
      <c r="B34" s="49">
        <f>IF(2300.91647="","-",2300.91647)</f>
        <v>2300.9164700000001</v>
      </c>
      <c r="C34" s="49">
        <f>IF(OR(7906.0721="",2300.91647=""),"-",2300.91647/7906.0721*100)</f>
        <v>29.103155661836173</v>
      </c>
      <c r="D34" s="49">
        <f>IF(7906.0721="","-",7906.0721/1581380.128*100)</f>
        <v>0.49994760652512765</v>
      </c>
      <c r="E34" s="49">
        <f>IF(2300.91647="","-",2300.91647/1379394.59717*100)</f>
        <v>0.16680625505715457</v>
      </c>
      <c r="F34" s="49">
        <f>IF(OR(1533630.30697="",13411.50354="",7906.0721=""),"-",(7906.0721-13411.50354)/1533630.30697*100)</f>
        <v>-0.35898034976089538</v>
      </c>
      <c r="G34" s="49">
        <f>IF(OR(1581380.128="",2300.91647="",7906.0721=""),"-",(2300.91647-7906.0721)/1581380.128*100)</f>
        <v>-0.35444707637049555</v>
      </c>
    </row>
    <row r="35" spans="1:7" s="9" customFormat="1" ht="25.5" x14ac:dyDescent="0.25">
      <c r="A35" s="48" t="s">
        <v>260</v>
      </c>
      <c r="B35" s="49">
        <f>IF(450.01368="","-",450.01368)</f>
        <v>450.01368000000002</v>
      </c>
      <c r="C35" s="49" t="str">
        <f>IF(OR(""="",450.01368=""),"-",450.01368/""*100)</f>
        <v>-</v>
      </c>
      <c r="D35" s="49" t="str">
        <f>IF(""="","-",""/1581380.128*100)</f>
        <v>-</v>
      </c>
      <c r="E35" s="49">
        <f>IF(450.01368="","-",450.01368/1379394.59717*100)</f>
        <v>3.2623999029955553E-2</v>
      </c>
      <c r="F35" s="49" t="str">
        <f>IF(OR(1533630.30697="",9.38137="",""=""),"-",(""-9.38137)/1533630.30697*100)</f>
        <v>-</v>
      </c>
      <c r="G35" s="49" t="str">
        <f>IF(OR(1581380.128="",450.01368="",""=""),"-",(450.01368-"")/1581380.128*100)</f>
        <v>-</v>
      </c>
    </row>
    <row r="36" spans="1:7" s="9" customFormat="1" x14ac:dyDescent="0.25">
      <c r="A36" s="48" t="s">
        <v>214</v>
      </c>
      <c r="B36" s="49">
        <f>IF(4.46042="","-",4.46042)</f>
        <v>4.4604200000000001</v>
      </c>
      <c r="C36" s="49">
        <f>IF(OR(4.24672="",4.46042=""),"-",4.46042/4.24672*100)</f>
        <v>105.03211890588501</v>
      </c>
      <c r="D36" s="49">
        <f>IF(4.24672="","-",4.24672/1581380.128*100)</f>
        <v>2.6854517296678713E-4</v>
      </c>
      <c r="E36" s="49">
        <f>IF(4.46042="","-",4.46042/1379394.59717*100)</f>
        <v>3.2336069817520728E-4</v>
      </c>
      <c r="F36" s="49">
        <f>IF(OR(1533630.30697="",4.89313="",4.24672=""),"-",(4.24672-4.89313)/1533630.30697*100)</f>
        <v>-4.2149010557643151E-5</v>
      </c>
      <c r="G36" s="49">
        <f>IF(OR(1581380.128="",4.46042="",4.24672=""),"-",(4.46042-4.24672)/1581380.128*100)</f>
        <v>1.3513512419703317E-5</v>
      </c>
    </row>
    <row r="37" spans="1:7" s="9" customFormat="1" ht="25.5" x14ac:dyDescent="0.25">
      <c r="A37" s="55" t="s">
        <v>215</v>
      </c>
      <c r="B37" s="47">
        <f>IF(68414.48046="","-",68414.48046)</f>
        <v>68414.480460000006</v>
      </c>
      <c r="C37" s="47" t="s">
        <v>20</v>
      </c>
      <c r="D37" s="47">
        <f>IF(34819.82109="","-",34819.82109/1581380.128*100)</f>
        <v>2.2018628205501263</v>
      </c>
      <c r="E37" s="47">
        <f>IF(68414.48046="","-",68414.48046/1379394.59717*100)</f>
        <v>4.9597468773881559</v>
      </c>
      <c r="F37" s="47">
        <f>IF(1533630.30697="","-",(34819.82109-48975.38002)/1533630.30697*100)</f>
        <v>-0.92300985874276298</v>
      </c>
      <c r="G37" s="47">
        <f>IF(1581380.128="","-",(68414.48046-34819.82109)/1581380.128*100)</f>
        <v>2.1243886131595557</v>
      </c>
    </row>
    <row r="38" spans="1:7" s="9" customFormat="1" ht="25.5" x14ac:dyDescent="0.25">
      <c r="A38" s="48" t="s">
        <v>216</v>
      </c>
      <c r="B38" s="49">
        <f>IF(68386.69222="","-",68386.69222)</f>
        <v>68386.692219999997</v>
      </c>
      <c r="C38" s="49" t="s">
        <v>20</v>
      </c>
      <c r="D38" s="49">
        <f>IF(34816.78596="","-",34816.78596/1581380.128*100)</f>
        <v>2.2016708913645839</v>
      </c>
      <c r="E38" s="49">
        <f>IF(68386.69222="","-",68386.69222/1379394.59717*100)</f>
        <v>4.9577323530412416</v>
      </c>
      <c r="F38" s="49">
        <f>IF(OR(1533630.30697="",48817.92134="",34816.78596=""),"-",(34816.78596-48817.92134)/1533630.30697*100)</f>
        <v>-0.91294070783343506</v>
      </c>
      <c r="G38" s="49">
        <f>IF(OR(1581380.128="",68386.69222="",34816.78596=""),"-",(68386.69222-34816.78596)/1581380.128*100)</f>
        <v>2.1228233279026001</v>
      </c>
    </row>
    <row r="39" spans="1:7" s="9" customFormat="1" ht="63.75" x14ac:dyDescent="0.25">
      <c r="A39" s="48" t="s">
        <v>261</v>
      </c>
      <c r="B39" s="49">
        <f>IF(24.94834="","-",24.94834)</f>
        <v>24.948340000000002</v>
      </c>
      <c r="C39" s="49" t="s">
        <v>294</v>
      </c>
      <c r="D39" s="49">
        <f>IF(3.03513="","-",3.03513/1581380.128*100)</f>
        <v>1.9192918554241503E-4</v>
      </c>
      <c r="E39" s="49">
        <f>IF(24.94834="","-",24.94834/1379394.59717*100)</f>
        <v>1.8086441726815976E-3</v>
      </c>
      <c r="F39" s="49">
        <f>IF(OR(1533630.30697="",157.4556="",3.03513=""),"-",(3.03513-157.4556)/1533630.30697*100)</f>
        <v>-1.0068950078659386E-2</v>
      </c>
      <c r="G39" s="49">
        <f>IF(OR(1581380.128="",24.94834="",3.03513=""),"-",(24.94834-3.03513)/1581380.128*100)</f>
        <v>1.3857016167083138E-3</v>
      </c>
    </row>
    <row r="40" spans="1:7" s="9" customFormat="1" ht="25.5" x14ac:dyDescent="0.25">
      <c r="A40" s="55" t="s">
        <v>217</v>
      </c>
      <c r="B40" s="47">
        <f>IF(71519.71827="","-",71519.71827)</f>
        <v>71519.718269999998</v>
      </c>
      <c r="C40" s="47">
        <f>IF(71968.15578="","-",71519.71827/71968.15578*100)</f>
        <v>99.376894537396737</v>
      </c>
      <c r="D40" s="47">
        <f>IF(71968.15578="","-",71968.15578/1581380.128*100)</f>
        <v>4.5509713006840062</v>
      </c>
      <c r="E40" s="47">
        <f>IF(71519.71827="","-",71519.71827/1379394.59717*100)</f>
        <v>5.1848628678647586</v>
      </c>
      <c r="F40" s="47">
        <f>IF(1533630.30697="","-",(71968.15578-76099.56078)/1533630.30697*100)</f>
        <v>-0.26938728200816747</v>
      </c>
      <c r="G40" s="47">
        <f>IF(1581380.128="","-",(71519.71827-71968.15578)/1581380.128*100)</f>
        <v>-2.835735077606865E-2</v>
      </c>
    </row>
    <row r="41" spans="1:7" s="9" customFormat="1" ht="15.75" customHeight="1" x14ac:dyDescent="0.25">
      <c r="A41" s="48" t="s">
        <v>26</v>
      </c>
      <c r="B41" s="49">
        <f>IF(28693.34155="","-",28693.34155)</f>
        <v>28693.341550000001</v>
      </c>
      <c r="C41" s="49" t="s">
        <v>186</v>
      </c>
      <c r="D41" s="49">
        <f>IF(10698.16709="","-",10698.16709/1581380.128*100)</f>
        <v>0.6765082538080307</v>
      </c>
      <c r="E41" s="49">
        <f>IF(28693.34155="","-",28693.34155/1379394.59717*100)</f>
        <v>2.0801402012787329</v>
      </c>
      <c r="F41" s="49">
        <f>IF(OR(1533630.30697="",15695.49776="",10698.16709=""),"-",(10698.16709-15695.49776)/1533630.30697*100)</f>
        <v>-0.32584975970338292</v>
      </c>
      <c r="G41" s="49">
        <f>IF(OR(1581380.128="",28693.34155="",10698.16709=""),"-",(28693.34155-10698.16709)/1581380.128*100)</f>
        <v>1.1379411022926424</v>
      </c>
    </row>
    <row r="42" spans="1:7" s="9" customFormat="1" x14ac:dyDescent="0.25">
      <c r="A42" s="48" t="s">
        <v>27</v>
      </c>
      <c r="B42" s="49">
        <f>IF(844.22438="","-",844.22438)</f>
        <v>844.22438</v>
      </c>
      <c r="C42" s="49">
        <f>IF(OR(671.723="",844.22438=""),"-",844.22438/671.723*100)</f>
        <v>125.68043375022144</v>
      </c>
      <c r="D42" s="49">
        <f>IF(671.723="","-",671.723/1581380.128*100)</f>
        <v>4.2477010309313813E-2</v>
      </c>
      <c r="E42" s="49">
        <f>IF(844.22438="","-",844.22438/1379394.59717*100)</f>
        <v>6.1202529119081049E-2</v>
      </c>
      <c r="F42" s="49">
        <f>IF(OR(1533630.30697="",492.15784="",671.723=""),"-",(671.723-492.15784)/1533630.30697*100)</f>
        <v>1.1708503619413181E-2</v>
      </c>
      <c r="G42" s="49">
        <f>IF(OR(1581380.128="",844.22438="",671.723=""),"-",(844.22438-671.723)/1581380.128*100)</f>
        <v>1.090828049155807E-2</v>
      </c>
    </row>
    <row r="43" spans="1:7" s="9" customFormat="1" x14ac:dyDescent="0.25">
      <c r="A43" s="48" t="s">
        <v>218</v>
      </c>
      <c r="B43" s="49">
        <f>IF(505.95622="","-",505.95622)</f>
        <v>505.95621999999997</v>
      </c>
      <c r="C43" s="49">
        <f>IF(OR(556.73996="",505.95622=""),"-",505.95622/556.73996*100)</f>
        <v>90.878373451045263</v>
      </c>
      <c r="D43" s="49">
        <f>IF(556.73996="","-",556.73996/1581380.128*100)</f>
        <v>3.5205953972883106E-2</v>
      </c>
      <c r="E43" s="49">
        <f>IF(505.95622="","-",505.95622/1379394.59717*100)</f>
        <v>3.6679585452779953E-2</v>
      </c>
      <c r="F43" s="49">
        <f>IF(OR(1533630.30697="",2148.57197="",556.73996=""),"-",(556.73996-2148.57197)/1533630.30697*100)</f>
        <v>-0.10379502822586946</v>
      </c>
      <c r="G43" s="49">
        <f>IF(OR(1581380.128="",505.95622="",556.73996=""),"-",(505.95622-556.73996)/1581380.128*100)</f>
        <v>-3.2113556444032928E-3</v>
      </c>
    </row>
    <row r="44" spans="1:7" s="9" customFormat="1" x14ac:dyDescent="0.25">
      <c r="A44" s="48" t="s">
        <v>219</v>
      </c>
      <c r="B44" s="49">
        <f>IF(32062.85357="","-",32062.85357)</f>
        <v>32062.853569999999</v>
      </c>
      <c r="C44" s="49">
        <f>IF(OR(48403.15174="",32062.85357=""),"-",32062.85357/48403.15174*100)</f>
        <v>66.241251690028889</v>
      </c>
      <c r="D44" s="49">
        <f>IF(48403.15174="","-",48403.15174/1581380.128*100)</f>
        <v>3.060816996683545</v>
      </c>
      <c r="E44" s="49">
        <f>IF(32062.85357="","-",32062.85357/1379394.59717*100)</f>
        <v>2.3244149017098472</v>
      </c>
      <c r="F44" s="49">
        <f>IF(OR(1533630.30697="",40526.92973="",48403.15174=""),"-",(48403.15174-40526.92973)/1533630.30697*100)</f>
        <v>0.51356718592508011</v>
      </c>
      <c r="G44" s="49">
        <f>IF(OR(1581380.128="",32062.85357="",48403.15174=""),"-",(32062.85357-48403.15174)/1581380.128*100)</f>
        <v>-1.0332935061392148</v>
      </c>
    </row>
    <row r="45" spans="1:7" s="9" customFormat="1" ht="38.25" x14ac:dyDescent="0.25">
      <c r="A45" s="48" t="s">
        <v>220</v>
      </c>
      <c r="B45" s="49">
        <f>IF(5641.31956="","-",5641.31956)</f>
        <v>5641.3195599999999</v>
      </c>
      <c r="C45" s="49">
        <f>IF(OR(7613.20998="",5641.31956=""),"-",5641.31956/7613.20998*100)</f>
        <v>74.099093218495469</v>
      </c>
      <c r="D45" s="49">
        <f>IF(7613.20998="","-",7613.20998/1581380.128*100)</f>
        <v>0.48142820598286912</v>
      </c>
      <c r="E45" s="49">
        <f>IF(5641.31956="","-",5641.31956/1379394.59717*100)</f>
        <v>0.40897068696469235</v>
      </c>
      <c r="F45" s="49">
        <f>IF(OR(1533630.30697="",12989.17495="",7613.20998=""),"-",(7613.20998-12989.17495)/1533630.30697*100)</f>
        <v>-0.3505385193268199</v>
      </c>
      <c r="G45" s="49">
        <f>IF(OR(1581380.128="",5641.31956="",7613.20998=""),"-",(5641.31956-7613.20998)/1581380.128*100)</f>
        <v>-0.12469427085149255</v>
      </c>
    </row>
    <row r="46" spans="1:7" s="9" customFormat="1" x14ac:dyDescent="0.25">
      <c r="A46" s="48" t="s">
        <v>28</v>
      </c>
      <c r="B46" s="49">
        <f>IF(1190.18841="","-",1190.18841)</f>
        <v>1190.18841</v>
      </c>
      <c r="C46" s="49">
        <f>IF(OR(1223.39145="",1190.18841=""),"-",1190.18841/1223.39145*100)</f>
        <v>97.285983975120956</v>
      </c>
      <c r="D46" s="49">
        <f>IF(1223.39145="","-",1223.39145/1581380.128*100)</f>
        <v>7.7362262768993134E-2</v>
      </c>
      <c r="E46" s="49">
        <f>IF(1190.18841="","-",1190.18841/1379394.59717*100)</f>
        <v>8.6283389281197706E-2</v>
      </c>
      <c r="F46" s="49">
        <f>IF(OR(1533630.30697="",1440.27952="",1223.39145=""),"-",(1223.39145-1440.27952)/1533630.30697*100)</f>
        <v>-1.4142135103505267E-2</v>
      </c>
      <c r="G46" s="49">
        <f>IF(OR(1581380.128="",1190.18841="",1223.39145=""),"-",(1190.18841-1223.39145)/1581380.128*100)</f>
        <v>-2.0996242087595084E-3</v>
      </c>
    </row>
    <row r="47" spans="1:7" s="9" customFormat="1" x14ac:dyDescent="0.25">
      <c r="A47" s="48" t="s">
        <v>29</v>
      </c>
      <c r="B47" s="49">
        <f>IF(1234.36432="","-",1234.36432)</f>
        <v>1234.3643199999999</v>
      </c>
      <c r="C47" s="49">
        <f>IF(OR(1513.07389="",1234.36432=""),"-",1234.36432/1513.07389*100)</f>
        <v>81.579910152305914</v>
      </c>
      <c r="D47" s="49">
        <f>IF(1513.07389="","-",1513.07389/1581380.128*100)</f>
        <v>9.5680593375965323E-2</v>
      </c>
      <c r="E47" s="49">
        <f>IF(1234.36432="","-",1234.36432/1379394.59717*100)</f>
        <v>8.9485947134522084E-2</v>
      </c>
      <c r="F47" s="49">
        <f>IF(OR(1533630.30697="",1150.56773="",1513.07389=""),"-",(1513.07389-1150.56773)/1533630.30697*100)</f>
        <v>2.3637128084421134E-2</v>
      </c>
      <c r="G47" s="49">
        <f>IF(OR(1581380.128="",1234.36432="",1513.07389=""),"-",(1234.36432-1513.07389)/1581380.128*100)</f>
        <v>-1.7624451266659649E-2</v>
      </c>
    </row>
    <row r="48" spans="1:7" s="9" customFormat="1" x14ac:dyDescent="0.25">
      <c r="A48" s="48" t="s">
        <v>222</v>
      </c>
      <c r="B48" s="49">
        <f>IF(1347.15957="","-",1347.15957)</f>
        <v>1347.15957</v>
      </c>
      <c r="C48" s="49">
        <f>IF(OR(1264.4516="",1347.15957=""),"-",1347.15957/1264.4516*100)</f>
        <v>106.54101509302529</v>
      </c>
      <c r="D48" s="49">
        <f>IF(1264.4516="","-",1264.4516/1581380.128*100)</f>
        <v>7.9958738421683259E-2</v>
      </c>
      <c r="E48" s="49">
        <f>IF(1347.15957="","-",1347.15957/1379394.59717*100)</f>
        <v>9.7663103274716737E-2</v>
      </c>
      <c r="F48" s="49">
        <f>IF(OR(1533630.30697="",1656.38128="",1264.4516=""),"-",(1264.4516-1656.38128)/1533630.30697*100)</f>
        <v>-2.5555681719301511E-2</v>
      </c>
      <c r="G48" s="49">
        <f>IF(OR(1581380.128="",1347.15957="",1264.4516=""),"-",(1347.15957-1264.4516)/1581380.128*100)</f>
        <v>5.2301131483549236E-3</v>
      </c>
    </row>
    <row r="49" spans="1:7" ht="25.5" x14ac:dyDescent="0.25">
      <c r="A49" s="55" t="s">
        <v>268</v>
      </c>
      <c r="B49" s="47">
        <f>IF(90699.26923="","-",90699.26923)</f>
        <v>90699.269230000005</v>
      </c>
      <c r="C49" s="47">
        <f>IF(101388.40458="","-",90699.26923/101388.40458*100)</f>
        <v>89.457240801569384</v>
      </c>
      <c r="D49" s="47">
        <f>IF(101388.40458="","-",101388.40458/1581380.128*100)</f>
        <v>6.4113872929608489</v>
      </c>
      <c r="E49" s="47">
        <f>IF(90699.26923="","-",90699.26923/1379394.59717*100)</f>
        <v>6.5752953807475301</v>
      </c>
      <c r="F49" s="47">
        <f>IF(1533630.30697="","-",(101388.40458-105665.31451)/1533630.30697*100)</f>
        <v>-0.27887489641815327</v>
      </c>
      <c r="G49" s="47">
        <f>IF(1581380.128="","-",(90699.26923-101388.40458)/1581380.128*100)</f>
        <v>-0.67593712357564151</v>
      </c>
    </row>
    <row r="50" spans="1:7" x14ac:dyDescent="0.25">
      <c r="A50" s="48" t="s">
        <v>223</v>
      </c>
      <c r="B50" s="49">
        <f>IF(410.14933="","-",410.14933)</f>
        <v>410.14933000000002</v>
      </c>
      <c r="C50" s="49">
        <f>IF(OR(301.93687="",410.14933=""),"-",410.14933/301.93687*100)</f>
        <v>135.83943226277734</v>
      </c>
      <c r="D50" s="49">
        <f>IF(301.93687="","-",301.93687/1581380.128*100)</f>
        <v>1.9093250550825183E-2</v>
      </c>
      <c r="E50" s="49">
        <f>IF(410.14933="","-",410.14933/1379394.59717*100)</f>
        <v>2.9734010183994668E-2</v>
      </c>
      <c r="F50" s="49">
        <f>IF(OR(1533630.30697="",990.1444="",301.93687=""),"-",(301.93687-990.1444)/1533630.30697*100)</f>
        <v>-4.487440857632076E-2</v>
      </c>
      <c r="G50" s="49">
        <f>IF(OR(1581380.128="",410.14933="",301.93687=""),"-",(410.14933-301.93687)/1581380.128*100)</f>
        <v>6.8429125979253495E-3</v>
      </c>
    </row>
    <row r="51" spans="1:7" ht="14.25" customHeight="1" x14ac:dyDescent="0.25">
      <c r="A51" s="48" t="s">
        <v>30</v>
      </c>
      <c r="B51" s="49">
        <f>IF(628.57471="","-",628.57471)</f>
        <v>628.57470999999998</v>
      </c>
      <c r="C51" s="49">
        <f>IF(OR(897.96929="",628.57471=""),"-",628.57471/897.96929*100)</f>
        <v>69.999577602481253</v>
      </c>
      <c r="D51" s="49">
        <f>IF(897.96929="","-",897.96929/1581380.128*100)</f>
        <v>5.6783898703449492E-2</v>
      </c>
      <c r="E51" s="49">
        <f>IF(628.57471="","-",628.57471/1379394.59717*100)</f>
        <v>4.5568882993278312E-2</v>
      </c>
      <c r="F51" s="49">
        <f>IF(OR(1533630.30697="",934.82303="",897.96929=""),"-",(897.96929-934.82303)/1533630.30697*100)</f>
        <v>-2.4030393656481728E-3</v>
      </c>
      <c r="G51" s="49">
        <f>IF(OR(1581380.128="",628.57471="",897.96929=""),"-",(628.57471-897.96929)/1581380.128*100)</f>
        <v>-1.7035409464814015E-2</v>
      </c>
    </row>
    <row r="52" spans="1:7" x14ac:dyDescent="0.25">
      <c r="A52" s="48" t="s">
        <v>224</v>
      </c>
      <c r="B52" s="49">
        <f>IF(10365.81717="","-",10365.81717)</f>
        <v>10365.81717</v>
      </c>
      <c r="C52" s="49">
        <f>IF(OR(11910.84677="",10365.81717=""),"-",10365.81717/11910.84677*100)</f>
        <v>87.02838152622796</v>
      </c>
      <c r="D52" s="49">
        <f>IF(11910.84677="","-",11910.84677/1581380.128*100)</f>
        <v>0.75319314813092175</v>
      </c>
      <c r="E52" s="49">
        <f>IF(10365.81717="","-",10365.81717/1379394.59717*100)</f>
        <v>0.75147584246500365</v>
      </c>
      <c r="F52" s="49">
        <f>IF(OR(1533630.30697="",9261.67002="",11910.84677=""),"-",(11910.84677-9261.67002)/1533630.30697*100)</f>
        <v>0.17273894092729494</v>
      </c>
      <c r="G52" s="49">
        <f>IF(OR(1581380.128="",10365.81717="",11910.84677=""),"-",(10365.81717-11910.84677)/1581380.128*100)</f>
        <v>-9.7701341546135814E-2</v>
      </c>
    </row>
    <row r="53" spans="1:7" ht="25.5" x14ac:dyDescent="0.25">
      <c r="A53" s="48" t="s">
        <v>225</v>
      </c>
      <c r="B53" s="49">
        <f>IF(5074.08364="","-",5074.08364)</f>
        <v>5074.0836399999998</v>
      </c>
      <c r="C53" s="49">
        <f>IF(OR(6161.97912="",5074.08364=""),"-",5074.08364/6161.97912*100)</f>
        <v>82.345031380112815</v>
      </c>
      <c r="D53" s="49">
        <f>IF(6161.97912="","-",6161.97912/1581380.128*100)</f>
        <v>0.3896583124383361</v>
      </c>
      <c r="E53" s="49">
        <f>IF(5074.08364="","-",5074.08364/1379394.59717*100)</f>
        <v>0.3678485946233308</v>
      </c>
      <c r="F53" s="49">
        <f>IF(OR(1533630.30697="",5748.77519="",6161.97912=""),"-",(6161.97912-5748.77519)/1533630.30697*100)</f>
        <v>2.6942864138905058E-2</v>
      </c>
      <c r="G53" s="49">
        <f>IF(OR(1581380.128="",5074.08364="",6161.97912=""),"-",(5074.08364-6161.97912)/1581380.128*100)</f>
        <v>-6.8794052785770179E-2</v>
      </c>
    </row>
    <row r="54" spans="1:7" ht="25.5" x14ac:dyDescent="0.25">
      <c r="A54" s="48" t="s">
        <v>226</v>
      </c>
      <c r="B54" s="49">
        <f>IF(31749.0932="","-",31749.0932)</f>
        <v>31749.093199999999</v>
      </c>
      <c r="C54" s="49">
        <f>IF(OR(37459.4278="",31749.0932=""),"-",31749.0932/37459.4278*100)</f>
        <v>84.755948140777519</v>
      </c>
      <c r="D54" s="49">
        <f>IF(37459.4278="","-",37459.4278/1581380.128*100)</f>
        <v>2.3687807337869873</v>
      </c>
      <c r="E54" s="49">
        <f>IF(31749.0932="","-",31749.0932/1379394.59717*100)</f>
        <v>2.3016686642920905</v>
      </c>
      <c r="F54" s="49">
        <f>IF(OR(1533630.30697="",43525.30777="",37459.4278=""),"-",(37459.4278-43525.30777)/1533630.30697*100)</f>
        <v>-0.39552426307904581</v>
      </c>
      <c r="G54" s="49">
        <f>IF(OR(1581380.128="",31749.0932="",37459.4278=""),"-",(31749.0932-37459.4278)/1581380.128*100)</f>
        <v>-0.36109816348975887</v>
      </c>
    </row>
    <row r="55" spans="1:7" ht="15.75" customHeight="1" x14ac:dyDescent="0.25">
      <c r="A55" s="48" t="s">
        <v>31</v>
      </c>
      <c r="B55" s="49">
        <f>IF(26210.64888="","-",26210.64888)</f>
        <v>26210.648880000001</v>
      </c>
      <c r="C55" s="49">
        <f>IF(OR(28424.89589="",26210.64888=""),"-",26210.64888/28424.89589*100)</f>
        <v>92.210184274486721</v>
      </c>
      <c r="D55" s="49">
        <f>IF(28424.89589="","-",28424.89589/1581380.128*100)</f>
        <v>1.7974739524487053</v>
      </c>
      <c r="E55" s="49">
        <f>IF(26210.64888="","-",26210.64888/1379394.59717*100)</f>
        <v>1.90015597667081</v>
      </c>
      <c r="F55" s="49">
        <f>IF(OR(1533630.30697="",28614.98386="",28424.89589=""),"-",(28424.89589-28614.98386)/1533630.30697*100)</f>
        <v>-1.2394640946784503E-2</v>
      </c>
      <c r="G55" s="49">
        <f>IF(OR(1581380.128="",26210.64888="",28424.89589=""),"-",(26210.64888-28424.89589)/1581380.128*100)</f>
        <v>-0.14001990860985442</v>
      </c>
    </row>
    <row r="56" spans="1:7" x14ac:dyDescent="0.25">
      <c r="A56" s="48" t="s">
        <v>227</v>
      </c>
      <c r="B56" s="49">
        <f>IF(929.97616="","-",929.97616)</f>
        <v>929.97616000000005</v>
      </c>
      <c r="C56" s="49">
        <f>IF(OR(1958.87386="",929.97616=""),"-",929.97616/1958.87386*100)</f>
        <v>47.475040582756058</v>
      </c>
      <c r="D56" s="49">
        <f>IF(1958.87386="","-",1958.87386/1581380.128*100)</f>
        <v>0.12387115692906948</v>
      </c>
      <c r="E56" s="49">
        <f>IF(929.97616="","-",929.97616/1379394.59717*100)</f>
        <v>6.7419153439339408E-2</v>
      </c>
      <c r="F56" s="49">
        <f>IF(OR(1533630.30697="",1509.18578="",1958.87386=""),"-",(1958.87386-1509.18578)/1533630.30697*100)</f>
        <v>2.9321804476363705E-2</v>
      </c>
      <c r="G56" s="49">
        <f>IF(OR(1581380.128="",929.97616="",1958.87386=""),"-",(929.97616-1958.87386)/1581380.128*100)</f>
        <v>-6.5063274906664303E-2</v>
      </c>
    </row>
    <row r="57" spans="1:7" x14ac:dyDescent="0.25">
      <c r="A57" s="48" t="s">
        <v>32</v>
      </c>
      <c r="B57" s="49">
        <f>IF(1082.26928="","-",1082.26928)</f>
        <v>1082.26928</v>
      </c>
      <c r="C57" s="49" t="s">
        <v>106</v>
      </c>
      <c r="D57" s="49">
        <f>IF(563.79218="","-",563.79218/1581380.128*100)</f>
        <v>3.5651907471041654E-2</v>
      </c>
      <c r="E57" s="49">
        <f>IF(1082.26928="","-",1082.26928/1379394.59717*100)</f>
        <v>7.8459730248357534E-2</v>
      </c>
      <c r="F57" s="49">
        <f>IF(OR(1533630.30697="",1248.97484="",563.79218=""),"-",(563.79218-1248.97484)/1533630.30697*100)</f>
        <v>-4.4677172646236912E-2</v>
      </c>
      <c r="G57" s="49">
        <f>IF(OR(1581380.128="",1082.26928="",563.79218=""),"-",(1082.26928-563.79218)/1581380.128*100)</f>
        <v>3.2786367478623075E-2</v>
      </c>
    </row>
    <row r="58" spans="1:7" x14ac:dyDescent="0.25">
      <c r="A58" s="48" t="s">
        <v>33</v>
      </c>
      <c r="B58" s="49">
        <f>IF(14248.65686="","-",14248.65686)</f>
        <v>14248.656859999999</v>
      </c>
      <c r="C58" s="49">
        <f>IF(OR(13708.6828="",14248.65686=""),"-",14248.65686/13708.6828*100)</f>
        <v>103.93892008355463</v>
      </c>
      <c r="D58" s="49">
        <f>IF(13708.6828="","-",13708.6828/1581380.128*100)</f>
        <v>0.86688093250151166</v>
      </c>
      <c r="E58" s="49">
        <f>IF(14248.65686="","-",14248.65686/1379394.59717*100)</f>
        <v>1.0329645258313247</v>
      </c>
      <c r="F58" s="49">
        <f>IF(OR(1533630.30697="",13831.44962="",13708.6828=""),"-",(13708.6828-13831.44962)/1533630.30697*100)</f>
        <v>-8.004981346681251E-3</v>
      </c>
      <c r="G58" s="49">
        <f>IF(OR(1581380.128="",14248.65686="",13708.6828=""),"-",(14248.65686-13708.6828)/1581380.128*100)</f>
        <v>3.4145747150807662E-2</v>
      </c>
    </row>
    <row r="59" spans="1:7" ht="15.75" customHeight="1" x14ac:dyDescent="0.25">
      <c r="A59" s="55" t="s">
        <v>228</v>
      </c>
      <c r="B59" s="47">
        <f>IF(300630.68917="","-",300630.68917)</f>
        <v>300630.68917000003</v>
      </c>
      <c r="C59" s="47">
        <f>IF(395451.59281="","-",300630.68917/395451.59281*100)</f>
        <v>76.022121199153204</v>
      </c>
      <c r="D59" s="47">
        <f>IF(395451.59281="","-",395451.59281/1581380.128*100)</f>
        <v>25.00673846901913</v>
      </c>
      <c r="E59" s="47">
        <f>IF(300630.68917="","-",300630.68917/1379394.59717*100)</f>
        <v>21.794393699002544</v>
      </c>
      <c r="F59" s="47">
        <f>IF(1533630.30697="","-",(395451.59281-314459.44756)/1533630.30697*100)</f>
        <v>5.2810735991528839</v>
      </c>
      <c r="G59" s="47">
        <f>IF(1581380.128="","-",(300630.68917-395451.59281)/1581380.128*100)</f>
        <v>-5.9960854421461391</v>
      </c>
    </row>
    <row r="60" spans="1:7" ht="25.5" x14ac:dyDescent="0.25">
      <c r="A60" s="48" t="s">
        <v>229</v>
      </c>
      <c r="B60" s="49">
        <f>IF(1148.09732="","-",1148.09732)</f>
        <v>1148.0973200000001</v>
      </c>
      <c r="C60" s="49">
        <f>IF(OR(1933.97303="",1148.09732=""),"-",1148.09732/1933.97303*100)</f>
        <v>59.364701688730378</v>
      </c>
      <c r="D60" s="49">
        <f>IF(1933.97303="","-",1933.97303/1581380.128*100)</f>
        <v>0.12229653046455886</v>
      </c>
      <c r="E60" s="49">
        <f>IF(1148.09732="","-",1148.09732/1379394.59717*100)</f>
        <v>8.3231971645783234E-2</v>
      </c>
      <c r="F60" s="49">
        <f>IF(OR(1533630.30697="",1887.45604="",1933.97303=""),"-",(1933.97303-1887.45604)/1533630.30697*100)</f>
        <v>3.033129287325046E-3</v>
      </c>
      <c r="G60" s="49">
        <f>IF(OR(1581380.128="",1148.09732="",1933.97303=""),"-",(1148.09732-1933.97303)/1581380.128*100)</f>
        <v>-4.9695559978606224E-2</v>
      </c>
    </row>
    <row r="61" spans="1:7" ht="25.5" x14ac:dyDescent="0.25">
      <c r="A61" s="48" t="s">
        <v>230</v>
      </c>
      <c r="B61" s="49">
        <f>IF(6442.16993="","-",6442.16993)</f>
        <v>6442.16993</v>
      </c>
      <c r="C61" s="49">
        <f>IF(OR(8421.43998="",6442.16993=""),"-",6442.16993/8421.43998*100)</f>
        <v>76.497249226966531</v>
      </c>
      <c r="D61" s="49">
        <f>IF(8421.43998="","-",8421.43998/1581380.128*100)</f>
        <v>0.53253735967017279</v>
      </c>
      <c r="E61" s="49">
        <f>IF(6442.16993="","-",6442.16993/1379394.59717*100)</f>
        <v>0.46702879242944079</v>
      </c>
      <c r="F61" s="49">
        <f>IF(OR(1533630.30697="",8828.04582="",8421.43998=""),"-",(8421.43998-8828.04582)/1533630.30697*100)</f>
        <v>-2.6512637247195062E-2</v>
      </c>
      <c r="G61" s="49">
        <f>IF(OR(1581380.128="",6442.16993="",8421.43998=""),"-",(6442.16993-8421.43998)/1581380.128*100)</f>
        <v>-0.12516092841657356</v>
      </c>
    </row>
    <row r="62" spans="1:7" ht="25.5" x14ac:dyDescent="0.25">
      <c r="A62" s="48" t="s">
        <v>231</v>
      </c>
      <c r="B62" s="49">
        <f>IF(1870.86968="","-",1870.86968)</f>
        <v>1870.86968</v>
      </c>
      <c r="C62" s="49">
        <f>IF(OR(1372.33064="",1870.86968=""),"-",1870.86968/1372.33064*100)</f>
        <v>136.3279100144554</v>
      </c>
      <c r="D62" s="49">
        <f>IF(1372.33064="","-",1372.33064/1581380.128*100)</f>
        <v>8.6780566904910539E-2</v>
      </c>
      <c r="E62" s="49">
        <f>IF(1870.86968="","-",1870.86968/1379394.59717*100)</f>
        <v>0.135629767133953</v>
      </c>
      <c r="F62" s="49">
        <f>IF(OR(1533630.30697="",1374.71663="",1372.33064=""),"-",(1372.33064-1374.71663)/1533630.30697*100)</f>
        <v>-1.5557791138817563E-4</v>
      </c>
      <c r="G62" s="49">
        <f>IF(OR(1581380.128="",1870.86968="",1372.33064=""),"-",(1870.86968-1372.33064)/1581380.128*100)</f>
        <v>3.152556625525018E-2</v>
      </c>
    </row>
    <row r="63" spans="1:7" ht="38.25" x14ac:dyDescent="0.25">
      <c r="A63" s="48" t="s">
        <v>232</v>
      </c>
      <c r="B63" s="49">
        <f>IF(12162.70358="","-",12162.70358)</f>
        <v>12162.703579999999</v>
      </c>
      <c r="C63" s="49">
        <f>IF(OR(13519.75386="",12162.70358=""),"-",12162.70358/13519.75386*100)</f>
        <v>89.96246311839289</v>
      </c>
      <c r="D63" s="49">
        <f>IF(13519.75386="","-",13519.75386/1581380.128*100)</f>
        <v>0.85493384042321807</v>
      </c>
      <c r="E63" s="49">
        <f>IF(12162.70358="","-",12162.70358/1379394.59717*100)</f>
        <v>0.88174215013987323</v>
      </c>
      <c r="F63" s="49">
        <f>IF(OR(1533630.30697="",11818.66934="",13519.75386=""),"-",(13519.75386-11818.66934)/1533630.30697*100)</f>
        <v>0.11091881219802185</v>
      </c>
      <c r="G63" s="49">
        <f>IF(OR(1581380.128="",12162.70358="",13519.75386=""),"-",(12162.70358-13519.75386)/1581380.128*100)</f>
        <v>-8.5814299545820594E-2</v>
      </c>
    </row>
    <row r="64" spans="1:7" ht="25.5" x14ac:dyDescent="0.25">
      <c r="A64" s="48" t="s">
        <v>233</v>
      </c>
      <c r="B64" s="49">
        <f>IF(1088.74501="","-",1088.74501)</f>
        <v>1088.7450100000001</v>
      </c>
      <c r="C64" s="49" t="s">
        <v>105</v>
      </c>
      <c r="D64" s="49">
        <f>IF(689.13139="","-",689.13139/1581380.128*100)</f>
        <v>4.3577845566553121E-2</v>
      </c>
      <c r="E64" s="49">
        <f>IF(1088.74501="","-",1088.74501/1379394.59717*100)</f>
        <v>7.892919199724982E-2</v>
      </c>
      <c r="F64" s="49">
        <f>IF(OR(1533630.30697="",804.38083="",689.13139=""),"-",(689.13139-804.38083)/1533630.30697*100)</f>
        <v>-7.5148123688099739E-3</v>
      </c>
      <c r="G64" s="49">
        <f>IF(OR(1581380.128="",1088.74501="",689.13139=""),"-",(1088.74501-689.13139)/1581380.128*100)</f>
        <v>2.5269928015688337E-2</v>
      </c>
    </row>
    <row r="65" spans="1:7" ht="38.25" x14ac:dyDescent="0.25">
      <c r="A65" s="48" t="s">
        <v>234</v>
      </c>
      <c r="B65" s="49">
        <f>IF(1460.28394="","-",1460.28394)</f>
        <v>1460.28394</v>
      </c>
      <c r="C65" s="49">
        <f>IF(OR(2137.01579="",1460.28394=""),"-",1460.28394/2137.01579*100)</f>
        <v>68.332856819930186</v>
      </c>
      <c r="D65" s="49">
        <f>IF(2137.01579="","-",2137.01579/1581380.128*100)</f>
        <v>0.13513612269193759</v>
      </c>
      <c r="E65" s="49">
        <f>IF(1460.28394="","-",1460.28394/1379394.59717*100)</f>
        <v>0.10586411915748797</v>
      </c>
      <c r="F65" s="49">
        <f>IF(OR(1533630.30697="",2790.02255="",2137.01579=""),"-",(2137.01579-2790.02255)/1533630.30697*100)</f>
        <v>-4.2579150727018983E-2</v>
      </c>
      <c r="G65" s="49">
        <f>IF(OR(1581380.128="",1460.28394="",2137.01579=""),"-",(1460.28394-2137.01579)/1581380.128*100)</f>
        <v>-4.2793749460850683E-2</v>
      </c>
    </row>
    <row r="66" spans="1:7" ht="51" x14ac:dyDescent="0.25">
      <c r="A66" s="48" t="s">
        <v>235</v>
      </c>
      <c r="B66" s="49">
        <f>IF(245071.24381="","-",245071.24381)</f>
        <v>245071.24381000001</v>
      </c>
      <c r="C66" s="49">
        <f>IF(OR(349561.34416="",245071.24381=""),"-",245071.24381/349561.34416*100)</f>
        <v>70.108222177400393</v>
      </c>
      <c r="D66" s="49">
        <f>IF(349561.34416="","-",349561.34416/1581380.128*100)</f>
        <v>22.104827167778851</v>
      </c>
      <c r="E66" s="49">
        <f>IF(245071.24381="","-",245071.24381/1379394.59717*100)</f>
        <v>17.766579941141877</v>
      </c>
      <c r="F66" s="49">
        <f>IF(OR(1533630.30697="",275855.82344="",349561.34416=""),"-",(349561.34416-275855.82344)/1533630.30697*100)</f>
        <v>4.8059509769091795</v>
      </c>
      <c r="G66" s="49">
        <f>IF(OR(1581380.128="",245071.24381="",349561.34416=""),"-",(245071.24381-349561.34416)/1581380.128*100)</f>
        <v>-6.6075258250620914</v>
      </c>
    </row>
    <row r="67" spans="1:7" ht="25.5" x14ac:dyDescent="0.25">
      <c r="A67" s="48" t="s">
        <v>236</v>
      </c>
      <c r="B67" s="49">
        <f>IF(13096.47877="","-",13096.47877)</f>
        <v>13096.47877</v>
      </c>
      <c r="C67" s="49">
        <f>IF(OR(15014.00939="",13096.47877=""),"-",13096.47877/15014.00939*100)</f>
        <v>87.228390697043523</v>
      </c>
      <c r="D67" s="49">
        <f>IF(15014.00939="","-",15014.00939/1581380.128*100)</f>
        <v>0.94942443781613017</v>
      </c>
      <c r="E67" s="49">
        <f>IF(13096.47877="","-",13096.47877/1379394.59717*100)</f>
        <v>0.94943671643118355</v>
      </c>
      <c r="F67" s="49">
        <f>IF(OR(1533630.30697="",10867.04358="",15014.00939=""),"-",(15014.00939-10867.04358)/1533630.30697*100)</f>
        <v>0.27040192092924781</v>
      </c>
      <c r="G67" s="49">
        <f>IF(OR(1581380.128="",13096.47877="",15014.00939=""),"-",(13096.47877-15014.00939)/1581380.128*100)</f>
        <v>-0.12125677982466716</v>
      </c>
    </row>
    <row r="68" spans="1:7" x14ac:dyDescent="0.25">
      <c r="A68" s="48" t="s">
        <v>34</v>
      </c>
      <c r="B68" s="49">
        <f>IF(18290.09713="","-",18290.09713)</f>
        <v>18290.097129999998</v>
      </c>
      <c r="C68" s="49" t="s">
        <v>293</v>
      </c>
      <c r="D68" s="49">
        <f>IF(2802.59457="","-",2802.59457/1581380.128*100)</f>
        <v>0.17722459770279853</v>
      </c>
      <c r="E68" s="49">
        <f>IF(18290.09713="","-",18290.09713/1379394.59717*100)</f>
        <v>1.3259510489256963</v>
      </c>
      <c r="F68" s="49">
        <f>IF(OR(1533630.30697="",233.28933="",2802.59457=""),"-",(2802.59457-233.28933)/1533630.30697*100)</f>
        <v>0.16753093808351946</v>
      </c>
      <c r="G68" s="49">
        <f>IF(OR(1581380.128="",18290.09713="",2802.59457=""),"-",(18290.09713-2802.59457)/1581380.128*100)</f>
        <v>0.97936620587153334</v>
      </c>
    </row>
    <row r="69" spans="1:7" x14ac:dyDescent="0.25">
      <c r="A69" s="55" t="s">
        <v>35</v>
      </c>
      <c r="B69" s="47">
        <f>IF(273681.52045="","-",273681.52045)</f>
        <v>273681.52045000001</v>
      </c>
      <c r="C69" s="47">
        <f>IF(338720.07534="","-",273681.52045/338720.07534*100)</f>
        <v>80.798730389772246</v>
      </c>
      <c r="D69" s="47">
        <f>IF(338720.07534="","-",338720.07534/1581380.128*100)</f>
        <v>21.419269746887824</v>
      </c>
      <c r="E69" s="47">
        <f>IF(273681.52045="","-",273681.52045/1379394.59717*100)</f>
        <v>19.84069830427724</v>
      </c>
      <c r="F69" s="47">
        <f>IF(1533630.30697="","-",(338720.07534-363777.74347)/1533630.30697*100)</f>
        <v>-1.6338793003841028</v>
      </c>
      <c r="G69" s="47">
        <f>IF(1581380.128="","-",(273681.52045-338720.07534)/1581380.128*100)</f>
        <v>-4.11277173264188</v>
      </c>
    </row>
    <row r="70" spans="1:7" ht="38.25" x14ac:dyDescent="0.25">
      <c r="A70" s="48" t="s">
        <v>237</v>
      </c>
      <c r="B70" s="49">
        <f>IF(5945.37446="","-",5945.37446)</f>
        <v>5945.37446</v>
      </c>
      <c r="C70" s="49">
        <f>IF(OR(4860.72856="",5945.37446=""),"-",5945.37446/4860.72856*100)</f>
        <v>122.31447172190994</v>
      </c>
      <c r="D70" s="49">
        <f>IF(4860.72856="","-",4860.72856/1581380.128*100)</f>
        <v>0.30737255856044243</v>
      </c>
      <c r="E70" s="49">
        <f>IF(5945.37446="","-",5945.37446/1379394.59717*100)</f>
        <v>0.43101332078563137</v>
      </c>
      <c r="F70" s="49">
        <f>IF(OR(1533630.30697="",4510.28407="",4860.72856=""),"-",(4860.72856-4510.28407)/1533630.30697*100)</f>
        <v>2.285064975615763E-2</v>
      </c>
      <c r="G70" s="49">
        <f>IF(OR(1581380.128="",5945.37446="",4860.72856=""),"-",(5945.37446-4860.72856)/1581380.128*100)</f>
        <v>6.8588562660881022E-2</v>
      </c>
    </row>
    <row r="71" spans="1:7" x14ac:dyDescent="0.25">
      <c r="A71" s="48" t="s">
        <v>238</v>
      </c>
      <c r="B71" s="49">
        <f>IF(67369.27826="","-",67369.27826)</f>
        <v>67369.278260000006</v>
      </c>
      <c r="C71" s="49">
        <f>IF(OR(84656.4346="",67369.27826=""),"-",67369.27826/84656.4346*100)</f>
        <v>79.579630985309663</v>
      </c>
      <c r="D71" s="49">
        <f>IF(84656.4346="","-",84656.4346/1581380.128*100)</f>
        <v>5.3533260663308395</v>
      </c>
      <c r="E71" s="49">
        <f>IF(67369.27826="","-",67369.27826/1379394.59717*100)</f>
        <v>4.8839743462977516</v>
      </c>
      <c r="F71" s="49">
        <f>IF(OR(1533630.30697="",92144.52943="",84656.4346=""),"-",(84656.4346-92144.52943)/1533630.30697*100)</f>
        <v>-0.48825944531536175</v>
      </c>
      <c r="G71" s="49">
        <f>IF(OR(1581380.128="",67369.27826="",84656.4346=""),"-",(67369.27826-84656.4346)/1581380.128*100)</f>
        <v>-1.0931689373043638</v>
      </c>
    </row>
    <row r="72" spans="1:7" x14ac:dyDescent="0.25">
      <c r="A72" s="48" t="s">
        <v>239</v>
      </c>
      <c r="B72" s="49">
        <f>IF(7347.53538="","-",7347.53538)</f>
        <v>7347.5353800000003</v>
      </c>
      <c r="C72" s="49">
        <f>IF(OR(7796.68844="",7347.53538=""),"-",7347.53538/7796.68844*100)</f>
        <v>94.239181628758274</v>
      </c>
      <c r="D72" s="49">
        <f>IF(7796.68844="","-",7796.68844/1581380.128*100)</f>
        <v>0.49303063203789038</v>
      </c>
      <c r="E72" s="49">
        <f>IF(7347.53538="","-",7347.53538/1379394.59717*100)</f>
        <v>0.53266377837599077</v>
      </c>
      <c r="F72" s="49">
        <f>IF(OR(1533630.30697="",10476.20042="",7796.68844=""),"-",(7796.68844-10476.20042)/1533630.30697*100)</f>
        <v>-0.17471694239623645</v>
      </c>
      <c r="G72" s="49">
        <f>IF(OR(1581380.128="",7347.53538="",7796.68844=""),"-",(7347.53538-7796.68844)/1581380.128*100)</f>
        <v>-2.8402599226287965E-2</v>
      </c>
    </row>
    <row r="73" spans="1:7" x14ac:dyDescent="0.25">
      <c r="A73" s="48" t="s">
        <v>240</v>
      </c>
      <c r="B73" s="49">
        <f>IF(130931.68794="","-",130931.68794)</f>
        <v>130931.68794</v>
      </c>
      <c r="C73" s="49">
        <f>IF(OR(167761.00379="",130931.68794=""),"-",130931.68794/167761.00379*100)</f>
        <v>78.046557294028702</v>
      </c>
      <c r="D73" s="49">
        <f>IF(167761.00379="","-",167761.00379/1581380.128*100)</f>
        <v>10.608518522499102</v>
      </c>
      <c r="E73" s="49">
        <f>IF(130931.68794="","-",130931.68794/1379394.59717*100)</f>
        <v>9.4919675782856245</v>
      </c>
      <c r="F73" s="49">
        <f>IF(OR(1533630.30697="",185701.68226="",167761.00379=""),"-",(167761.00379-185701.68226)/1533630.30697*100)</f>
        <v>-1.1698176795583473</v>
      </c>
      <c r="G73" s="49">
        <f>IF(OR(1581380.128="",130931.68794="",167761.00379=""),"-",(130931.68794-167761.00379)/1581380.128*100)</f>
        <v>-2.3289350357891929</v>
      </c>
    </row>
    <row r="74" spans="1:7" x14ac:dyDescent="0.25">
      <c r="A74" s="48" t="s">
        <v>241</v>
      </c>
      <c r="B74" s="49">
        <f>IF(18990.89085="","-",18990.89085)</f>
        <v>18990.89085</v>
      </c>
      <c r="C74" s="49">
        <f>IF(OR(20876.23869="",18990.89085=""),"-",18990.89085/20876.23869*100)</f>
        <v>90.968929470503198</v>
      </c>
      <c r="D74" s="49">
        <f>IF(20876.23869="","-",20876.23869/1581380.128*100)</f>
        <v>1.3201277997847711</v>
      </c>
      <c r="E74" s="49">
        <f>IF(18990.89085="","-",18990.89085/1379394.59717*100)</f>
        <v>1.3767554903406305</v>
      </c>
      <c r="F74" s="49">
        <f>IF(OR(1533630.30697="",22471.22422="",20876.23869=""),"-",(20876.23869-22471.22422)/1533630.30697*100)</f>
        <v>-0.10400065274865501</v>
      </c>
      <c r="G74" s="49">
        <f>IF(OR(1581380.128="",18990.89085="",20876.23869=""),"-",(18990.89085-20876.23869)/1581380.128*100)</f>
        <v>-0.11922167267805699</v>
      </c>
    </row>
    <row r="75" spans="1:7" ht="25.5" x14ac:dyDescent="0.25">
      <c r="A75" s="48" t="s">
        <v>242</v>
      </c>
      <c r="B75" s="49">
        <f>IF(10595.30078="","-",10595.30078)</f>
        <v>10595.30078</v>
      </c>
      <c r="C75" s="49">
        <f>IF(OR(13273.30428="",10595.30078=""),"-",10595.30078/13273.30428*100)</f>
        <v>79.82413840964098</v>
      </c>
      <c r="D75" s="49">
        <f>IF(13273.30428="","-",13273.30428/1581380.128*100)</f>
        <v>0.8393493787472206</v>
      </c>
      <c r="E75" s="49">
        <f>IF(10595.30078="","-",10595.30078/1379394.59717*100)</f>
        <v>0.76811238798075476</v>
      </c>
      <c r="F75" s="49">
        <f>IF(OR(1533630.30697="",14880.76988="",13273.30428=""),"-",(13273.30428-14880.76988)/1533630.30697*100)</f>
        <v>-0.10481441274956781</v>
      </c>
      <c r="G75" s="49">
        <f>IF(OR(1581380.128="",10595.30078="",13273.30428=""),"-",(10595.30078-13273.30428)/1581380.128*100)</f>
        <v>-0.16934596891557757</v>
      </c>
    </row>
    <row r="76" spans="1:7" ht="25.5" x14ac:dyDescent="0.25">
      <c r="A76" s="48" t="s">
        <v>243</v>
      </c>
      <c r="B76" s="49">
        <f>IF(1704.02535="","-",1704.02535)</f>
        <v>1704.0253499999999</v>
      </c>
      <c r="C76" s="49">
        <f>IF(OR(2317.21672="",1704.02535=""),"-",1704.02535/2317.21672*100)</f>
        <v>73.53759082145757</v>
      </c>
      <c r="D76" s="49">
        <f>IF(2317.21672="","-",2317.21672/1581380.128*100)</f>
        <v>0.14653129117858751</v>
      </c>
      <c r="E76" s="49">
        <f>IF(1704.02535="","-",1704.02535/1379394.59717*100)</f>
        <v>0.12353429203623245</v>
      </c>
      <c r="F76" s="49">
        <f>IF(OR(1533630.30697="",2023.27842="",2317.21672=""),"-",(2317.21672-2023.27842)/1533630.30697*100)</f>
        <v>1.9166177054803706E-2</v>
      </c>
      <c r="G76" s="49">
        <f>IF(OR(1581380.128="",1704.02535="",2317.21672=""),"-",(1704.02535-2317.21672)/1581380.128*100)</f>
        <v>-3.8775709846279288E-2</v>
      </c>
    </row>
    <row r="77" spans="1:7" x14ac:dyDescent="0.25">
      <c r="A77" s="51" t="s">
        <v>36</v>
      </c>
      <c r="B77" s="49">
        <f>IF(30797.42743="","-",30797.42743)</f>
        <v>30797.42743</v>
      </c>
      <c r="C77" s="49">
        <f>IF(OR(37178.46026="",30797.42743=""),"-",30797.42743/37178.46026*100)</f>
        <v>82.836747984248021</v>
      </c>
      <c r="D77" s="49">
        <f>IF(37178.46026="","-",37178.46026/1581380.128*100)</f>
        <v>2.3510134977489736</v>
      </c>
      <c r="E77" s="49">
        <f>IF(30797.42743="","-",30797.42743/1379394.59717*100)</f>
        <v>2.2326771101746203</v>
      </c>
      <c r="F77" s="49">
        <f>IF(OR(1533630.30697="",31569.77477="",37178.46026=""),"-",(37178.46026-31569.77477)/1533630.30697*100)</f>
        <v>0.36571300557310343</v>
      </c>
      <c r="G77" s="49">
        <f>IF(OR(1581380.128="",30797.42743="",37178.46026=""),"-",(30797.42743-37178.46026)/1581380.128*100)</f>
        <v>-0.40351037154300201</v>
      </c>
    </row>
    <row r="78" spans="1:7" ht="25.5" x14ac:dyDescent="0.25">
      <c r="A78" s="56" t="s">
        <v>244</v>
      </c>
      <c r="B78" s="57">
        <f>IF(408.3958="","-",408.3958)</f>
        <v>408.39580000000001</v>
      </c>
      <c r="C78" s="57">
        <f>IF(462.98741="","-",408.3958/462.98741*100)</f>
        <v>88.208834879548874</v>
      </c>
      <c r="D78" s="57">
        <f>IF(462.98741="","-",462.98741/1581380.128*100)</f>
        <v>2.927742683762876E-2</v>
      </c>
      <c r="E78" s="57">
        <f>IF(408.3958="","-",408.3958/1379394.59717*100)</f>
        <v>2.9606887024052068E-2</v>
      </c>
      <c r="F78" s="57">
        <f>IF(1533630.30697="","-",(462.98741-725.7206)/1533630.30697*100)</f>
        <v>-1.7131455267018234E-2</v>
      </c>
      <c r="G78" s="57">
        <f>IF(1581380.128="","-",(408.3958-462.98741)/1581380.128*100)</f>
        <v>-3.4521497414440761E-3</v>
      </c>
    </row>
    <row r="79" spans="1:7" x14ac:dyDescent="0.25">
      <c r="A79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I78" sqref="I78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4" t="s">
        <v>163</v>
      </c>
      <c r="B1" s="94"/>
      <c r="C1" s="94"/>
      <c r="D1" s="94"/>
      <c r="E1" s="94"/>
      <c r="F1" s="94"/>
      <c r="G1" s="94"/>
    </row>
    <row r="2" spans="1:7" x14ac:dyDescent="0.25">
      <c r="A2" s="94" t="s">
        <v>23</v>
      </c>
      <c r="B2" s="94"/>
      <c r="C2" s="94"/>
      <c r="D2" s="94"/>
      <c r="E2" s="94"/>
      <c r="F2" s="94"/>
      <c r="G2" s="94"/>
    </row>
    <row r="3" spans="1:7" x14ac:dyDescent="0.25">
      <c r="A3" s="5"/>
    </row>
    <row r="4" spans="1:7" ht="57" customHeight="1" x14ac:dyDescent="0.25">
      <c r="A4" s="102"/>
      <c r="B4" s="105" t="s">
        <v>271</v>
      </c>
      <c r="C4" s="100"/>
      <c r="D4" s="105" t="s">
        <v>0</v>
      </c>
      <c r="E4" s="100"/>
      <c r="F4" s="97" t="s">
        <v>120</v>
      </c>
      <c r="G4" s="106"/>
    </row>
    <row r="5" spans="1:7" ht="19.5" customHeight="1" x14ac:dyDescent="0.25">
      <c r="A5" s="103"/>
      <c r="B5" s="107" t="s">
        <v>111</v>
      </c>
      <c r="C5" s="95" t="s">
        <v>272</v>
      </c>
      <c r="D5" s="109" t="s">
        <v>273</v>
      </c>
      <c r="E5" s="109"/>
      <c r="F5" s="109" t="s">
        <v>273</v>
      </c>
      <c r="G5" s="105"/>
    </row>
    <row r="6" spans="1:7" ht="26.25" customHeight="1" x14ac:dyDescent="0.25">
      <c r="A6" s="104"/>
      <c r="B6" s="108"/>
      <c r="C6" s="96"/>
      <c r="D6" s="24">
        <v>2019</v>
      </c>
      <c r="E6" s="24">
        <v>2020</v>
      </c>
      <c r="F6" s="24" t="s">
        <v>122</v>
      </c>
      <c r="G6" s="20" t="s">
        <v>141</v>
      </c>
    </row>
    <row r="7" spans="1:7" x14ac:dyDescent="0.25">
      <c r="A7" s="50" t="s">
        <v>133</v>
      </c>
      <c r="B7" s="46">
        <f>IF(2889645.06346="","-",2889645.06346)</f>
        <v>2889645.0634599999</v>
      </c>
      <c r="C7" s="46">
        <f>IF(3307388.5187="","-",2889645.06346/3307388.5187*100)</f>
        <v>87.369386666305587</v>
      </c>
      <c r="D7" s="46">
        <v>100</v>
      </c>
      <c r="E7" s="46">
        <v>100</v>
      </c>
      <c r="F7" s="46">
        <f>IF(3222930.24801="","-",(3307388.5187-3222930.24801)/3222930.24801*100)</f>
        <v>2.6205429280434624</v>
      </c>
      <c r="G7" s="46">
        <f>IF(3307388.5187="","-",(2889645.06346-3307388.5187)/3307388.5187*100)</f>
        <v>-12.630613333694404</v>
      </c>
    </row>
    <row r="8" spans="1:7" ht="12" customHeight="1" x14ac:dyDescent="0.25">
      <c r="A8" s="36" t="s">
        <v>138</v>
      </c>
      <c r="B8" s="58"/>
      <c r="C8" s="58"/>
      <c r="D8" s="58"/>
      <c r="E8" s="58"/>
      <c r="F8" s="58"/>
      <c r="G8" s="58"/>
    </row>
    <row r="9" spans="1:7" x14ac:dyDescent="0.25">
      <c r="A9" s="55" t="s">
        <v>245</v>
      </c>
      <c r="B9" s="47">
        <f>IF(361649.31071="","-",361649.31071)</f>
        <v>361649.31070999999</v>
      </c>
      <c r="C9" s="47">
        <f>IF(340770.71381="","-",361649.31071/340770.71381*100)</f>
        <v>106.12687536043401</v>
      </c>
      <c r="D9" s="47">
        <f>IF(340770.71381="","-",340770.71381/3307388.5187*100)</f>
        <v>10.303316706920876</v>
      </c>
      <c r="E9" s="47">
        <f>IF(361649.31071="","-",361649.31071/2889645.06346*100)</f>
        <v>12.515354057946784</v>
      </c>
      <c r="F9" s="47">
        <f>IF(3222930.24801="","-",(340770.71381-321534.55665)/3222930.24801*100)</f>
        <v>0.59685303992779171</v>
      </c>
      <c r="G9" s="47">
        <f>IF(3307388.5187="","-",(361649.31071-340770.71381)/3307388.5187*100)</f>
        <v>0.63127137262381661</v>
      </c>
    </row>
    <row r="10" spans="1:7" ht="14.25" customHeight="1" x14ac:dyDescent="0.25">
      <c r="A10" s="48" t="s">
        <v>24</v>
      </c>
      <c r="B10" s="49">
        <f>IF(4254.22893="","-",4254.22893)</f>
        <v>4254.2289300000002</v>
      </c>
      <c r="C10" s="49">
        <f>IF(OR(3230.92568="",4254.22893=""),"-",4254.22893/3230.92568*100)</f>
        <v>131.67213830805295</v>
      </c>
      <c r="D10" s="49">
        <f>IF(3230.92568="","-",3230.92568/3307388.5187*100)</f>
        <v>9.76881204531104E-2</v>
      </c>
      <c r="E10" s="49">
        <f>IF(4254.22893="","-",4254.22893/2889645.06346*100)</f>
        <v>0.1472232345693722</v>
      </c>
      <c r="F10" s="49">
        <f>IF(OR(3222930.24801="",3105.60749="",3230.92568=""),"-",(3230.92568-3105.60749)/3222930.24801*100)</f>
        <v>3.8883308156413793E-3</v>
      </c>
      <c r="G10" s="49">
        <f>IF(OR(3307388.5187="",4254.22893="",3230.92568=""),"-",(4254.22893-3230.92568)/3307388.5187*100)</f>
        <v>3.0939916620446494E-2</v>
      </c>
    </row>
    <row r="11" spans="1:7" s="9" customFormat="1" x14ac:dyDescent="0.25">
      <c r="A11" s="48" t="s">
        <v>246</v>
      </c>
      <c r="B11" s="49">
        <f>IF(21093.79281="","-",21093.79281)</f>
        <v>21093.792809999999</v>
      </c>
      <c r="C11" s="49">
        <f>IF(OR(27155.73984="",21093.79281=""),"-",21093.79281/27155.73984*100)</f>
        <v>77.677105960962095</v>
      </c>
      <c r="D11" s="49">
        <f>IF(27155.73984="","-",27155.73984/3307388.5187*100)</f>
        <v>0.82106289256497189</v>
      </c>
      <c r="E11" s="49">
        <f>IF(21093.79281="","-",21093.79281/2889645.06346*100)</f>
        <v>0.72997867719929377</v>
      </c>
      <c r="F11" s="49">
        <f>IF(OR(3222930.24801="",23858.0293="",27155.73984=""),"-",(27155.73984-23858.0293)/3222930.24801*100)</f>
        <v>0.10232025784722375</v>
      </c>
      <c r="G11" s="49">
        <f>IF(OR(3307388.5187="",21093.79281="",27155.73984=""),"-",(21093.79281-27155.73984)/3307388.5187*100)</f>
        <v>-0.18328499950113827</v>
      </c>
    </row>
    <row r="12" spans="1:7" s="9" customFormat="1" x14ac:dyDescent="0.25">
      <c r="A12" s="48" t="s">
        <v>247</v>
      </c>
      <c r="B12" s="49">
        <f>IF(46145.55089="","-",46145.55089)</f>
        <v>46145.550889999999</v>
      </c>
      <c r="C12" s="49">
        <f>IF(OR(34964.35937="",46145.55089=""),"-",46145.55089/34964.35937*100)</f>
        <v>131.97882564264469</v>
      </c>
      <c r="D12" s="49">
        <f>IF(34964.35937="","-",34964.35937/3307388.5187*100)</f>
        <v>1.0571591203244266</v>
      </c>
      <c r="E12" s="49">
        <f>IF(46145.55089="","-",46145.55089/2889645.06346*100)</f>
        <v>1.5969279920747876</v>
      </c>
      <c r="F12" s="49">
        <f>IF(OR(3222930.24801="",32344.14428="",34964.35937=""),"-",(34964.35937-32344.14428)/3222930.24801*100)</f>
        <v>8.1299155996871209E-2</v>
      </c>
      <c r="G12" s="49">
        <f>IF(OR(3307388.5187="",46145.55089="",34964.35937=""),"-",(46145.55089-34964.35937)/3307388.5187*100)</f>
        <v>0.3380670718538647</v>
      </c>
    </row>
    <row r="13" spans="1:7" s="9" customFormat="1" x14ac:dyDescent="0.25">
      <c r="A13" s="48" t="s">
        <v>248</v>
      </c>
      <c r="B13" s="49">
        <f>IF(30025.08765="","-",30025.08765)</f>
        <v>30025.087650000001</v>
      </c>
      <c r="C13" s="49">
        <f>IF(OR(29773.77106="",30025.08765=""),"-",30025.08765/29773.77106*100)</f>
        <v>100.84408719840543</v>
      </c>
      <c r="D13" s="49">
        <f>IF(29773.77106="","-",29773.77106/3307388.5187*100)</f>
        <v>0.90021994367032698</v>
      </c>
      <c r="E13" s="49">
        <f>IF(30025.08765="","-",30025.08765/2889645.06346*100)</f>
        <v>1.039057980845876</v>
      </c>
      <c r="F13" s="49">
        <f>IF(OR(3222930.24801="",27285.9218="",29773.77106=""),"-",(29773.77106-27285.9218)/3222930.24801*100)</f>
        <v>7.7192153368386501E-2</v>
      </c>
      <c r="G13" s="49">
        <f>IF(OR(3307388.5187="",30025.08765="",29773.77106=""),"-",(30025.08765-29773.77106)/3307388.5187*100)</f>
        <v>7.5986413020138477E-3</v>
      </c>
    </row>
    <row r="14" spans="1:7" s="9" customFormat="1" x14ac:dyDescent="0.25">
      <c r="A14" s="48" t="s">
        <v>249</v>
      </c>
      <c r="B14" s="49">
        <f>IF(55676.72545="","-",55676.72545)</f>
        <v>55676.725449999998</v>
      </c>
      <c r="C14" s="49">
        <f>IF(OR(49369.26741="",55676.72545=""),"-",55676.72545/49369.26741*100)</f>
        <v>112.77608190459473</v>
      </c>
      <c r="D14" s="49">
        <f>IF(49369.26741="","-",49369.26741/3307388.5187*100)</f>
        <v>1.49269634126338</v>
      </c>
      <c r="E14" s="49">
        <f>IF(55676.72545="","-",55676.72545/2889645.06346*100)</f>
        <v>1.9267669290613103</v>
      </c>
      <c r="F14" s="49">
        <f>IF(OR(3222930.24801="",46861.27392="",49369.26741=""),"-",(49369.26741-46861.27392)/3222930.24801*100)</f>
        <v>7.7817181788174358E-2</v>
      </c>
      <c r="G14" s="49">
        <f>IF(OR(3307388.5187="",55676.72545="",49369.26741=""),"-",(55676.72545-49369.26741)/3307388.5187*100)</f>
        <v>0.19070810714669842</v>
      </c>
    </row>
    <row r="15" spans="1:7" s="9" customFormat="1" x14ac:dyDescent="0.25">
      <c r="A15" s="48" t="s">
        <v>250</v>
      </c>
      <c r="B15" s="49">
        <f>IF(101065.00824="","-",101065.00824)</f>
        <v>101065.00824</v>
      </c>
      <c r="C15" s="49">
        <f>IF(OR(100426.03991="",101065.00824=""),"-",101065.00824/100426.03991*100)</f>
        <v>100.63625761861428</v>
      </c>
      <c r="D15" s="49">
        <f>IF(100426.03991="","-",100426.03991/3307388.5187*100)</f>
        <v>3.0364149643197469</v>
      </c>
      <c r="E15" s="49">
        <f>IF(101065.00824="","-",101065.00824/2889645.06346*100)</f>
        <v>3.4974886541597221</v>
      </c>
      <c r="F15" s="49">
        <f>IF(OR(3222930.24801="",91666.00224="",100426.03991=""),"-",(100426.03991-91666.00224)/3222930.24801*100)</f>
        <v>0.27180351406639641</v>
      </c>
      <c r="G15" s="49">
        <f>IF(OR(3307388.5187="",101065.00824="",100426.03991=""),"-",(101065.00824-100426.03991)/3307388.5187*100)</f>
        <v>1.9319421543228351E-2</v>
      </c>
    </row>
    <row r="16" spans="1:7" s="9" customFormat="1" ht="14.25" customHeight="1" x14ac:dyDescent="0.25">
      <c r="A16" s="48" t="s">
        <v>196</v>
      </c>
      <c r="B16" s="49">
        <f>IF(9252.04907="","-",9252.04907)</f>
        <v>9252.0490699999991</v>
      </c>
      <c r="C16" s="49">
        <f>IF(OR(8416.29264="",9252.04907=""),"-",9252.04907/8416.29264*100)</f>
        <v>109.93022065354418</v>
      </c>
      <c r="D16" s="49">
        <f>IF(8416.29264="","-",8416.29264/3307388.5187*100)</f>
        <v>0.25446942784055204</v>
      </c>
      <c r="E16" s="49">
        <f>IF(9252.04907="","-",9252.04907/2889645.06346*100)</f>
        <v>0.32017942919680908</v>
      </c>
      <c r="F16" s="49">
        <f>IF(OR(3222930.24801="",8997.83844="",8416.29264=""),"-",(8416.29264-8997.83844)/3222930.24801*100)</f>
        <v>-1.8044008254881581E-2</v>
      </c>
      <c r="G16" s="49">
        <f>IF(OR(3307388.5187="",9252.04907="",8416.29264=""),"-",(9252.04907-8416.29264)/3307388.5187*100)</f>
        <v>2.5269375680378226E-2</v>
      </c>
    </row>
    <row r="17" spans="1:7" s="9" customFormat="1" ht="25.5" x14ac:dyDescent="0.25">
      <c r="A17" s="48" t="s">
        <v>251</v>
      </c>
      <c r="B17" s="49">
        <f>IF(28245.1107="","-",28245.1107)</f>
        <v>28245.110700000001</v>
      </c>
      <c r="C17" s="49">
        <f>IF(OR(27701.90246="",28245.1107=""),"-",28245.1107/27701.90246*100)</f>
        <v>101.96090590090108</v>
      </c>
      <c r="D17" s="49">
        <f>IF(27701.90246="","-",27701.90246/3307388.5187*100)</f>
        <v>0.8375763023718934</v>
      </c>
      <c r="E17" s="49">
        <f>IF(28245.1107="","-",28245.1107/2889645.06346*100)</f>
        <v>0.97745951768138284</v>
      </c>
      <c r="F17" s="49">
        <f>IF(OR(3222930.24801="",27618.13293="",27701.90246=""),"-",(27701.90246-27618.13293)/3222930.24801*100)</f>
        <v>2.5991729126537857E-3</v>
      </c>
      <c r="G17" s="49">
        <f>IF(OR(3307388.5187="",28245.1107="",27701.90246=""),"-",(28245.1107-27701.90246)/3307388.5187*100)</f>
        <v>1.6424083137759487E-2</v>
      </c>
    </row>
    <row r="18" spans="1:7" s="9" customFormat="1" ht="25.5" x14ac:dyDescent="0.25">
      <c r="A18" s="48" t="s">
        <v>198</v>
      </c>
      <c r="B18" s="49">
        <f>IF(22132.86117="","-",22132.86117)</f>
        <v>22132.86117</v>
      </c>
      <c r="C18" s="49">
        <f>IF(OR(19205.18326="",22132.86117=""),"-",22132.86117/19205.18326*100)</f>
        <v>115.24420709953694</v>
      </c>
      <c r="D18" s="49">
        <f>IF(19205.18326="","-",19205.18326/3307388.5187*100)</f>
        <v>0.58067515054290564</v>
      </c>
      <c r="E18" s="49">
        <f>IF(22132.86117="","-",22132.86117/2889645.06346*100)</f>
        <v>0.76593701592882069</v>
      </c>
      <c r="F18" s="49">
        <f>IF(OR(3222930.24801="",21497.2428="",19205.18326=""),"-",(19205.18326-21497.2428)/3222930.24801*100)</f>
        <v>-7.1117255529040121E-2</v>
      </c>
      <c r="G18" s="49">
        <f>IF(OR(3307388.5187="",22132.86117="",19205.18326=""),"-",(22132.86117-19205.18326)/3307388.5187*100)</f>
        <v>8.8519322524308386E-2</v>
      </c>
    </row>
    <row r="19" spans="1:7" s="9" customFormat="1" x14ac:dyDescent="0.25">
      <c r="A19" s="48" t="s">
        <v>252</v>
      </c>
      <c r="B19" s="49">
        <f>IF(43758.8958="","-",43758.8958)</f>
        <v>43758.895799999998</v>
      </c>
      <c r="C19" s="49">
        <f>IF(OR(40527.23218="",43758.8958=""),"-",43758.8958/40527.23218*100)</f>
        <v>107.97405459530694</v>
      </c>
      <c r="D19" s="49">
        <f>IF(40527.23218="","-",40527.23218/3307388.5187*100)</f>
        <v>1.2253544435695631</v>
      </c>
      <c r="E19" s="49">
        <f>IF(43758.8958="","-",43758.8958/2889645.06346*100)</f>
        <v>1.5143346272294087</v>
      </c>
      <c r="F19" s="49">
        <f>IF(OR(3222930.24801="",38300.36345="",40527.23218=""),"-",(40527.23218-38300.36345)/3222930.24801*100)</f>
        <v>6.9094536916366189E-2</v>
      </c>
      <c r="G19" s="49">
        <f>IF(OR(3307388.5187="",43758.8958="",40527.23218=""),"-",(43758.8958-40527.23218)/3307388.5187*100)</f>
        <v>9.7710432316256438E-2</v>
      </c>
    </row>
    <row r="20" spans="1:7" s="9" customFormat="1" x14ac:dyDescent="0.25">
      <c r="A20" s="55" t="s">
        <v>253</v>
      </c>
      <c r="B20" s="47">
        <f>IF(56542.21405="","-",56542.21405)</f>
        <v>56542.214050000002</v>
      </c>
      <c r="C20" s="47">
        <f>IF(70008.83342="","-",56542.21405/70008.83342*100)</f>
        <v>80.764399701948363</v>
      </c>
      <c r="D20" s="47">
        <f>IF(70008.83342="","-",70008.83342/3307388.5187*100)</f>
        <v>2.1167405348409938</v>
      </c>
      <c r="E20" s="47">
        <f>IF(56542.21405="","-",56542.21405/2889645.06346*100)</f>
        <v>1.9567183099746359</v>
      </c>
      <c r="F20" s="47">
        <f>IF(3222930.24801="","-",(70008.83342-61642.31397)/3222930.24801*100)</f>
        <v>0.25959356257138683</v>
      </c>
      <c r="G20" s="47">
        <f>IF(3307388.5187="","-",(56542.21405-70008.83342)/3307388.5187*100)</f>
        <v>-0.40716774862885396</v>
      </c>
    </row>
    <row r="21" spans="1:7" s="9" customFormat="1" x14ac:dyDescent="0.25">
      <c r="A21" s="48" t="s">
        <v>254</v>
      </c>
      <c r="B21" s="49">
        <f>IF(29560.66836="","-",29560.66836)</f>
        <v>29560.66836</v>
      </c>
      <c r="C21" s="49">
        <f>IF(OR(36340.33229="",29560.66836=""),"-",29560.66836/36340.33229*100)</f>
        <v>81.343968250214374</v>
      </c>
      <c r="D21" s="49">
        <f>IF(36340.33229="","-",36340.33229/3307388.5187*100)</f>
        <v>1.0987621225789315</v>
      </c>
      <c r="E21" s="49">
        <f>IF(29560.66836="","-",29560.66836/2889645.06346*100)</f>
        <v>1.0229861353492555</v>
      </c>
      <c r="F21" s="49">
        <f>IF(OR(3222930.24801="",35015.7330599999="",36340.33229=""),"-",(36340.33229-35015.7330599999)/3222930.24801*100)</f>
        <v>4.1099221145663209E-2</v>
      </c>
      <c r="G21" s="49">
        <f>IF(OR(3307388.5187="",29560.66836="",36340.33229=""),"-",(29560.66836-36340.33229)/3307388.5187*100)</f>
        <v>-0.20498541044294394</v>
      </c>
    </row>
    <row r="22" spans="1:7" s="9" customFormat="1" x14ac:dyDescent="0.25">
      <c r="A22" s="48" t="s">
        <v>255</v>
      </c>
      <c r="B22" s="49">
        <f>IF(26981.54569="","-",26981.54569)</f>
        <v>26981.545689999999</v>
      </c>
      <c r="C22" s="49">
        <f>IF(OR(33668.50113="",26981.54569=""),"-",26981.54569/33668.50113*100)</f>
        <v>80.138838333846564</v>
      </c>
      <c r="D22" s="49">
        <f>IF(33668.50113="","-",33668.50113/3307388.5187*100)</f>
        <v>1.0179784122620623</v>
      </c>
      <c r="E22" s="49">
        <f>IF(26981.54569="","-",26981.54569/2889645.06346*100)</f>
        <v>0.93373217462538005</v>
      </c>
      <c r="F22" s="49">
        <f>IF(OR(3222930.24801="",26626.58091="",33668.50113=""),"-",(33668.50113-26626.58091)/3222930.24801*100)</f>
        <v>0.21849434142572691</v>
      </c>
      <c r="G22" s="49">
        <f>IF(OR(3307388.5187="",26981.54569="",33668.50113=""),"-",(26981.54569-33668.50113)/3307388.5187*100)</f>
        <v>-0.20218233818591014</v>
      </c>
    </row>
    <row r="23" spans="1:7" s="9" customFormat="1" ht="25.5" x14ac:dyDescent="0.25">
      <c r="A23" s="55" t="s">
        <v>25</v>
      </c>
      <c r="B23" s="47">
        <f>IF(84599.66899="","-",84599.66899)</f>
        <v>84599.668990000006</v>
      </c>
      <c r="C23" s="47">
        <f>IF(94227.1607="","-",84599.66899/94227.1607*100)</f>
        <v>89.782678753685516</v>
      </c>
      <c r="D23" s="47">
        <f>IF(94227.1607="","-",94227.1607/3307388.5187*100)</f>
        <v>2.8489897744773227</v>
      </c>
      <c r="E23" s="47">
        <f>IF(84599.66899="","-",84599.66899/2889645.06346*100)</f>
        <v>2.9276837511906102</v>
      </c>
      <c r="F23" s="47">
        <f>IF(3222930.24801="","-",(94227.1607-86115.45101)/3222930.24801*100)</f>
        <v>0.25168741070361572</v>
      </c>
      <c r="G23" s="47">
        <f>IF(3307388.5187="","-",(84599.66899-94227.1607)/3307388.5187*100)</f>
        <v>-0.29109043753299851</v>
      </c>
    </row>
    <row r="24" spans="1:7" s="9" customFormat="1" x14ac:dyDescent="0.25">
      <c r="A24" s="48" t="s">
        <v>256</v>
      </c>
      <c r="B24" s="49">
        <f>IF(28126.84877="","-",28126.84877)</f>
        <v>28126.848770000001</v>
      </c>
      <c r="C24" s="49">
        <f>IF(OR(26687.89334="",28126.84877=""),"-",28126.84877/26687.89334*100)</f>
        <v>105.39179099551963</v>
      </c>
      <c r="D24" s="49">
        <f>IF(26687.89334="","-",26687.89334/3307388.5187*100)</f>
        <v>0.80691739688598563</v>
      </c>
      <c r="E24" s="49">
        <f>IF(28126.84877="","-",28126.84877/2889645.06346*100)</f>
        <v>0.97336690674118664</v>
      </c>
      <c r="F24" s="49">
        <f>IF(OR(3222930.24801="",29932.9851699999="",26687.89334=""),"-",(26687.89334-29932.9851699999)/3222930.24801*100)</f>
        <v>-0.10068762214148404</v>
      </c>
      <c r="G24" s="49">
        <f>IF(OR(3307388.5187="",28126.84877="",26687.89334=""),"-",(28126.84877-26687.89334)/3307388.5187*100)</f>
        <v>4.3507299546579933E-2</v>
      </c>
    </row>
    <row r="25" spans="1:7" s="9" customFormat="1" ht="25.5" x14ac:dyDescent="0.25">
      <c r="A25" s="48" t="s">
        <v>257</v>
      </c>
      <c r="B25" s="49">
        <f>IF(721.96812="","-",721.96812)</f>
        <v>721.96812</v>
      </c>
      <c r="C25" s="49">
        <f>IF(OR(891.32307="",721.96812=""),"-",721.96812/891.32307*100)</f>
        <v>80.999599842064001</v>
      </c>
      <c r="D25" s="49">
        <f>IF(891.32307="","-",891.32307/3307388.5187*100)</f>
        <v>2.6949451658323555E-2</v>
      </c>
      <c r="E25" s="49">
        <f>IF(721.96812="","-",721.96812/2889645.06346*100)</f>
        <v>2.4984664349590763E-2</v>
      </c>
      <c r="F25" s="49">
        <f>IF(OR(3222930.24801="",466.28742="",891.32307=""),"-",(891.32307-466.28742)/3222930.24801*100)</f>
        <v>1.3187863754185758E-2</v>
      </c>
      <c r="G25" s="49">
        <f>IF(OR(3307388.5187="",721.96812="",891.32307=""),"-",(721.96812-891.32307)/3307388.5187*100)</f>
        <v>-5.1205036554509958E-3</v>
      </c>
    </row>
    <row r="26" spans="1:7" s="9" customFormat="1" x14ac:dyDescent="0.25">
      <c r="A26" s="48" t="s">
        <v>258</v>
      </c>
      <c r="B26" s="49">
        <f>IF(19927.66799="","-",19927.66799)</f>
        <v>19927.667990000002</v>
      </c>
      <c r="C26" s="49">
        <f>IF(OR(21044.14008="",19927.66799=""),"-",19927.66799/21044.14008*100)</f>
        <v>94.694617666696317</v>
      </c>
      <c r="D26" s="49">
        <f>IF(21044.14008="","-",21044.14008/3307388.5187*100)</f>
        <v>0.63627662613618785</v>
      </c>
      <c r="E26" s="49">
        <f>IF(19927.66799="","-",19927.66799/2889645.06346*100)</f>
        <v>0.68962338115460564</v>
      </c>
      <c r="F26" s="49">
        <f>IF(OR(3222930.24801="",18406.18377="",21044.14008=""),"-",(21044.14008-18406.18377)/3222930.24801*100)</f>
        <v>8.1849624627427439E-2</v>
      </c>
      <c r="G26" s="49">
        <f>IF(OR(3307388.5187="",19927.66799="",21044.14008=""),"-",(19927.66799-21044.14008)/3307388.5187*100)</f>
        <v>-3.3756907713970032E-2</v>
      </c>
    </row>
    <row r="27" spans="1:7" s="9" customFormat="1" x14ac:dyDescent="0.25">
      <c r="A27" s="48" t="s">
        <v>207</v>
      </c>
      <c r="B27" s="49">
        <f>IF(208.24908="","-",208.24908)</f>
        <v>208.24907999999999</v>
      </c>
      <c r="C27" s="49">
        <f>IF(OR(253.65824="",208.24908=""),"-",208.24908/253.65824*100)</f>
        <v>82.098290991847918</v>
      </c>
      <c r="D27" s="49">
        <f>IF(253.65824="","-",253.65824/3307388.5187*100)</f>
        <v>7.669441874331195E-3</v>
      </c>
      <c r="E27" s="49">
        <f>IF(208.24908="","-",208.24908/2889645.06346*100)</f>
        <v>7.2067356172334516E-3</v>
      </c>
      <c r="F27" s="49">
        <f>IF(OR(3222930.24801="",280.83201="",253.65824=""),"-",(253.65824-280.83201)/3222930.24801*100)</f>
        <v>-8.4313863189494946E-4</v>
      </c>
      <c r="G27" s="49">
        <f>IF(OR(3307388.5187="",208.24908="",253.65824=""),"-",(208.24908-253.65824)/3307388.5187*100)</f>
        <v>-1.3729611668921349E-3</v>
      </c>
    </row>
    <row r="28" spans="1:7" s="9" customFormat="1" ht="14.25" customHeight="1" x14ac:dyDescent="0.25">
      <c r="A28" s="48" t="s">
        <v>208</v>
      </c>
      <c r="B28" s="49">
        <f>IF(4044.8797="","-",4044.8797)</f>
        <v>4044.8797</v>
      </c>
      <c r="C28" s="49">
        <f>IF(OR(4460.87767="",4044.8797=""),"-",4044.8797/4460.87767*100)</f>
        <v>90.674526387539345</v>
      </c>
      <c r="D28" s="49">
        <f>IF(4460.87767="","-",4460.87767/3307388.5187*100)</f>
        <v>0.1348761309649037</v>
      </c>
      <c r="E28" s="49">
        <f>IF(4044.8797="","-",4044.8797/2889645.06346*100)</f>
        <v>0.13997842680224354</v>
      </c>
      <c r="F28" s="49">
        <f>IF(OR(3222930.24801="",4842.72884="",4460.87767=""),"-",(4460.87767-4842.72884)/3222930.24801*100)</f>
        <v>-1.1847950176265033E-2</v>
      </c>
      <c r="G28" s="49">
        <f>IF(OR(3307388.5187="",4044.8797="",4460.87767=""),"-",(4044.8797-4460.87767)/3307388.5187*100)</f>
        <v>-1.2577838002639976E-2</v>
      </c>
    </row>
    <row r="29" spans="1:7" s="9" customFormat="1" ht="15.75" customHeight="1" x14ac:dyDescent="0.25">
      <c r="A29" s="48" t="s">
        <v>209</v>
      </c>
      <c r="B29" s="49">
        <f>IF(8342.00631="","-",8342.00631)</f>
        <v>8342.0063100000007</v>
      </c>
      <c r="C29" s="49">
        <f>IF(OR(16935.14412="",8342.00631=""),"-",8342.00631/16935.14412*100)</f>
        <v>49.25854926825388</v>
      </c>
      <c r="D29" s="49">
        <f>IF(16935.14412="","-",16935.14412/3307388.5187*100)</f>
        <v>0.51203975657073753</v>
      </c>
      <c r="E29" s="49">
        <f>IF(8342.00631="","-",8342.00631/2889645.06346*100)</f>
        <v>0.28868619248384297</v>
      </c>
      <c r="F29" s="49">
        <f>IF(OR(3222930.24801="",8145.77823="",16935.14412=""),"-",(16935.14412-8145.77823)/3222930.24801*100)</f>
        <v>0.27271350025111463</v>
      </c>
      <c r="G29" s="49">
        <f>IF(OR(3307388.5187="",8342.00631="",16935.14412=""),"-",(8342.00631-16935.14412)/3307388.5187*100)</f>
        <v>-0.25981640080729351</v>
      </c>
    </row>
    <row r="30" spans="1:7" s="9" customFormat="1" ht="15" customHeight="1" x14ac:dyDescent="0.25">
      <c r="A30" s="48" t="s">
        <v>210</v>
      </c>
      <c r="B30" s="49">
        <f>IF(801.60272="","-",801.60272)</f>
        <v>801.60271999999998</v>
      </c>
      <c r="C30" s="49">
        <f>IF(OR(825.50879="",801.60272=""),"-",801.60272/825.50879*100)</f>
        <v>97.104080502885978</v>
      </c>
      <c r="D30" s="49">
        <f>IF(825.50879="","-",825.50879/3307388.5187*100)</f>
        <v>2.4959534851517053E-2</v>
      </c>
      <c r="E30" s="49">
        <f>IF(801.60272="","-",801.60272/2889645.06346*100)</f>
        <v>2.7740525303138017E-2</v>
      </c>
      <c r="F30" s="49">
        <f>IF(OR(3222930.24801="",604.02996="",825.50879=""),"-",(825.50879-604.02996)/3222930.24801*100)</f>
        <v>6.8719709381471171E-3</v>
      </c>
      <c r="G30" s="49">
        <f>IF(OR(3307388.5187="",801.60272="",825.50879=""),"-",(801.60272-825.50879)/3307388.5187*100)</f>
        <v>-7.2280803615405015E-4</v>
      </c>
    </row>
    <row r="31" spans="1:7" s="9" customFormat="1" ht="25.5" x14ac:dyDescent="0.25">
      <c r="A31" s="48" t="s">
        <v>211</v>
      </c>
      <c r="B31" s="49">
        <f>IF(22426.4463="","-",22426.4463)</f>
        <v>22426.4463</v>
      </c>
      <c r="C31" s="49">
        <f>IF(OR(23128.61539="",22426.4463=""),"-",22426.4463/23128.61539*100)</f>
        <v>96.964067765580154</v>
      </c>
      <c r="D31" s="49">
        <f>IF(23128.61539="","-",23128.61539/3307388.5187*100)</f>
        <v>0.69930143553533641</v>
      </c>
      <c r="E31" s="49">
        <f>IF(22426.4463="","-",22426.4463/2889645.06346*100)</f>
        <v>0.77609691873876885</v>
      </c>
      <c r="F31" s="49">
        <f>IF(OR(3222930.24801="",23397.05263="",23128.61539=""),"-",(23128.61539-23397.05263)/3222930.24801*100)</f>
        <v>-8.3289807517784777E-3</v>
      </c>
      <c r="G31" s="49">
        <f>IF(OR(3307388.5187="",22426.4463="",23128.61539=""),"-",(22426.4463-23128.61539)/3307388.5187*100)</f>
        <v>-2.1230317697178001E-2</v>
      </c>
    </row>
    <row r="32" spans="1:7" s="9" customFormat="1" ht="25.5" x14ac:dyDescent="0.25">
      <c r="A32" s="55" t="s">
        <v>212</v>
      </c>
      <c r="B32" s="47">
        <f>IF(343884.81706="","-",343884.81706)</f>
        <v>343884.81705999997</v>
      </c>
      <c r="C32" s="47">
        <f>IF(518987.96389="","-",343884.81706/518987.96389*100)</f>
        <v>66.260653615636969</v>
      </c>
      <c r="D32" s="47">
        <f>IF(518987.96389="","-",518987.96389/3307388.5187*100)</f>
        <v>15.691774974595155</v>
      </c>
      <c r="E32" s="47">
        <f>IF(343884.81706="","-",343884.81706/2889645.06346*100)</f>
        <v>11.900590193877983</v>
      </c>
      <c r="F32" s="47">
        <f>IF(3222930.24801="","-",(518987.96389-519776.52508)/3222930.24801*100)</f>
        <v>-2.4467212422201068E-2</v>
      </c>
      <c r="G32" s="47">
        <f>IF(3307388.5187="","-",(343884.81706-518987.96389)/3307388.5187*100)</f>
        <v>-5.2943023125334543</v>
      </c>
    </row>
    <row r="33" spans="1:7" s="9" customFormat="1" x14ac:dyDescent="0.25">
      <c r="A33" s="48" t="s">
        <v>259</v>
      </c>
      <c r="B33" s="49">
        <f>IF(8622.57809="","-",8622.57809)</f>
        <v>8622.5780900000009</v>
      </c>
      <c r="C33" s="49">
        <f>IF(OR(11720.06564="",8622.57809=""),"-",8622.57809/11720.06564*100)</f>
        <v>73.571073361326327</v>
      </c>
      <c r="D33" s="49">
        <f>IF(11720.06564="","-",11720.06564/3307388.5187*100)</f>
        <v>0.35436011142128182</v>
      </c>
      <c r="E33" s="49">
        <f>IF(8622.57809="","-",8622.57809/2889645.06346*100)</f>
        <v>0.29839575105724259</v>
      </c>
      <c r="F33" s="49">
        <f>IF(OR(3222930.24801="",7759.79981="",11720.06564=""),"-",(11720.06564-7759.79981)/3222930.24801*100)</f>
        <v>0.1228778014182984</v>
      </c>
      <c r="G33" s="49">
        <f>IF(OR(3307388.5187="",8622.57809="",11720.06564=""),"-",(8622.57809-11720.06564)/3307388.5187*100)</f>
        <v>-9.3653573884252828E-2</v>
      </c>
    </row>
    <row r="34" spans="1:7" s="9" customFormat="1" ht="25.5" x14ac:dyDescent="0.25">
      <c r="A34" s="48" t="s">
        <v>213</v>
      </c>
      <c r="B34" s="49">
        <f>IF(207623.72998="","-",207623.72998)</f>
        <v>207623.72998</v>
      </c>
      <c r="C34" s="49">
        <f>IF(OR(315454.22257="",207623.72998=""),"-",207623.72998/315454.22257*100)</f>
        <v>65.81738811054521</v>
      </c>
      <c r="D34" s="49">
        <f>IF(315454.22257="","-",315454.22257/3307388.5187*100)</f>
        <v>9.5378641120152476</v>
      </c>
      <c r="E34" s="49">
        <f>IF(207623.72998="","-",207623.72998/2889645.06346*100)</f>
        <v>7.1850945503803763</v>
      </c>
      <c r="F34" s="49">
        <f>IF(OR(3222930.24801="",335959.68164="",315454.22257=""),"-",(315454.22257-335959.68164)/3222930.24801*100)</f>
        <v>-0.63623651435401507</v>
      </c>
      <c r="G34" s="49">
        <f>IF(OR(3307388.5187="",207623.72998="",315454.22257=""),"-",(207623.72998-315454.22257)/3307388.5187*100)</f>
        <v>-3.2602910719537652</v>
      </c>
    </row>
    <row r="35" spans="1:7" s="9" customFormat="1" ht="25.5" x14ac:dyDescent="0.25">
      <c r="A35" s="48" t="s">
        <v>260</v>
      </c>
      <c r="B35" s="49">
        <f>IF(119527.64157="","-",119527.64157)</f>
        <v>119527.64157000001</v>
      </c>
      <c r="C35" s="49">
        <f>IF(OR(166984.43861="",119527.64157=""),"-",119527.64157/166984.43861*100)</f>
        <v>71.580108041781315</v>
      </c>
      <c r="D35" s="49">
        <f>IF(166984.43861="","-",166984.43861/3307388.5187*100)</f>
        <v>5.048830449336954</v>
      </c>
      <c r="E35" s="49">
        <f>IF(119527.64157="","-",119527.64157/2889645.06346*100)</f>
        <v>4.1364125678079002</v>
      </c>
      <c r="F35" s="49">
        <f>IF(OR(3222930.24801="",147469.11923="",166984.43861=""),"-",(166984.43861-147469.11923)/3222930.24801*100)</f>
        <v>0.60551479176596346</v>
      </c>
      <c r="G35" s="49">
        <f>IF(OR(3307388.5187="",119527.64157="",166984.43861=""),"-",(119527.64157-166984.43861)/3307388.5187*100)</f>
        <v>-1.4348721588552089</v>
      </c>
    </row>
    <row r="36" spans="1:7" s="9" customFormat="1" x14ac:dyDescent="0.25">
      <c r="A36" s="48" t="s">
        <v>214</v>
      </c>
      <c r="B36" s="49">
        <f>IF(8110.86742="","-",8110.86742)</f>
        <v>8110.8674199999996</v>
      </c>
      <c r="C36" s="49">
        <f>IF(OR(24829.23707="",8110.86742=""),"-",8110.86742/24829.23707*100)</f>
        <v>32.666599449404671</v>
      </c>
      <c r="D36" s="49">
        <f>IF(24829.23707="","-",24829.23707/3307388.5187*100)</f>
        <v>0.75072030182167293</v>
      </c>
      <c r="E36" s="49">
        <f>IF(8110.86742="","-",8110.86742/2889645.06346*100)</f>
        <v>0.28068732463246604</v>
      </c>
      <c r="F36" s="49">
        <f>IF(OR(3222930.24801="",28587.9244="",24829.23707=""),"-",(24829.23707-28587.9244)/3222930.24801*100)</f>
        <v>-0.11662329125244966</v>
      </c>
      <c r="G36" s="49">
        <f>IF(OR(3307388.5187="",8110.86742="",24829.23707=""),"-",(8110.86742-24829.23707)/3307388.5187*100)</f>
        <v>-0.50548550784022528</v>
      </c>
    </row>
    <row r="37" spans="1:7" s="9" customFormat="1" ht="25.5" x14ac:dyDescent="0.25">
      <c r="A37" s="55" t="s">
        <v>215</v>
      </c>
      <c r="B37" s="47">
        <f>IF(5502.23736="","-",5502.23736)</f>
        <v>5502.2373600000001</v>
      </c>
      <c r="C37" s="47">
        <f>IF(6348.58227="","-",5502.23736/6348.58227*100)</f>
        <v>86.668757306660851</v>
      </c>
      <c r="D37" s="47">
        <f>IF(6348.58227="","-",6348.58227/3307388.5187*100)</f>
        <v>0.19195151201937927</v>
      </c>
      <c r="E37" s="47">
        <f>IF(5502.23736="","-",5502.23736/2889645.06346*100)</f>
        <v>0.19041222154155282</v>
      </c>
      <c r="F37" s="47">
        <f>IF(3222930.24801="","-",(6348.58227-6591.36035)/3222930.24801*100)</f>
        <v>-7.5328369315440045E-3</v>
      </c>
      <c r="G37" s="47">
        <f>IF(3307388.5187="","-",(5502.23736-6348.58227)/3307388.5187*100)</f>
        <v>-2.5589521920837521E-2</v>
      </c>
    </row>
    <row r="38" spans="1:7" s="9" customFormat="1" x14ac:dyDescent="0.25">
      <c r="A38" s="48" t="s">
        <v>269</v>
      </c>
      <c r="B38" s="49">
        <f>IF(809.69745="","-",809.69745)</f>
        <v>809.69745</v>
      </c>
      <c r="C38" s="49">
        <f>IF(OR(856.10738="",809.69745=""),"-",809.69745/856.10738*100)</f>
        <v>94.57895924223898</v>
      </c>
      <c r="D38" s="49">
        <f>IF(856.10738="","-",856.10738/3307388.5187*100)</f>
        <v>2.5884693472193014E-2</v>
      </c>
      <c r="E38" s="49">
        <f>IF(809.69745="","-",809.69745/2889645.06346*100)</f>
        <v>2.8020654170948088E-2</v>
      </c>
      <c r="F38" s="49">
        <f>IF(OR(3222930.24801="",838.24243="",856.10738=""),"-",(856.10738-838.24243)/3222930.24801*100)</f>
        <v>5.5430768354452424E-4</v>
      </c>
      <c r="G38" s="49">
        <f>IF(OR(3307388.5187="",809.69745="",856.10738=""),"-",(809.69745-856.10738)/3307388.5187*100)</f>
        <v>-1.4032197831490899E-3</v>
      </c>
    </row>
    <row r="39" spans="1:7" s="9" customFormat="1" ht="25.5" x14ac:dyDescent="0.25">
      <c r="A39" s="48" t="s">
        <v>216</v>
      </c>
      <c r="B39" s="49">
        <f>IF(3769.11298="","-",3769.11298)</f>
        <v>3769.1129799999999</v>
      </c>
      <c r="C39" s="49">
        <f>IF(OR(3993.58049="",3769.11298=""),"-",3769.11298/3993.58049*100)</f>
        <v>94.379291701718032</v>
      </c>
      <c r="D39" s="49">
        <f>IF(3993.58049="","-",3993.58049/3307388.5187*100)</f>
        <v>0.12074724416016641</v>
      </c>
      <c r="E39" s="49">
        <f>IF(3769.11298="","-",3769.11298/2889645.06346*100)</f>
        <v>0.130435153703166</v>
      </c>
      <c r="F39" s="49">
        <f>IF(OR(3222930.24801="",4181.81333="",3993.58049=""),"-",(3993.58049-4181.81333)/3222930.24801*100)</f>
        <v>-5.8404254983868975E-3</v>
      </c>
      <c r="G39" s="49">
        <f>IF(OR(3307388.5187="",3769.11298="",3993.58049=""),"-",(3769.11298-3993.58049)/3307388.5187*100)</f>
        <v>-6.7868503724572713E-3</v>
      </c>
    </row>
    <row r="40" spans="1:7" s="9" customFormat="1" ht="63.75" x14ac:dyDescent="0.25">
      <c r="A40" s="48" t="s">
        <v>261</v>
      </c>
      <c r="B40" s="49">
        <f>IF(923.42693="","-",923.42693)</f>
        <v>923.42692999999997</v>
      </c>
      <c r="C40" s="49">
        <f>IF(OR(1498.8944="",923.42693=""),"-",923.42693/1498.8944*100)</f>
        <v>61.607203949791256</v>
      </c>
      <c r="D40" s="49">
        <f>IF(1498.8944="","-",1498.8944/3307388.5187*100)</f>
        <v>4.5319574387019834E-2</v>
      </c>
      <c r="E40" s="49">
        <f>IF(923.42693="","-",923.42693/2889645.06346*100)</f>
        <v>3.1956413667438732E-2</v>
      </c>
      <c r="F40" s="49">
        <f>IF(OR(3222930.24801="",1571.30459="",1498.8944=""),"-",(1498.8944-1571.30459)/3222930.24801*100)</f>
        <v>-2.2467191167016339E-3</v>
      </c>
      <c r="G40" s="49">
        <f>IF(OR(3307388.5187="",923.42693="",1498.8944=""),"-",(923.42693-1498.8944)/3307388.5187*100)</f>
        <v>-1.7399451765231163E-2</v>
      </c>
    </row>
    <row r="41" spans="1:7" s="9" customFormat="1" ht="25.5" x14ac:dyDescent="0.25">
      <c r="A41" s="55" t="s">
        <v>217</v>
      </c>
      <c r="B41" s="47">
        <f>IF(474637.18672="","-",474637.18672)</f>
        <v>474637.18672</v>
      </c>
      <c r="C41" s="47">
        <f>IF(495832.34295="","-",474637.18672/495832.34295*100)</f>
        <v>95.725338104429113</v>
      </c>
      <c r="D41" s="47">
        <f>IF(495832.34295="","-",495832.34295/3307388.5187*100)</f>
        <v>14.991657017207388</v>
      </c>
      <c r="E41" s="47">
        <f>IF(474637.18672="","-",474637.18672/2889645.06346*100)</f>
        <v>16.425449364763139</v>
      </c>
      <c r="F41" s="47">
        <f>IF(3222930.24801="","-",(495832.34295-478468.78656)/3222930.24801*100)</f>
        <v>0.53875061058864604</v>
      </c>
      <c r="G41" s="47">
        <f>IF(3307388.5187="","-",(474637.18672-495832.34295)/3307388.5187*100)</f>
        <v>-0.64084265002924357</v>
      </c>
    </row>
    <row r="42" spans="1:7" s="9" customFormat="1" x14ac:dyDescent="0.25">
      <c r="A42" s="48" t="s">
        <v>26</v>
      </c>
      <c r="B42" s="49">
        <f>IF(6481.3449="","-",6481.3449)</f>
        <v>6481.3449000000001</v>
      </c>
      <c r="C42" s="49">
        <f>IF(OR(12467.08583="",6481.3449=""),"-",6481.3449/12467.08583*100)</f>
        <v>51.98764962701793</v>
      </c>
      <c r="D42" s="49">
        <f>IF(12467.08583="","-",12467.08583/3307388.5187*100)</f>
        <v>0.37694651715427452</v>
      </c>
      <c r="E42" s="49">
        <f>IF(6481.3449="","-",6481.3449/2889645.06346*100)</f>
        <v>0.22429553656805779</v>
      </c>
      <c r="F42" s="49">
        <f>IF(OR(3222930.24801="",12821.15006="",12467.08583=""),"-",(12467.08583-12821.15006)/3222930.24801*100)</f>
        <v>-1.0985786311032237E-2</v>
      </c>
      <c r="G42" s="49">
        <f>IF(OR(3307388.5187="",6481.3449="",12467.08583=""),"-",(6481.3449-12467.08583)/3307388.5187*100)</f>
        <v>-0.18098088253486322</v>
      </c>
    </row>
    <row r="43" spans="1:7" s="9" customFormat="1" x14ac:dyDescent="0.25">
      <c r="A43" s="48" t="s">
        <v>27</v>
      </c>
      <c r="B43" s="49">
        <f>IF(9352.68254="","-",9352.68254)</f>
        <v>9352.6825399999998</v>
      </c>
      <c r="C43" s="49">
        <f>IF(OR(9553.54657="",9352.68254=""),"-",9352.68254/9553.54657*100)</f>
        <v>97.897492532974582</v>
      </c>
      <c r="D43" s="49">
        <f>IF(9553.54657="","-",9553.54657/3307388.5187*100)</f>
        <v>0.28885468144985615</v>
      </c>
      <c r="E43" s="49">
        <f>IF(9352.68254="","-",9352.68254/2889645.06346*100)</f>
        <v>0.32366198389781808</v>
      </c>
      <c r="F43" s="49">
        <f>IF(OR(3222930.24801="",8373.90761="",9553.54657=""),"-",(9553.54657-8373.90761)/3222930.24801*100)</f>
        <v>3.6601442452202274E-2</v>
      </c>
      <c r="G43" s="49">
        <f>IF(OR(3307388.5187="",9352.68254="",9553.54657=""),"-",(9352.68254-9553.54657)/3307388.5187*100)</f>
        <v>-6.0731912463357083E-3</v>
      </c>
    </row>
    <row r="44" spans="1:7" s="9" customFormat="1" x14ac:dyDescent="0.25">
      <c r="A44" s="48" t="s">
        <v>218</v>
      </c>
      <c r="B44" s="49">
        <f>IF(21404.23521="","-",21404.23521)</f>
        <v>21404.235209999999</v>
      </c>
      <c r="C44" s="49">
        <f>IF(OR(21447.3184="",21404.23521=""),"-",21404.23521/21447.3184*100)</f>
        <v>99.799120854194996</v>
      </c>
      <c r="D44" s="49">
        <f>IF(21447.3184="","-",21447.3184/3307388.5187*100)</f>
        <v>0.64846685772586743</v>
      </c>
      <c r="E44" s="49">
        <f>IF(21404.23521="","-",21404.23521/2889645.06346*100)</f>
        <v>0.74072194819563819</v>
      </c>
      <c r="F44" s="49">
        <f>IF(OR(3222930.24801="",20792.01276="",21447.3184=""),"-",(21447.3184-20792.01276)/3222930.24801*100)</f>
        <v>2.0332603859627971E-2</v>
      </c>
      <c r="G44" s="49">
        <f>IF(OR(3307388.5187="",21404.23521="",21447.3184=""),"-",(21404.23521-21447.3184)/3307388.5187*100)</f>
        <v>-1.3026346846283258E-3</v>
      </c>
    </row>
    <row r="45" spans="1:7" s="9" customFormat="1" x14ac:dyDescent="0.25">
      <c r="A45" s="48" t="s">
        <v>219</v>
      </c>
      <c r="B45" s="49">
        <f>IF(139195.98297="","-",139195.98297)</f>
        <v>139195.98297000001</v>
      </c>
      <c r="C45" s="49">
        <f>IF(OR(147343.17701="",139195.98297=""),"-",139195.98297/147343.17701*100)</f>
        <v>94.470599721460431</v>
      </c>
      <c r="D45" s="49">
        <f>IF(147343.17701="","-",147343.17701/3307388.5187*100)</f>
        <v>4.4549703240765508</v>
      </c>
      <c r="E45" s="49">
        <f>IF(139195.98297="","-",139195.98297/2889645.06346*100)</f>
        <v>4.817061608366866</v>
      </c>
      <c r="F45" s="49">
        <f>IF(OR(3222930.24801="",133121.43797="",147343.17701=""),"-",(147343.17701-133121.43797)/3222930.24801*100)</f>
        <v>0.44126735441392917</v>
      </c>
      <c r="G45" s="49">
        <f>IF(OR(3307388.5187="",139195.98297="",147343.17701=""),"-",(139195.98297-147343.17701)/3307388.5187*100)</f>
        <v>-0.24633314150834429</v>
      </c>
    </row>
    <row r="46" spans="1:7" s="9" customFormat="1" ht="38.25" x14ac:dyDescent="0.25">
      <c r="A46" s="48" t="s">
        <v>220</v>
      </c>
      <c r="B46" s="49">
        <f>IF(61083.35087="","-",61083.35087)</f>
        <v>61083.350870000002</v>
      </c>
      <c r="C46" s="49">
        <f>IF(OR(63024.11862="",61083.35087=""),"-",61083.35087/63024.11862*100)</f>
        <v>96.920595174520827</v>
      </c>
      <c r="D46" s="49">
        <f>IF(63024.11862="","-",63024.11862/3307388.5187*100)</f>
        <v>1.9055553426415177</v>
      </c>
      <c r="E46" s="49">
        <f>IF(61083.35087="","-",61083.35087/2889645.06346*100)</f>
        <v>2.113870372607634</v>
      </c>
      <c r="F46" s="49">
        <f>IF(OR(3222930.24801="",63827.04687="",63024.11862=""),"-",(63024.11862-63827.04687)/3222930.24801*100)</f>
        <v>-2.4912988746677519E-2</v>
      </c>
      <c r="G46" s="49">
        <f>IF(OR(3307388.5187="",61083.35087="",63024.11862=""),"-",(61083.35087-63024.11862)/3307388.5187*100)</f>
        <v>-5.8679763173479123E-2</v>
      </c>
    </row>
    <row r="47" spans="1:7" s="9" customFormat="1" x14ac:dyDescent="0.25">
      <c r="A47" s="48" t="s">
        <v>221</v>
      </c>
      <c r="B47" s="49">
        <f>IF(53395.00438="","-",53395.00438)</f>
        <v>53395.004379999998</v>
      </c>
      <c r="C47" s="49">
        <f>IF(OR(54565.26106="",53395.00438=""),"-",53395.00438/54565.26106*100)</f>
        <v>97.855308199271363</v>
      </c>
      <c r="D47" s="49">
        <f>IF(54565.26106="","-",54565.26106/3307388.5187*100)</f>
        <v>1.6497989501834331</v>
      </c>
      <c r="E47" s="49">
        <f>IF(53395.00438="","-",53395.00438/2889645.06346*100)</f>
        <v>1.8478049451535736</v>
      </c>
      <c r="F47" s="49">
        <f>IF(OR(3222930.24801="",49239.86471="",54565.26106=""),"-",(54565.26106-49239.86471)/3222930.24801*100)</f>
        <v>0.16523461385142182</v>
      </c>
      <c r="G47" s="49">
        <f>IF(OR(3307388.5187="",53395.00438="",54565.26106=""),"-",(53395.00438-54565.26106)/3307388.5187*100)</f>
        <v>-3.5383102813091302E-2</v>
      </c>
    </row>
    <row r="48" spans="1:7" s="9" customFormat="1" x14ac:dyDescent="0.25">
      <c r="A48" s="48" t="s">
        <v>28</v>
      </c>
      <c r="B48" s="49">
        <f>IF(25639.58274="","-",25639.58274)</f>
        <v>25639.582740000002</v>
      </c>
      <c r="C48" s="49">
        <f>IF(OR(30730.80586="",25639.58274=""),"-",25639.58274/30730.80586*100)</f>
        <v>83.432835626914468</v>
      </c>
      <c r="D48" s="49">
        <f>IF(30730.80586="","-",30730.80586/3307388.5187*100)</f>
        <v>0.92915621150184768</v>
      </c>
      <c r="E48" s="49">
        <f>IF(25639.58274="","-",25639.58274/2889645.06346*100)</f>
        <v>0.88729176687533051</v>
      </c>
      <c r="F48" s="49">
        <f>IF(OR(3222930.24801="",32489.31806="",30730.80586=""),"-",(30730.80586-32489.31806)/3222930.24801*100)</f>
        <v>-5.4562527410755943E-2</v>
      </c>
      <c r="G48" s="49">
        <f>IF(OR(3307388.5187="",25639.58274="",30730.80586=""),"-",(25639.58274-30730.80586)/3307388.5187*100)</f>
        <v>-0.15393483684224529</v>
      </c>
    </row>
    <row r="49" spans="1:7" s="9" customFormat="1" x14ac:dyDescent="0.25">
      <c r="A49" s="48" t="s">
        <v>29</v>
      </c>
      <c r="B49" s="49">
        <f>IF(61613.22206="","-",61613.22206)</f>
        <v>61613.22206</v>
      </c>
      <c r="C49" s="49">
        <f>IF(OR(64439.89421="",61613.22206=""),"-",61613.22206/64439.89421*100)</f>
        <v>95.613474875069954</v>
      </c>
      <c r="D49" s="49">
        <f>IF(64439.89421="","-",64439.89421/3307388.5187*100)</f>
        <v>1.9483617919593161</v>
      </c>
      <c r="E49" s="49">
        <f>IF(61613.22206="","-",61613.22206/2889645.06346*100)</f>
        <v>2.1322072679135764</v>
      </c>
      <c r="F49" s="49">
        <f>IF(OR(3222930.24801="",62193.00616="",64439.89421=""),"-",(64439.89421-62193.00616)/3222930.24801*100)</f>
        <v>6.97156896705209E-2</v>
      </c>
      <c r="G49" s="49">
        <f>IF(OR(3307388.5187="",61613.22206="",64439.89421=""),"-",(61613.22206-64439.89421)/3307388.5187*100)</f>
        <v>-8.5465379528832874E-2</v>
      </c>
    </row>
    <row r="50" spans="1:7" s="9" customFormat="1" x14ac:dyDescent="0.25">
      <c r="A50" s="48" t="s">
        <v>222</v>
      </c>
      <c r="B50" s="49">
        <f>IF(96471.78105="","-",96471.78105)</f>
        <v>96471.781050000005</v>
      </c>
      <c r="C50" s="49">
        <f>IF(OR(92261.13539="",96471.78105=""),"-",96471.78105/92261.13539*100)</f>
        <v>104.56383464413379</v>
      </c>
      <c r="D50" s="49">
        <f>IF(92261.13539="","-",92261.13539/3307388.5187*100)</f>
        <v>2.7895463405147245</v>
      </c>
      <c r="E50" s="49">
        <f>IF(96471.78105="","-",96471.78105/2889645.06346*100)</f>
        <v>3.3385339351846461</v>
      </c>
      <c r="F50" s="49">
        <f>IF(OR(3222930.24801="",95611.04236="",92261.13539=""),"-",(92261.13539-95611.04236)/3222930.24801*100)</f>
        <v>-0.10393979119059163</v>
      </c>
      <c r="G50" s="49">
        <f>IF(OR(3307388.5187="",96471.78105="",92261.13539=""),"-",(96471.78105-92261.13539)/3307388.5187*100)</f>
        <v>0.1273102823025776</v>
      </c>
    </row>
    <row r="51" spans="1:7" s="9" customFormat="1" ht="25.5" x14ac:dyDescent="0.25">
      <c r="A51" s="55" t="s">
        <v>268</v>
      </c>
      <c r="B51" s="47">
        <f>IF(551423.08347="","-",551423.08347)</f>
        <v>551423.08346999995</v>
      </c>
      <c r="C51" s="47">
        <f>IF(635557.85799="","-",551423.08347/635557.85799*100)</f>
        <v>86.76205895933964</v>
      </c>
      <c r="D51" s="47">
        <f>IF(635557.85799="","-",635557.85799/3307388.5187*100)</f>
        <v>19.216304779331217</v>
      </c>
      <c r="E51" s="47">
        <f>IF(551423.08347="","-",551423.08347/2889645.06346*100)</f>
        <v>19.082727164066913</v>
      </c>
      <c r="F51" s="47">
        <f>IF(3222930.24801="","-",(635557.85799-650414.63442)/3222930.24801*100)</f>
        <v>-0.4609710818027567</v>
      </c>
      <c r="G51" s="47">
        <f>IF(3307388.5187="","-",(551423.08347-635557.85799)/3307388.5187*100)</f>
        <v>-2.5438430968814654</v>
      </c>
    </row>
    <row r="52" spans="1:7" s="9" customFormat="1" x14ac:dyDescent="0.25">
      <c r="A52" s="48" t="s">
        <v>223</v>
      </c>
      <c r="B52" s="49">
        <f>IF(22943.27905="","-",22943.27905)</f>
        <v>22943.279050000001</v>
      </c>
      <c r="C52" s="49">
        <f>IF(OR(30786.84395="",22943.27905=""),"-",22943.27905/30786.84395*100)</f>
        <v>74.522997833949788</v>
      </c>
      <c r="D52" s="49">
        <f>IF(30786.84395="","-",30786.84395/3307388.5187*100)</f>
        <v>0.93085054192850181</v>
      </c>
      <c r="E52" s="49">
        <f>IF(22943.27905="","-",22943.27905/2889645.06346*100)</f>
        <v>0.79398260153543576</v>
      </c>
      <c r="F52" s="49">
        <f>IF(OR(3222930.24801="",34913.29831="",30786.84395=""),"-",(30786.84395-34913.29831)/3222930.24801*100)</f>
        <v>-0.12803424345121589</v>
      </c>
      <c r="G52" s="49">
        <f>IF(OR(3307388.5187="",22943.27905="",30786.84395=""),"-",(22943.27905-30786.84395)/3307388.5187*100)</f>
        <v>-0.23715281272981453</v>
      </c>
    </row>
    <row r="53" spans="1:7" s="9" customFormat="1" x14ac:dyDescent="0.25">
      <c r="A53" s="48" t="s">
        <v>30</v>
      </c>
      <c r="B53" s="49">
        <f>IF(29063.78703="","-",29063.78703)</f>
        <v>29063.78703</v>
      </c>
      <c r="C53" s="49">
        <f>IF(OR(34280.07735="",29063.78703=""),"-",29063.78703/34280.07735*100)</f>
        <v>84.78331811582099</v>
      </c>
      <c r="D53" s="49">
        <f>IF(34280.07735="","-",34280.07735/3307388.5187*100)</f>
        <v>1.0364696241817428</v>
      </c>
      <c r="E53" s="49">
        <f>IF(29063.78703="","-",29063.78703/2889645.06346*100)</f>
        <v>1.0057908979035519</v>
      </c>
      <c r="F53" s="49">
        <f>IF(OR(3222930.24801="",35829.92545="",34280.07735=""),"-",(34280.07735-35829.92545)/3222930.24801*100)</f>
        <v>-4.8088167621901136E-2</v>
      </c>
      <c r="G53" s="49">
        <f>IF(OR(3307388.5187="",29063.78703="",34280.07735=""),"-",(29063.78703-34280.07735)/3307388.5187*100)</f>
        <v>-0.15771628553788147</v>
      </c>
    </row>
    <row r="54" spans="1:7" s="9" customFormat="1" x14ac:dyDescent="0.25">
      <c r="A54" s="48" t="s">
        <v>224</v>
      </c>
      <c r="B54" s="49">
        <f>IF(43939.05735="","-",43939.05735)</f>
        <v>43939.057350000003</v>
      </c>
      <c r="C54" s="49">
        <f>IF(OR(49425.50754="",43939.05735=""),"-",43939.05735/49425.50754*100)</f>
        <v>88.899557206246556</v>
      </c>
      <c r="D54" s="49">
        <f>IF(49425.50754="","-",49425.50754/3307388.5187*100)</f>
        <v>1.4943967804371274</v>
      </c>
      <c r="E54" s="49">
        <f>IF(43939.05735="","-",43939.05735/2889645.06346*100)</f>
        <v>1.520569356618086</v>
      </c>
      <c r="F54" s="49">
        <f>IF(OR(3222930.24801="",45176.87657="",49425.50754=""),"-",(49425.50754-45176.87657)/3222930.24801*100)</f>
        <v>0.13182509837509879</v>
      </c>
      <c r="G54" s="49">
        <f>IF(OR(3307388.5187="",43939.05735="",49425.50754=""),"-",(43939.05735-49425.50754)/3307388.5187*100)</f>
        <v>-0.16588465972411662</v>
      </c>
    </row>
    <row r="55" spans="1:7" s="9" customFormat="1" ht="25.5" x14ac:dyDescent="0.25">
      <c r="A55" s="48" t="s">
        <v>225</v>
      </c>
      <c r="B55" s="49">
        <f>IF(51099.59291="","-",51099.59291)</f>
        <v>51099.592909999999</v>
      </c>
      <c r="C55" s="49">
        <f>IF(OR(59138.49364="",51099.59291=""),"-",51099.59291/59138.49364*100)</f>
        <v>86.406652866513554</v>
      </c>
      <c r="D55" s="49">
        <f>IF(59138.49364="","-",59138.49364/3307388.5187*100)</f>
        <v>1.7880721694965833</v>
      </c>
      <c r="E55" s="49">
        <f>IF(51099.59291="","-",51099.59291/2889645.06346*100)</f>
        <v>1.7683691867960569</v>
      </c>
      <c r="F55" s="49">
        <f>IF(OR(3222930.24801="",56339.64007="",59138.49364=""),"-",(59138.49364-56339.64007)/3222930.24801*100)</f>
        <v>8.6841890907448357E-2</v>
      </c>
      <c r="G55" s="49">
        <f>IF(OR(3307388.5187="",51099.59291="",59138.49364=""),"-",(51099.59291-59138.49364)/3307388.5187*100)</f>
        <v>-0.24305885699693261</v>
      </c>
    </row>
    <row r="56" spans="1:7" s="9" customFormat="1" ht="25.5" x14ac:dyDescent="0.25">
      <c r="A56" s="48" t="s">
        <v>226</v>
      </c>
      <c r="B56" s="49">
        <f>IF(140337.26615="","-",140337.26615)</f>
        <v>140337.26615000001</v>
      </c>
      <c r="C56" s="49">
        <f>IF(OR(160693.27593="",140337.26615=""),"-",140337.26615/160693.27593*100)</f>
        <v>87.332382352533955</v>
      </c>
      <c r="D56" s="49">
        <f>IF(160693.27593="","-",160693.27593/3307388.5187*100)</f>
        <v>4.8586150378595985</v>
      </c>
      <c r="E56" s="49">
        <f>IF(140337.26615="","-",140337.26615/2889645.06346*100)</f>
        <v>4.8565572265115193</v>
      </c>
      <c r="F56" s="49">
        <f>IF(OR(3222930.24801="",177575.67687="",160693.27593=""),"-",(160693.27593-177575.67687)/3222930.24801*100)</f>
        <v>-0.52382148048112542</v>
      </c>
      <c r="G56" s="49">
        <f>IF(OR(3307388.5187="",140337.26615="",160693.27593=""),"-",(140337.26615-160693.27593)/3307388.5187*100)</f>
        <v>-0.61547077595834165</v>
      </c>
    </row>
    <row r="57" spans="1:7" s="9" customFormat="1" x14ac:dyDescent="0.25">
      <c r="A57" s="48" t="s">
        <v>31</v>
      </c>
      <c r="B57" s="49">
        <f>IF(72568.08711="","-",72568.08711)</f>
        <v>72568.087109999993</v>
      </c>
      <c r="C57" s="49">
        <f>IF(OR(72820.96236="",72568.08711=""),"-",72568.08711/72820.96236*100)</f>
        <v>99.652743877854988</v>
      </c>
      <c r="D57" s="49">
        <f>IF(72820.96236="","-",72820.96236/3307388.5187*100)</f>
        <v>2.2017661955427892</v>
      </c>
      <c r="E57" s="49">
        <f>IF(72568.08711="","-",72568.08711/2889645.06346*100)</f>
        <v>2.5113149025682935</v>
      </c>
      <c r="F57" s="49">
        <f>IF(OR(3222930.24801="",68384.29799="",72820.96236=""),"-",(72820.96236-68384.29799)/3222930.24801*100)</f>
        <v>0.13765933571598141</v>
      </c>
      <c r="G57" s="49">
        <f>IF(OR(3307388.5187="",72568.08711="",72820.96236=""),"-",(72568.08711-72820.96236)/3307388.5187*100)</f>
        <v>-7.6457679093415633E-3</v>
      </c>
    </row>
    <row r="58" spans="1:7" s="9" customFormat="1" ht="16.5" customHeight="1" x14ac:dyDescent="0.25">
      <c r="A58" s="48" t="s">
        <v>227</v>
      </c>
      <c r="B58" s="49">
        <f>IF(71074.28569="","-",71074.28569)</f>
        <v>71074.285690000004</v>
      </c>
      <c r="C58" s="49">
        <f>IF(OR(75246.74421="",71074.28569=""),"-",71074.28569/75246.74421*100)</f>
        <v>94.454964711356254</v>
      </c>
      <c r="D58" s="49">
        <f>IF(75246.74421="","-",75246.74421/3307388.5187*100)</f>
        <v>2.2751105225332418</v>
      </c>
      <c r="E58" s="49">
        <f>IF(71074.28569="","-",71074.28569/2889645.06346*100)</f>
        <v>2.4596199231782867</v>
      </c>
      <c r="F58" s="49">
        <f>IF(OR(3222930.24801="",77226.7179="",75246.74421=""),"-",(75246.74421-77226.7179)/3222930.24801*100)</f>
        <v>-6.1433960329192183E-2</v>
      </c>
      <c r="G58" s="49">
        <f>IF(OR(3307388.5187="",71074.28569="",75246.74421=""),"-",(71074.28569-75246.74421)/3307388.5187*100)</f>
        <v>-0.12615568133011551</v>
      </c>
    </row>
    <row r="59" spans="1:7" s="9" customFormat="1" ht="16.5" customHeight="1" x14ac:dyDescent="0.25">
      <c r="A59" s="48" t="s">
        <v>32</v>
      </c>
      <c r="B59" s="49">
        <f>IF(35872.46695="","-",35872.46695)</f>
        <v>35872.466950000002</v>
      </c>
      <c r="C59" s="49">
        <f>IF(OR(55497.60482="",35872.46695=""),"-",35872.46695/55497.60482*100)</f>
        <v>64.637865122915045</v>
      </c>
      <c r="D59" s="49">
        <f>IF(55497.60482="","-",55497.60482/3307388.5187*100)</f>
        <v>1.6779886761478464</v>
      </c>
      <c r="E59" s="49">
        <f>IF(35872.46695="","-",35872.46695/2889645.06346*100)</f>
        <v>1.2414142969879862</v>
      </c>
      <c r="F59" s="49">
        <f>IF(OR(3222930.24801="",61134.48539="",55497.60482=""),"-",(55497.60482-61134.48539)/3222930.24801*100)</f>
        <v>-0.174899241877186</v>
      </c>
      <c r="G59" s="49">
        <f>IF(OR(3307388.5187="",35872.46695="",55497.60482=""),"-",(35872.46695-55497.60482)/3307388.5187*100)</f>
        <v>-0.59337261888161363</v>
      </c>
    </row>
    <row r="60" spans="1:7" s="9" customFormat="1" ht="16.5" customHeight="1" x14ac:dyDescent="0.25">
      <c r="A60" s="48" t="s">
        <v>33</v>
      </c>
      <c r="B60" s="49">
        <f>IF(84525.26123="","-",84525.26123)</f>
        <v>84525.261230000004</v>
      </c>
      <c r="C60" s="49">
        <f>IF(OR(97668.34819="",84525.26123=""),"-",84525.26123/97668.34819*100)</f>
        <v>86.543146061575669</v>
      </c>
      <c r="D60" s="49">
        <f>IF(97668.34819="","-",97668.34819/3307388.5187*100)</f>
        <v>2.9530352312037857</v>
      </c>
      <c r="E60" s="49">
        <f>IF(84525.26123="","-",84525.26123/2889645.06346*100)</f>
        <v>2.925108771967698</v>
      </c>
      <c r="F60" s="49">
        <f>IF(OR(3222930.24801="",93833.71587="",97668.34819=""),"-",(97668.34819-93833.71587)/3222930.24801*100)</f>
        <v>0.1189796869593346</v>
      </c>
      <c r="G60" s="49">
        <f>IF(OR(3307388.5187="",84525.26123="",97668.34819=""),"-",(84525.26123-97668.34819)/3307388.5187*100)</f>
        <v>-0.39738563781330455</v>
      </c>
    </row>
    <row r="61" spans="1:7" s="9" customFormat="1" ht="15.75" customHeight="1" x14ac:dyDescent="0.25">
      <c r="A61" s="55" t="s">
        <v>228</v>
      </c>
      <c r="B61" s="47">
        <f>IF(722117.67784="","-",722117.67784)</f>
        <v>722117.67784000002</v>
      </c>
      <c r="C61" s="47">
        <f>IF(795379.79928="","-",722117.67784/795379.79928*100)</f>
        <v>90.789039210410053</v>
      </c>
      <c r="D61" s="47">
        <f>IF(795379.79928="","-",795379.79928/3307388.5187*100)</f>
        <v>24.048574722410645</v>
      </c>
      <c r="E61" s="47">
        <f>IF(722117.67784="","-",722117.67784/2889645.06346*100)</f>
        <v>24.98983999700474</v>
      </c>
      <c r="F61" s="47">
        <f>IF(3222930.24801="","-",(795379.79928-774581.62705)/3222930.24801*100)</f>
        <v>0.64531872021871606</v>
      </c>
      <c r="G61" s="47">
        <f>IF(3307388.5187="","-",(722117.67784-795379.79928)/3307388.5187*100)</f>
        <v>-2.2151047881364834</v>
      </c>
    </row>
    <row r="62" spans="1:7" s="9" customFormat="1" ht="25.5" x14ac:dyDescent="0.25">
      <c r="A62" s="48" t="s">
        <v>229</v>
      </c>
      <c r="B62" s="49">
        <f>IF(9362.61791="","-",9362.61791)</f>
        <v>9362.6179100000008</v>
      </c>
      <c r="C62" s="49">
        <f>IF(OR(11353.36811="",9362.61791=""),"-",9362.61791/11353.36811*100)</f>
        <v>82.465554003780127</v>
      </c>
      <c r="D62" s="49">
        <f>IF(11353.36811="","-",11353.36811/3307388.5187*100)</f>
        <v>0.34327288874010325</v>
      </c>
      <c r="E62" s="49">
        <f>IF(9362.61791="","-",9362.61791/2889645.06346*100)</f>
        <v>0.32400581055409622</v>
      </c>
      <c r="F62" s="49">
        <f>IF(OR(3222930.24801="",15605.74005="",11353.36811=""),"-",(11353.36811-15605.74005)/3222930.24801*100)</f>
        <v>-0.13194117193897167</v>
      </c>
      <c r="G62" s="49">
        <f>IF(OR(3307388.5187="",9362.61791="",11353.36811=""),"-",(9362.61791-11353.36811)/3307388.5187*100)</f>
        <v>-6.0190999295797333E-2</v>
      </c>
    </row>
    <row r="63" spans="1:7" s="9" customFormat="1" ht="25.5" x14ac:dyDescent="0.25">
      <c r="A63" s="48" t="s">
        <v>230</v>
      </c>
      <c r="B63" s="49">
        <f>IF(92902.81977="","-",92902.81977)</f>
        <v>92902.819770000002</v>
      </c>
      <c r="C63" s="49">
        <f>IF(OR(119578.81358="",92902.81977=""),"-",92902.81977/119578.81358*100)</f>
        <v>77.691705569437374</v>
      </c>
      <c r="D63" s="49">
        <f>IF(119578.81358="","-",119578.81358/3307388.5187*100)</f>
        <v>3.6155054933492234</v>
      </c>
      <c r="E63" s="49">
        <f>IF(92902.81977="","-",92902.81977/2889645.06346*100)</f>
        <v>3.2150252965241393</v>
      </c>
      <c r="F63" s="49">
        <f>IF(OR(3222930.24801="",130657.88828="",119578.81358=""),"-",(119578.81358-130657.88828)/3222930.24801*100)</f>
        <v>-0.34375781811724837</v>
      </c>
      <c r="G63" s="49">
        <f>IF(OR(3307388.5187="",92902.81977="",119578.81358=""),"-",(92902.81977-119578.81358)/3307388.5187*100)</f>
        <v>-0.80655761060951048</v>
      </c>
    </row>
    <row r="64" spans="1:7" s="9" customFormat="1" ht="25.5" x14ac:dyDescent="0.25">
      <c r="A64" s="48" t="s">
        <v>231</v>
      </c>
      <c r="B64" s="49">
        <f>IF(8106.31156="","-",8106.31156)</f>
        <v>8106.3115600000001</v>
      </c>
      <c r="C64" s="49">
        <f>IF(OR(6273.21266="",8106.31156=""),"-",8106.31156/6273.21266*100)</f>
        <v>129.2210546549525</v>
      </c>
      <c r="D64" s="49">
        <f>IF(6273.21266="","-",6273.21266/3307388.5187*100)</f>
        <v>0.18967268660851933</v>
      </c>
      <c r="E64" s="49">
        <f>IF(8106.31156="","-",8106.31156/2889645.06346*100)</f>
        <v>0.28052966305466159</v>
      </c>
      <c r="F64" s="49">
        <f>IF(OR(3222930.24801="",7685.22424="",6273.21266=""),"-",(6273.21266-7685.22424)/3222930.24801*100)</f>
        <v>-4.3811422256868474E-2</v>
      </c>
      <c r="G64" s="49">
        <f>IF(OR(3307388.5187="",8106.31156="",6273.21266=""),"-",(8106.31156-6273.21266)/3307388.5187*100)</f>
        <v>5.5424359419392208E-2</v>
      </c>
    </row>
    <row r="65" spans="1:7" s="9" customFormat="1" ht="27" customHeight="1" x14ac:dyDescent="0.25">
      <c r="A65" s="48" t="s">
        <v>232</v>
      </c>
      <c r="B65" s="49">
        <f>IF(112229.29338="","-",112229.29338)</f>
        <v>112229.29338</v>
      </c>
      <c r="C65" s="49">
        <f>IF(OR(111317.24621="",112229.29338=""),"-",112229.29338/111317.24621*100)</f>
        <v>100.81932243300326</v>
      </c>
      <c r="D65" s="49">
        <f>IF(111317.24621="","-",111317.24621/3307388.5187*100)</f>
        <v>3.3657142358876633</v>
      </c>
      <c r="E65" s="49">
        <f>IF(112229.29338="","-",112229.29338/2889645.06346*100)</f>
        <v>3.8838435487858507</v>
      </c>
      <c r="F65" s="49">
        <f>IF(OR(3222930.24801="",100874.91985="",111317.24621=""),"-",(111317.24621-100874.91985)/3222930.24801*100)</f>
        <v>0.32400100394501591</v>
      </c>
      <c r="G65" s="49">
        <f>IF(OR(3307388.5187="",112229.29338="",111317.24621=""),"-",(112229.29338-111317.24621)/3307388.5187*100)</f>
        <v>2.7576051765412005E-2</v>
      </c>
    </row>
    <row r="66" spans="1:7" s="9" customFormat="1" ht="25.5" x14ac:dyDescent="0.25">
      <c r="A66" s="48" t="s">
        <v>233</v>
      </c>
      <c r="B66" s="49">
        <f>IF(26160.24144="","-",26160.24144)</f>
        <v>26160.241440000002</v>
      </c>
      <c r="C66" s="49">
        <f>IF(OR(25344.06577="",26160.24144=""),"-",26160.24144/25344.06577*100)</f>
        <v>103.22038175487262</v>
      </c>
      <c r="D66" s="49">
        <f>IF(25344.06577="","-",25344.06577/3307388.5187*100)</f>
        <v>0.76628632005899699</v>
      </c>
      <c r="E66" s="49">
        <f>IF(26160.24144="","-",26160.24144/2889645.06346*100)</f>
        <v>0.90530985174616163</v>
      </c>
      <c r="F66" s="49">
        <f>IF(OR(3222930.24801="",29837.81718="",25344.06577=""),"-",(25344.06577-29837.81718)/3222930.24801*100)</f>
        <v>-0.13943061326799319</v>
      </c>
      <c r="G66" s="49">
        <f>IF(OR(3307388.5187="",26160.24144="",25344.06577=""),"-",(26160.24144-25344.06577)/3307388.5187*100)</f>
        <v>2.4677344841264853E-2</v>
      </c>
    </row>
    <row r="67" spans="1:7" s="9" customFormat="1" ht="38.25" x14ac:dyDescent="0.25">
      <c r="A67" s="48" t="s">
        <v>234</v>
      </c>
      <c r="B67" s="49">
        <f>IF(80126.65702="","-",80126.65702)</f>
        <v>80126.657019999999</v>
      </c>
      <c r="C67" s="49">
        <f>IF(OR(84110.59636="",80126.65702=""),"-",80126.65702/84110.59636*100)</f>
        <v>95.26345132193758</v>
      </c>
      <c r="D67" s="49">
        <f>IF(84110.59636="","-",84110.59636/3307388.5187*100)</f>
        <v>2.5431120621129946</v>
      </c>
      <c r="E67" s="49">
        <f>IF(80126.65702="","-",80126.65702/2889645.06346*100)</f>
        <v>2.7728892393468572</v>
      </c>
      <c r="F67" s="49">
        <f>IF(OR(3222930.24801="",76639.2028="",84110.59636=""),"-",(84110.59636-76639.2028)/3222930.24801*100)</f>
        <v>0.23181989633853267</v>
      </c>
      <c r="G67" s="49">
        <f>IF(OR(3307388.5187="",80126.65702="",84110.59636=""),"-",(80126.65702-84110.59636)/3307388.5187*100)</f>
        <v>-0.12045574075965897</v>
      </c>
    </row>
    <row r="68" spans="1:7" s="9" customFormat="1" ht="51" x14ac:dyDescent="0.25">
      <c r="A68" s="48" t="s">
        <v>235</v>
      </c>
      <c r="B68" s="49">
        <f>IF(198867.75402="","-",198867.75402)</f>
        <v>198867.75401999999</v>
      </c>
      <c r="C68" s="49">
        <f>IF(OR(244831.01241="",198867.75402=""),"-",198867.75402/244831.01241*100)</f>
        <v>81.226537464531319</v>
      </c>
      <c r="D68" s="49">
        <f>IF(244831.01241="","-",244831.01241/3307388.5187*100)</f>
        <v>7.4025476905940621</v>
      </c>
      <c r="E68" s="49">
        <f>IF(198867.75402="","-",198867.75402/2889645.06346*100)</f>
        <v>6.882082389104216</v>
      </c>
      <c r="F68" s="49">
        <f>IF(OR(3222930.24801="",240305.13473="",244831.01241=""),"-",(244831.01241-240305.13473)/3222930.24801*100)</f>
        <v>0.14042741641071849</v>
      </c>
      <c r="G68" s="49">
        <f>IF(OR(3307388.5187="",198867.75402="",244831.01241=""),"-",(198867.75402-244831.01241)/3307388.5187*100)</f>
        <v>-1.3897145173638774</v>
      </c>
    </row>
    <row r="69" spans="1:7" s="9" customFormat="1" ht="25.5" x14ac:dyDescent="0.25">
      <c r="A69" s="48" t="s">
        <v>236</v>
      </c>
      <c r="B69" s="49">
        <f>IF(143043.61582="","-",143043.61582)</f>
        <v>143043.61582000001</v>
      </c>
      <c r="C69" s="49">
        <f>IF(OR(188654.23321="",143043.61582=""),"-",143043.61582/188654.23321*100)</f>
        <v>75.82316780603135</v>
      </c>
      <c r="D69" s="49">
        <f>IF(188654.23321="","-",188654.23321/3307388.5187*100)</f>
        <v>5.7040239495102414</v>
      </c>
      <c r="E69" s="49">
        <f>IF(143043.61582="","-",143043.61582/2889645.06346*100)</f>
        <v>4.9502140463134463</v>
      </c>
      <c r="F69" s="49">
        <f>IF(OR(3222930.24801="",171311.3306="",188654.23321=""),"-",(188654.23321-171311.3306)/3222930.24801*100)</f>
        <v>0.53810977202216526</v>
      </c>
      <c r="G69" s="49">
        <f>IF(OR(3307388.5187="",143043.61582="",188654.23321=""),"-",(143043.61582-188654.23321)/3307388.5187*100)</f>
        <v>-1.3790522985768747</v>
      </c>
    </row>
    <row r="70" spans="1:7" s="9" customFormat="1" x14ac:dyDescent="0.25">
      <c r="A70" s="48" t="s">
        <v>34</v>
      </c>
      <c r="B70" s="49">
        <f>IF(51318.36692="","-",51318.36692)</f>
        <v>51318.36692</v>
      </c>
      <c r="C70" s="49" t="s">
        <v>295</v>
      </c>
      <c r="D70" s="49">
        <f>IF(3917.25097="","-",3917.25097/3307388.5187*100)</f>
        <v>0.1184393955488396</v>
      </c>
      <c r="E70" s="49">
        <f>IF(51318.36692="","-",51318.36692/2889645.06346*100)</f>
        <v>1.7759401515753104</v>
      </c>
      <c r="F70" s="49">
        <f>IF(OR(3222930.24801="",1664.36932="",3917.25097=""),"-",(3917.25097-1664.36932)/3222930.24801*100)</f>
        <v>6.9901657083365154E-2</v>
      </c>
      <c r="G70" s="49">
        <f>IF(OR(3307388.5187="",51318.36692="",3917.25097=""),"-",(51318.36692-3917.25097)/3307388.5187*100)</f>
        <v>1.4331886224431671</v>
      </c>
    </row>
    <row r="71" spans="1:7" s="9" customFormat="1" x14ac:dyDescent="0.25">
      <c r="A71" s="55" t="s">
        <v>35</v>
      </c>
      <c r="B71" s="47">
        <f>IF(289110.33101="","-",289110.33101)</f>
        <v>289110.33101000002</v>
      </c>
      <c r="C71" s="47">
        <f>IF(350133.72223="","-",289110.33101/350133.72223*100)</f>
        <v>82.57140419627612</v>
      </c>
      <c r="D71" s="47">
        <f>IF(350133.72223="","-",350133.72223/3307388.5187*100)</f>
        <v>10.586410403565873</v>
      </c>
      <c r="E71" s="47">
        <f>IF(289110.33101="","-",289110.33101/2889645.06346*100)</f>
        <v>10.005046455907129</v>
      </c>
      <c r="F71" s="47">
        <f>IF(3222930.24801="","-",(350133.72223-323508.51962)/3222930.24801*100)</f>
        <v>0.82611786669723242</v>
      </c>
      <c r="G71" s="47">
        <f>IF(3307388.5187="","-",(289110.33101-350133.72223)/3307388.5187*100)</f>
        <v>-1.8450626793608693</v>
      </c>
    </row>
    <row r="72" spans="1:7" s="9" customFormat="1" ht="38.25" x14ac:dyDescent="0.25">
      <c r="A72" s="48" t="s">
        <v>237</v>
      </c>
      <c r="B72" s="49">
        <f>IF(23500.78154="","-",23500.78154)</f>
        <v>23500.78154</v>
      </c>
      <c r="C72" s="49">
        <f>IF(OR(24389.37535="",23500.78154=""),"-",23500.78154/24389.37535*100)</f>
        <v>96.35663563642683</v>
      </c>
      <c r="D72" s="49">
        <f>IF(24389.37535="","-",24389.37535/3307388.5187*100)</f>
        <v>0.73742093534225828</v>
      </c>
      <c r="E72" s="49">
        <f>IF(23500.78154="","-",23500.78154/2889645.06346*100)</f>
        <v>0.81327571462568005</v>
      </c>
      <c r="F72" s="49">
        <f>IF(OR(3222930.24801="",22161.17279="",24389.37535=""),"-",(24389.37535-22161.17279)/3222930.24801*100)</f>
        <v>6.9135922546750814E-2</v>
      </c>
      <c r="G72" s="49">
        <f>IF(OR(3307388.5187="",23500.78154="",24389.37535=""),"-",(23500.78154-24389.37535)/3307388.5187*100)</f>
        <v>-2.6866931567787768E-2</v>
      </c>
    </row>
    <row r="73" spans="1:7" s="9" customFormat="1" x14ac:dyDescent="0.25">
      <c r="A73" s="48" t="s">
        <v>238</v>
      </c>
      <c r="B73" s="49">
        <f>IF(26291.72521="","-",26291.72521)</f>
        <v>26291.725210000001</v>
      </c>
      <c r="C73" s="49">
        <f>IF(OR(30668.27196="",26291.72521=""),"-",26291.72521/30668.27196*100)</f>
        <v>85.729398918503662</v>
      </c>
      <c r="D73" s="49">
        <f>IF(30668.27196="","-",30668.27196/3307388.5187*100)</f>
        <v>0.92726547808342907</v>
      </c>
      <c r="E73" s="49">
        <f>IF(26291.72521="","-",26291.72521/2889645.06346*100)</f>
        <v>0.90986002199587945</v>
      </c>
      <c r="F73" s="49">
        <f>IF(OR(3222930.24801="",29486.60797="",30668.27196=""),"-",(30668.27196-29486.60797)/3222930.24801*100)</f>
        <v>3.6664274404623443E-2</v>
      </c>
      <c r="G73" s="49">
        <f>IF(OR(3307388.5187="",26291.72521="",30668.27196=""),"-",(26291.72521-30668.27196)/3307388.5187*100)</f>
        <v>-0.13232635734371603</v>
      </c>
    </row>
    <row r="74" spans="1:7" x14ac:dyDescent="0.25">
      <c r="A74" s="48" t="s">
        <v>239</v>
      </c>
      <c r="B74" s="49">
        <f>IF(4421.80451="","-",4421.80451)</f>
        <v>4421.8045099999999</v>
      </c>
      <c r="C74" s="49">
        <f>IF(OR(5649.74627="",4421.80451=""),"-",4421.80451/5649.74627*100)</f>
        <v>78.265541471829678</v>
      </c>
      <c r="D74" s="49">
        <f>IF(5649.74627="","-",5649.74627/3307388.5187*100)</f>
        <v>0.17082197141509958</v>
      </c>
      <c r="E74" s="49">
        <f>IF(4421.80451="","-",4421.80451/2889645.06346*100)</f>
        <v>0.1530224097732413</v>
      </c>
      <c r="F74" s="49">
        <f>IF(OR(3222930.24801="",4798.465="",5649.74627=""),"-",(5649.74627-4798.465)/3222930.24801*100)</f>
        <v>2.6413270052171419E-2</v>
      </c>
      <c r="G74" s="49">
        <f>IF(OR(3307388.5187="",4421.80451="",5649.74627=""),"-",(4421.80451-5649.74627)/3307388.5187*100)</f>
        <v>-3.7127230534217785E-2</v>
      </c>
    </row>
    <row r="75" spans="1:7" x14ac:dyDescent="0.25">
      <c r="A75" s="48" t="s">
        <v>240</v>
      </c>
      <c r="B75" s="49">
        <f>IF(65229.13849="","-",65229.13849)</f>
        <v>65229.138489999998</v>
      </c>
      <c r="C75" s="49">
        <f>IF(OR(80495.30596="",65229.13849=""),"-",65229.13849/80495.30596*100)</f>
        <v>81.034710921421777</v>
      </c>
      <c r="D75" s="49">
        <f>IF(80495.30596="","-",80495.30596/3307388.5187*100)</f>
        <v>2.4338025455696819</v>
      </c>
      <c r="E75" s="49">
        <f>IF(65229.13849="","-",65229.13849/2889645.06346*100)</f>
        <v>2.2573408518171436</v>
      </c>
      <c r="F75" s="49">
        <f>IF(OR(3222930.24801="",81493.84943="",80495.30596=""),"-",(80495.30596-81493.84943)/3222930.24801*100)</f>
        <v>-3.0982472258484502E-2</v>
      </c>
      <c r="G75" s="49">
        <f>IF(OR(3307388.5187="",65229.13849="",80495.30596=""),"-",(65229.13849-80495.30596)/3307388.5187*100)</f>
        <v>-0.46157768836908553</v>
      </c>
    </row>
    <row r="76" spans="1:7" x14ac:dyDescent="0.25">
      <c r="A76" s="48" t="s">
        <v>241</v>
      </c>
      <c r="B76" s="49">
        <f>IF(20683.4726="","-",20683.4726)</f>
        <v>20683.472600000001</v>
      </c>
      <c r="C76" s="49">
        <f>IF(OR(26868.23658="",20683.4726=""),"-",20683.4726/26868.23658*100)</f>
        <v>76.981131747947416</v>
      </c>
      <c r="D76" s="49">
        <f>IF(26868.23658="","-",26868.23658/3307388.5187*100)</f>
        <v>0.81237013517120193</v>
      </c>
      <c r="E76" s="49">
        <f>IF(20683.4726="","-",20683.4726/2889645.06346*100)</f>
        <v>0.71577900211848333</v>
      </c>
      <c r="F76" s="49">
        <f>IF(OR(3222930.24801="",23707.10257="",26868.23658=""),"-",(26868.23658-23707.10257)/3222930.24801*100)</f>
        <v>9.8082607029793628E-2</v>
      </c>
      <c r="G76" s="49">
        <f>IF(OR(3307388.5187="",20683.4726="",26868.23658=""),"-",(20683.4726-26868.23658)/3307388.5187*100)</f>
        <v>-0.18699841113408047</v>
      </c>
    </row>
    <row r="77" spans="1:7" ht="25.5" x14ac:dyDescent="0.25">
      <c r="A77" s="48" t="s">
        <v>242</v>
      </c>
      <c r="B77" s="49">
        <f>IF(29738.94432="","-",29738.94432)</f>
        <v>29738.944319999999</v>
      </c>
      <c r="C77" s="49">
        <f>IF(OR(35852.24147="",29738.94432=""),"-",29738.94432/35852.24147*100)</f>
        <v>82.948633336871254</v>
      </c>
      <c r="D77" s="49">
        <f>IF(35852.24147="","-",35852.24147/3307388.5187*100)</f>
        <v>1.0840045331019066</v>
      </c>
      <c r="E77" s="49">
        <f>IF(29738.94432="","-",29738.94432/2889645.06346*100)</f>
        <v>1.0291556113950968</v>
      </c>
      <c r="F77" s="49">
        <f>IF(OR(3222930.24801="",32126.54699="",35852.24147=""),"-",(35852.24147-32126.54699)/3222930.24801*100)</f>
        <v>0.11559960015580337</v>
      </c>
      <c r="G77" s="49">
        <f>IF(OR(3307388.5187="",29738.94432="",35852.24147=""),"-",(29738.94432-35852.24147)/3307388.5187*100)</f>
        <v>-0.18483758758414298</v>
      </c>
    </row>
    <row r="78" spans="1:7" ht="25.5" x14ac:dyDescent="0.25">
      <c r="A78" s="48" t="s">
        <v>243</v>
      </c>
      <c r="B78" s="49">
        <f>IF(5793.51452="","-",5793.51452)</f>
        <v>5793.5145199999997</v>
      </c>
      <c r="C78" s="49">
        <f>IF(OR(6888.88262="",5793.51452=""),"-",5793.51452/6888.88262*100)</f>
        <v>84.099480853108204</v>
      </c>
      <c r="D78" s="49">
        <f>IF(6888.88262="","-",6888.88262/3307388.5187*100)</f>
        <v>0.20828767412870322</v>
      </c>
      <c r="E78" s="49">
        <f>IF(5793.51452="","-",5793.51452/2889645.06346*100)</f>
        <v>0.20049225398855622</v>
      </c>
      <c r="F78" s="49">
        <f>IF(OR(3222930.24801="",7348.83291="",6888.88262=""),"-",(6888.88262-7348.83291)/3222930.24801*100)</f>
        <v>-1.4271183507120463E-2</v>
      </c>
      <c r="G78" s="49">
        <f>IF(OR(3307388.5187="",5793.51452="",6888.88262=""),"-",(5793.51452-6888.88262)/3307388.5187*100)</f>
        <v>-3.3118821505450022E-2</v>
      </c>
    </row>
    <row r="79" spans="1:7" x14ac:dyDescent="0.25">
      <c r="A79" s="51" t="s">
        <v>36</v>
      </c>
      <c r="B79" s="49">
        <f>IF(113450.94982="","-",113450.94982)</f>
        <v>113450.94981999999</v>
      </c>
      <c r="C79" s="49">
        <f>IF(OR(139321.66202="",113450.94982=""),"-",113450.94982/139321.66202*100)</f>
        <v>81.43094776152887</v>
      </c>
      <c r="D79" s="49">
        <f>IF(139321.66202="","-",139321.66202/3307388.5187*100)</f>
        <v>4.2124371307535915</v>
      </c>
      <c r="E79" s="49">
        <f>IF(113450.94982="","-",113450.94982/2889645.06346*100)</f>
        <v>3.9261205901930469</v>
      </c>
      <c r="F79" s="49">
        <f>IF(OR(3222930.24801="",122385.94196="",139321.66202=""),"-",(139321.66202-122385.94196)/3222930.24801*100)</f>
        <v>0.5254758482736932</v>
      </c>
      <c r="G79" s="49">
        <f>IF(OR(3307388.5187="",113450.94982="",139321.66202=""),"-",(113450.94982-139321.66202)/3307388.5187*100)</f>
        <v>-0.78220965132238895</v>
      </c>
    </row>
    <row r="80" spans="1:7" ht="25.5" x14ac:dyDescent="0.25">
      <c r="A80" s="56" t="s">
        <v>244</v>
      </c>
      <c r="B80" s="57">
        <f>IF(178.53625="","-",178.53625)</f>
        <v>178.53625</v>
      </c>
      <c r="C80" s="57">
        <f>IF(141.54216="","-",178.53625/141.54216*100)</f>
        <v>126.13644584765416</v>
      </c>
      <c r="D80" s="57">
        <f>IF(141.54216="","-",141.54216/3307388.5187*100)</f>
        <v>4.2795746311544451E-3</v>
      </c>
      <c r="E80" s="57">
        <f>IF(178.53625="","-",178.53625/2889645.06346*100)</f>
        <v>6.1784837265177646E-3</v>
      </c>
      <c r="F80" s="57">
        <f>IF(3222930.24801="","-",(141.54216-296.4733)/3222930.24801*100)</f>
        <v>-4.8071515074104478E-3</v>
      </c>
      <c r="G80" s="57">
        <f>IF(3307388.5187="","-",(178.53625-141.54216)/3307388.5187*100)</f>
        <v>1.1185287059816266E-3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F75" sqref="F75"/>
    </sheetView>
  </sheetViews>
  <sheetFormatPr defaultRowHeight="15.75" x14ac:dyDescent="0.25"/>
  <cols>
    <col min="1" max="1" width="42.125" customWidth="1"/>
    <col min="2" max="2" width="13.75" customWidth="1"/>
    <col min="3" max="3" width="13.875" customWidth="1"/>
    <col min="4" max="4" width="16.75" customWidth="1"/>
    <col min="6" max="6" width="12.125" bestFit="1" customWidth="1"/>
  </cols>
  <sheetData>
    <row r="1" spans="1:6" x14ac:dyDescent="0.25">
      <c r="A1" s="94" t="s">
        <v>164</v>
      </c>
      <c r="B1" s="94"/>
      <c r="C1" s="94"/>
      <c r="D1" s="94"/>
    </row>
    <row r="2" spans="1:6" x14ac:dyDescent="0.25">
      <c r="A2" s="94" t="s">
        <v>23</v>
      </c>
      <c r="B2" s="94"/>
      <c r="C2" s="94"/>
      <c r="D2" s="94"/>
    </row>
    <row r="3" spans="1:6" x14ac:dyDescent="0.25">
      <c r="A3" s="5"/>
    </row>
    <row r="4" spans="1:6" ht="25.5" customHeight="1" x14ac:dyDescent="0.25">
      <c r="A4" s="95"/>
      <c r="B4" s="99" t="s">
        <v>275</v>
      </c>
      <c r="C4" s="100"/>
      <c r="D4" s="97" t="s">
        <v>277</v>
      </c>
      <c r="E4" s="1"/>
    </row>
    <row r="5" spans="1:6" ht="27" customHeight="1" x14ac:dyDescent="0.25">
      <c r="A5" s="96"/>
      <c r="B5" s="21">
        <v>2019</v>
      </c>
      <c r="C5" s="20">
        <v>2020</v>
      </c>
      <c r="D5" s="98"/>
      <c r="E5" s="1"/>
    </row>
    <row r="6" spans="1:6" ht="14.25" customHeight="1" x14ac:dyDescent="0.25">
      <c r="A6" s="50" t="s">
        <v>140</v>
      </c>
      <c r="B6" s="46">
        <f>IF(-1726008.3907="","-",-1726008.3907)</f>
        <v>-1726008.3907000001</v>
      </c>
      <c r="C6" s="46">
        <f>IF(-1510250.46629="","-",-1510250.46629)</f>
        <v>-1510250.4662899999</v>
      </c>
      <c r="D6" s="59">
        <f>IF(-1726008.3907="","-",-1510250.46629/-1726008.3907*100)</f>
        <v>87.499601648952734</v>
      </c>
      <c r="F6" s="18"/>
    </row>
    <row r="7" spans="1:6" x14ac:dyDescent="0.25">
      <c r="A7" s="36" t="s">
        <v>138</v>
      </c>
      <c r="B7" s="60"/>
      <c r="C7" s="65"/>
      <c r="D7" s="61"/>
    </row>
    <row r="8" spans="1:6" x14ac:dyDescent="0.25">
      <c r="A8" s="55" t="s">
        <v>245</v>
      </c>
      <c r="B8" s="47">
        <f>IF(2202.35114="","-",2202.35114)</f>
        <v>2202.3511400000002</v>
      </c>
      <c r="C8" s="47">
        <f>IF(-10984.10364="","-",-10984.10364)</f>
        <v>-10984.103639999999</v>
      </c>
      <c r="D8" s="62" t="s">
        <v>22</v>
      </c>
    </row>
    <row r="9" spans="1:6" x14ac:dyDescent="0.25">
      <c r="A9" s="48" t="s">
        <v>24</v>
      </c>
      <c r="B9" s="49">
        <f>IF(OR(3509.37885="",3509.37885=0),"-",3509.37885)</f>
        <v>3509.3788500000001</v>
      </c>
      <c r="C9" s="49">
        <f>IF(OR(3372.53885="",3372.53885=0),"-",3372.53885)</f>
        <v>3372.5388499999999</v>
      </c>
      <c r="D9" s="63">
        <f>IF(OR(3509.37885="",3372.53885="",3509.37885=0,3372.53885=0),"-",3372.53885/3509.37885*100)</f>
        <v>96.100734464732966</v>
      </c>
    </row>
    <row r="10" spans="1:6" x14ac:dyDescent="0.25">
      <c r="A10" s="48" t="s">
        <v>246</v>
      </c>
      <c r="B10" s="49">
        <f>IF(OR(-23643.65692="",-23643.65692=0),"-",-23643.65692)</f>
        <v>-23643.656920000001</v>
      </c>
      <c r="C10" s="49">
        <f>IF(OR(-19009.03494="",-19009.03494=0),"-",-19009.03494)</f>
        <v>-19009.034940000001</v>
      </c>
      <c r="D10" s="63">
        <f>IF(OR(-23643.65692="",-19009.03494="",-23643.65692=0,-19009.03494=0),"-",-19009.03494/-23643.65692*100)</f>
        <v>80.398032353110295</v>
      </c>
    </row>
    <row r="11" spans="1:6" x14ac:dyDescent="0.25">
      <c r="A11" s="48" t="s">
        <v>247</v>
      </c>
      <c r="B11" s="49">
        <f>IF(OR(-24997.40595="",-24997.40595=0),"-",-24997.40595)</f>
        <v>-24997.40595</v>
      </c>
      <c r="C11" s="49">
        <f>IF(OR(-40132.471="",-40132.471=0),"-",-40132.471)</f>
        <v>-40132.470999999998</v>
      </c>
      <c r="D11" s="63" t="s">
        <v>105</v>
      </c>
    </row>
    <row r="12" spans="1:6" x14ac:dyDescent="0.25">
      <c r="A12" s="48" t="s">
        <v>248</v>
      </c>
      <c r="B12" s="49">
        <f>IF(OR(-29754.28631="",-29754.28631=0),"-",-29754.28631)</f>
        <v>-29754.28631</v>
      </c>
      <c r="C12" s="49">
        <f>IF(OR(-30022.13406="",-30022.13406=0),"-",-30022.13406)</f>
        <v>-30022.13406</v>
      </c>
      <c r="D12" s="63">
        <f>IF(OR(-29754.28631="",-30022.13406="",-29754.28631=0,-30022.13406=0),"-",-30022.13406/-29754.28631*100)</f>
        <v>100.90019887289307</v>
      </c>
    </row>
    <row r="13" spans="1:6" x14ac:dyDescent="0.25">
      <c r="A13" s="48" t="s">
        <v>249</v>
      </c>
      <c r="B13" s="49">
        <f>IF(OR(94256.84418="",94256.84418=0),"-",94256.84418)</f>
        <v>94256.84418</v>
      </c>
      <c r="C13" s="49">
        <f>IF(OR(64345.7014="",64345.7014=0),"-",64345.7014)</f>
        <v>64345.701399999998</v>
      </c>
      <c r="D13" s="63">
        <f>IF(OR(94256.84418="",64345.7014="",94256.84418=0,64345.7014=0),"-",64345.7014/94256.84418*100)</f>
        <v>68.266343902964309</v>
      </c>
    </row>
    <row r="14" spans="1:6" x14ac:dyDescent="0.25">
      <c r="A14" s="48" t="s">
        <v>250</v>
      </c>
      <c r="B14" s="49">
        <f>IF(OR(51767.13855="",51767.13855=0),"-",51767.13855)</f>
        <v>51767.138550000003</v>
      </c>
      <c r="C14" s="49">
        <f>IF(OR(79505.92516="",79505.92516=0),"-",79505.92516)</f>
        <v>79505.925159999999</v>
      </c>
      <c r="D14" s="63" t="s">
        <v>128</v>
      </c>
    </row>
    <row r="15" spans="1:6" x14ac:dyDescent="0.25">
      <c r="A15" s="48" t="s">
        <v>196</v>
      </c>
      <c r="B15" s="49">
        <f>IF(OR(-492.58645="",-492.58645=0),"-",-492.58645)</f>
        <v>-492.58645000000001</v>
      </c>
      <c r="C15" s="49">
        <f>IF(OR(1985.15929="",1985.15929=0),"-",1985.15929)</f>
        <v>1985.1592900000001</v>
      </c>
      <c r="D15" s="63" t="s">
        <v>22</v>
      </c>
    </row>
    <row r="16" spans="1:6" x14ac:dyDescent="0.25">
      <c r="A16" s="48" t="s">
        <v>251</v>
      </c>
      <c r="B16" s="49">
        <f>IF(OR(-22303.65289="",-22303.65289=0),"-",-22303.65289)</f>
        <v>-22303.652890000001</v>
      </c>
      <c r="C16" s="49">
        <f>IF(OR(-24009.15634="",-24009.15634=0),"-",-24009.15634)</f>
        <v>-24009.156340000001</v>
      </c>
      <c r="D16" s="63">
        <f>IF(OR(-22303.65289="",-24009.15634="",-22303.65289=0,-24009.15634=0),"-",-24009.15634/-22303.65289*100)</f>
        <v>107.64674494537473</v>
      </c>
    </row>
    <row r="17" spans="1:4" x14ac:dyDescent="0.25">
      <c r="A17" s="48" t="s">
        <v>198</v>
      </c>
      <c r="B17" s="49">
        <f>IF(OR(-7341.39295="",-7341.39295=0),"-",-7341.39295)</f>
        <v>-7341.3929500000004</v>
      </c>
      <c r="C17" s="49">
        <f>IF(OR(-5143.83026="",-5143.83026=0),"-",-5143.83026)</f>
        <v>-5143.8302599999997</v>
      </c>
      <c r="D17" s="63">
        <f>IF(OR(-7341.39295="",-5143.83026="",-7341.39295=0,-5143.83026=0),"-",-5143.83026/-7341.39295*100)</f>
        <v>70.066134520152602</v>
      </c>
    </row>
    <row r="18" spans="1:4" x14ac:dyDescent="0.25">
      <c r="A18" s="48" t="s">
        <v>252</v>
      </c>
      <c r="B18" s="49">
        <f>IF(OR(-38798.02897="",-38798.02897=0),"-",-38798.02897)</f>
        <v>-38798.028969999999</v>
      </c>
      <c r="C18" s="49">
        <f>IF(OR(-41876.80174="",-41876.80174=0),"-",-41876.80174)</f>
        <v>-41876.801740000003</v>
      </c>
      <c r="D18" s="63">
        <f>IF(OR(-38798.02897="",-41876.80174="",-38798.02897=0,-41876.80174=0),"-",-41876.80174/-38798.02897*100)</f>
        <v>107.93538448146585</v>
      </c>
    </row>
    <row r="19" spans="1:4" x14ac:dyDescent="0.25">
      <c r="A19" s="55" t="s">
        <v>253</v>
      </c>
      <c r="B19" s="47">
        <f>IF(52608.35048="","-",52608.35048)</f>
        <v>52608.350480000001</v>
      </c>
      <c r="C19" s="47">
        <f>IF(43100.00542="","-",43100.00542)</f>
        <v>43100.005420000001</v>
      </c>
      <c r="D19" s="62">
        <f>IF(52608.35048="","-",43100.00542/52608.35048*100)</f>
        <v>81.926167664932265</v>
      </c>
    </row>
    <row r="20" spans="1:4" x14ac:dyDescent="0.25">
      <c r="A20" s="48" t="s">
        <v>254</v>
      </c>
      <c r="B20" s="49">
        <f>IF(OR(70578.8946="",70578.8946=0),"-",70578.8946)</f>
        <v>70578.8946</v>
      </c>
      <c r="C20" s="49">
        <f>IF(OR(64942.0235="",64942.0235=0),"-",64942.0235)</f>
        <v>64942.023500000003</v>
      </c>
      <c r="D20" s="63">
        <f>IF(OR(70578.8946="",64942.0235="",70578.8946=0,64942.0235=0),"-",64942.0235/70578.8946*100)</f>
        <v>92.013375766301678</v>
      </c>
    </row>
    <row r="21" spans="1:4" x14ac:dyDescent="0.25">
      <c r="A21" s="48" t="s">
        <v>255</v>
      </c>
      <c r="B21" s="49">
        <f>IF(OR(-17970.54412="",-17970.54412=0),"-",-17970.54412)</f>
        <v>-17970.544119999999</v>
      </c>
      <c r="C21" s="49">
        <f>IF(OR(-21842.01808="",-21842.01808=0),"-",-21842.01808)</f>
        <v>-21842.018080000002</v>
      </c>
      <c r="D21" s="63">
        <f>IF(OR(-17970.54412="",-21842.01808="",-17970.54412=0,-21842.01808=0),"-",-21842.01808/-17970.54412*100)</f>
        <v>121.54344317093502</v>
      </c>
    </row>
    <row r="22" spans="1:4" x14ac:dyDescent="0.25">
      <c r="A22" s="55" t="s">
        <v>25</v>
      </c>
      <c r="B22" s="47">
        <f>IF(70841.26531="","-",70841.26531)</f>
        <v>70841.265310000003</v>
      </c>
      <c r="C22" s="47">
        <f>IF(36321.18201="","-",36321.18201)</f>
        <v>36321.182009999997</v>
      </c>
      <c r="D22" s="62">
        <f>IF(70841.26531="","-",36321.18201/70841.26531*100)</f>
        <v>51.271221442840144</v>
      </c>
    </row>
    <row r="23" spans="1:4" x14ac:dyDescent="0.25">
      <c r="A23" s="48" t="s">
        <v>262</v>
      </c>
      <c r="B23" s="49">
        <f>IF(OR(1010.06232="",1010.06232=0),"-",1010.06232)</f>
        <v>1010.06232</v>
      </c>
      <c r="C23" s="49">
        <f>IF(OR(795.9297="",795.9297=0),"-",795.9297)</f>
        <v>795.92970000000003</v>
      </c>
      <c r="D23" s="63">
        <f>IF(OR(1010.06232="",795.9297="",1010.06232=0,795.9297=0),"-",795.9297/1010.06232*100)</f>
        <v>78.800058594404348</v>
      </c>
    </row>
    <row r="24" spans="1:4" x14ac:dyDescent="0.25">
      <c r="A24" s="48" t="s">
        <v>256</v>
      </c>
      <c r="B24" s="49">
        <f>IF(OR(117236.22742="",117236.22742=0),"-",117236.22742)</f>
        <v>117236.22742</v>
      </c>
      <c r="C24" s="49">
        <f>IF(OR(72463.17876="",72463.17876=0),"-",72463.17876)</f>
        <v>72463.178759999995</v>
      </c>
      <c r="D24" s="63">
        <f>IF(OR(117236.22742="",72463.17876="",117236.22742=0,72463.17876=0),"-",72463.17876/117236.22742*100)</f>
        <v>61.809545014102085</v>
      </c>
    </row>
    <row r="25" spans="1:4" x14ac:dyDescent="0.25">
      <c r="A25" s="48" t="s">
        <v>257</v>
      </c>
      <c r="B25" s="49">
        <f>IF(OR(-890.79766="",-890.79766=0),"-",-890.79766)</f>
        <v>-890.79765999999995</v>
      </c>
      <c r="C25" s="49">
        <f>IF(OR(-721.821="",-721.821=0),"-",-721.821)</f>
        <v>-721.82100000000003</v>
      </c>
      <c r="D25" s="63">
        <f>IF(OR(-890.79766="",-721.821="",-890.79766=0,-721.821=0),"-",-721.821/-890.79766*100)</f>
        <v>81.030859465885896</v>
      </c>
    </row>
    <row r="26" spans="1:4" x14ac:dyDescent="0.25">
      <c r="A26" s="48" t="s">
        <v>258</v>
      </c>
      <c r="B26" s="49">
        <f>IF(OR(-20553.99887="",-20553.99887=0),"-",-20553.99887)</f>
        <v>-20553.998869999999</v>
      </c>
      <c r="C26" s="49">
        <f>IF(OR(-18976.85871="",-18976.85871=0),"-",-18976.85871)</f>
        <v>-18976.85871</v>
      </c>
      <c r="D26" s="63">
        <f>IF(OR(-20553.99887="",-18976.85871="",-20553.99887=0,-18976.85871=0),"-",-18976.85871/-20553.99887*100)</f>
        <v>92.326845155655107</v>
      </c>
    </row>
    <row r="27" spans="1:4" x14ac:dyDescent="0.25">
      <c r="A27" s="48" t="s">
        <v>207</v>
      </c>
      <c r="B27" s="49">
        <f>IF(OR(1284.46573="",1284.46573=0),"-",1284.46573)</f>
        <v>1284.4657299999999</v>
      </c>
      <c r="C27" s="49">
        <f>IF(OR(846.78632="",846.78632=0),"-",846.78632)</f>
        <v>846.78632000000005</v>
      </c>
      <c r="D27" s="63">
        <f>IF(OR(1284.46573="",846.78632="",1284.46573=0,846.78632=0),"-",846.78632/1284.46573*100)</f>
        <v>65.925178089414658</v>
      </c>
    </row>
    <row r="28" spans="1:4" ht="25.5" x14ac:dyDescent="0.25">
      <c r="A28" s="48" t="s">
        <v>208</v>
      </c>
      <c r="B28" s="49">
        <f>IF(OR(-4241.63689="",-4241.63689=0),"-",-4241.63689)</f>
        <v>-4241.6368899999998</v>
      </c>
      <c r="C28" s="49">
        <f>IF(OR(-3965.45141="",-3965.45141=0),"-",-3965.45141)</f>
        <v>-3965.4514100000001</v>
      </c>
      <c r="D28" s="63">
        <f>IF(OR(-4241.63689="",-3965.45141="",-4241.63689=0,-3965.45141=0),"-",-3965.45141/-4241.63689*100)</f>
        <v>93.488705253126952</v>
      </c>
    </row>
    <row r="29" spans="1:4" ht="25.5" x14ac:dyDescent="0.25">
      <c r="A29" s="48" t="s">
        <v>209</v>
      </c>
      <c r="B29" s="49">
        <f>IF(OR(-11224.698="",-11224.698=0),"-",-11224.698)</f>
        <v>-11224.698</v>
      </c>
      <c r="C29" s="49">
        <f>IF(OR(-3421.55235="",-3421.55235=0),"-",-3421.55235)</f>
        <v>-3421.5523499999999</v>
      </c>
      <c r="D29" s="63">
        <f>IF(OR(-11224.698="",-3421.55235="",-11224.698=0,-3421.55235=0),"-",-3421.55235/-11224.698*100)</f>
        <v>30.482355516380039</v>
      </c>
    </row>
    <row r="30" spans="1:4" x14ac:dyDescent="0.25">
      <c r="A30" s="48" t="s">
        <v>210</v>
      </c>
      <c r="B30" s="49">
        <f>IF(OR(9008.9831="",9008.9831=0),"-",9008.9831)</f>
        <v>9008.9830999999995</v>
      </c>
      <c r="C30" s="49">
        <f>IF(OR(9013.24644="",9013.24644=0),"-",9013.24644)</f>
        <v>9013.2464400000008</v>
      </c>
      <c r="D30" s="63">
        <f>IF(OR(9008.9831="",9013.24644="",9008.9831=0,9013.24644=0),"-",9013.24644/9008.9831*100)</f>
        <v>100.04732321009683</v>
      </c>
    </row>
    <row r="31" spans="1:4" x14ac:dyDescent="0.25">
      <c r="A31" s="48" t="s">
        <v>211</v>
      </c>
      <c r="B31" s="49">
        <f>IF(OR(-20787.34184="",-20787.34184=0),"-",-20787.34184)</f>
        <v>-20787.341840000001</v>
      </c>
      <c r="C31" s="49">
        <f>IF(OR(-19712.27574="",-19712.27574=0),"-",-19712.27574)</f>
        <v>-19712.275740000001</v>
      </c>
      <c r="D31" s="63">
        <f>IF(OR(-20787.34184="",-19712.27574="",-20787.34184=0,-19712.27574=0),"-",-19712.27574/-20787.34184*100)</f>
        <v>94.828265642260689</v>
      </c>
    </row>
    <row r="32" spans="1:4" x14ac:dyDescent="0.25">
      <c r="A32" s="55" t="s">
        <v>212</v>
      </c>
      <c r="B32" s="47">
        <f>IF(-511077.54776="","-",-511077.54776)</f>
        <v>-511077.54775999999</v>
      </c>
      <c r="C32" s="47">
        <f>IF(-341072.57081="","-",-341072.57081)</f>
        <v>-341072.57081</v>
      </c>
      <c r="D32" s="62">
        <f>IF(-511077.54776="","-",-341072.57081/-511077.54776*100)</f>
        <v>66.735972320616668</v>
      </c>
    </row>
    <row r="33" spans="1:4" x14ac:dyDescent="0.25">
      <c r="A33" s="48" t="s">
        <v>259</v>
      </c>
      <c r="B33" s="49">
        <f>IF(OR(-11719.96833="",-11719.96833=0),"-",-11719.96833)</f>
        <v>-11719.96833</v>
      </c>
      <c r="C33" s="49">
        <f>IF(OR(-8565.72241="",-8565.72241=0),"-",-8565.72241)</f>
        <v>-8565.7224100000003</v>
      </c>
      <c r="D33" s="63">
        <f>IF(OR(-11719.96833="",-8565.72241="",-11719.96833=0,-8565.72241=0),"-",-8565.72241/-11719.96833*100)</f>
        <v>73.086566181872954</v>
      </c>
    </row>
    <row r="34" spans="1:4" x14ac:dyDescent="0.25">
      <c r="A34" s="48" t="s">
        <v>213</v>
      </c>
      <c r="B34" s="49">
        <f>IF(OR(-307548.15047="",-307548.15047=0),"-",-307548.15047)</f>
        <v>-307548.15046999999</v>
      </c>
      <c r="C34" s="49">
        <f>IF(OR(-205322.81351="",-205322.81351=0),"-",-205322.81351)</f>
        <v>-205322.81351000001</v>
      </c>
      <c r="D34" s="63">
        <f>IF(OR(-307548.15047="",-205322.81351="",-307548.15047=0,-205322.81351=0),"-",-205322.81351/-307548.15047*100)</f>
        <v>66.761192742086862</v>
      </c>
    </row>
    <row r="35" spans="1:4" x14ac:dyDescent="0.25">
      <c r="A35" s="48" t="s">
        <v>260</v>
      </c>
      <c r="B35" s="49">
        <f>IF(OR(-166984.43861="",-166984.43861=0),"-",-166984.43861)</f>
        <v>-166984.43861000001</v>
      </c>
      <c r="C35" s="49">
        <f>IF(OR(-119077.62789="",-119077.62789=0),"-",-119077.62789)</f>
        <v>-119077.62789</v>
      </c>
      <c r="D35" s="63">
        <f>IF(OR(-166984.43861="",-119077.62789="",-166984.43861=0,-119077.62789=0),"-",-119077.62789/-166984.43861*100)</f>
        <v>71.310613660301243</v>
      </c>
    </row>
    <row r="36" spans="1:4" x14ac:dyDescent="0.25">
      <c r="A36" s="48" t="s">
        <v>214</v>
      </c>
      <c r="B36" s="49">
        <f>IF(OR(-24824.99035="",-24824.99035=0),"-",-24824.99035)</f>
        <v>-24824.99035</v>
      </c>
      <c r="C36" s="49">
        <f>IF(OR(-8106.407="",-8106.407=0),"-",-8106.407)</f>
        <v>-8106.4070000000002</v>
      </c>
      <c r="D36" s="63">
        <f>IF(OR(-24824.99035="",-8106.407="",-24824.99035=0,-8106.407=0),"-",-8106.407/-24824.99035*100)</f>
        <v>32.654220145547811</v>
      </c>
    </row>
    <row r="37" spans="1:4" x14ac:dyDescent="0.25">
      <c r="A37" s="55" t="s">
        <v>215</v>
      </c>
      <c r="B37" s="47">
        <f>IF(28471.23882="","-",28471.23882)</f>
        <v>28471.238819999999</v>
      </c>
      <c r="C37" s="47">
        <f>IF(62912.2431="","-",62912.2431)</f>
        <v>62912.2431</v>
      </c>
      <c r="D37" s="62" t="s">
        <v>296</v>
      </c>
    </row>
    <row r="38" spans="1:4" x14ac:dyDescent="0.25">
      <c r="A38" s="48" t="s">
        <v>263</v>
      </c>
      <c r="B38" s="49">
        <f>IF(OR(-856.10738="",-856.10738=0),"-",-856.10738)</f>
        <v>-856.10738000000003</v>
      </c>
      <c r="C38" s="49">
        <f>IF(OR(-806.85755="",-806.85755=0),"-",-806.85755)</f>
        <v>-806.85754999999995</v>
      </c>
      <c r="D38" s="63">
        <f>IF(OR(-856.10738="",-806.85755="",-856.10738=0,-806.85755=0),"-",-806.85755/-856.10738*100)</f>
        <v>94.247236836108101</v>
      </c>
    </row>
    <row r="39" spans="1:4" ht="14.25" customHeight="1" x14ac:dyDescent="0.25">
      <c r="A39" s="48" t="s">
        <v>216</v>
      </c>
      <c r="B39" s="49">
        <f>IF(OR(30823.20547="",30823.20547=0),"-",30823.20547)</f>
        <v>30823.205470000001</v>
      </c>
      <c r="C39" s="49">
        <f>IF(OR(64617.57924="",64617.57924=0),"-",64617.57924)</f>
        <v>64617.579239999999</v>
      </c>
      <c r="D39" s="63" t="s">
        <v>96</v>
      </c>
    </row>
    <row r="40" spans="1:4" ht="38.25" x14ac:dyDescent="0.25">
      <c r="A40" s="48" t="s">
        <v>261</v>
      </c>
      <c r="B40" s="49">
        <f>IF(OR(-1495.85927="",-1495.85927=0),"-",-1495.85927)</f>
        <v>-1495.8592699999999</v>
      </c>
      <c r="C40" s="49">
        <f>IF(OR(-898.47859="",-898.47859=0),"-",-898.47859)</f>
        <v>-898.47859000000005</v>
      </c>
      <c r="D40" s="63">
        <f>IF(OR(-1495.85927="",-898.47859="",-1495.85927=0,-898.47859=0),"-",-898.47859/-1495.85927*100)</f>
        <v>60.064379585654478</v>
      </c>
    </row>
    <row r="41" spans="1:4" ht="15" customHeight="1" x14ac:dyDescent="0.25">
      <c r="A41" s="55" t="s">
        <v>217</v>
      </c>
      <c r="B41" s="47">
        <f>IF(-423864.18717="","-",-423864.18717)</f>
        <v>-423864.18716999999</v>
      </c>
      <c r="C41" s="47">
        <f>IF(-403117.46845="","-",-403117.46845)</f>
        <v>-403117.46844999999</v>
      </c>
      <c r="D41" s="62">
        <f>IF(-423864.18717="","-",-403117.46845/-423864.18717*100)</f>
        <v>95.105338137076657</v>
      </c>
    </row>
    <row r="42" spans="1:4" x14ac:dyDescent="0.25">
      <c r="A42" s="48" t="s">
        <v>26</v>
      </c>
      <c r="B42" s="49">
        <f>IF(OR(-1768.91874="",-1768.91874=0),"-",-1768.91874)</f>
        <v>-1768.9187400000001</v>
      </c>
      <c r="C42" s="49">
        <f>IF(OR(22211.99665="",22211.99665=0),"-",22211.99665)</f>
        <v>22211.996650000001</v>
      </c>
      <c r="D42" s="63" t="s">
        <v>22</v>
      </c>
    </row>
    <row r="43" spans="1:4" x14ac:dyDescent="0.25">
      <c r="A43" s="48" t="s">
        <v>27</v>
      </c>
      <c r="B43" s="49">
        <f>IF(OR(-8881.82357="",-8881.82357=0),"-",-8881.82357)</f>
        <v>-8881.8235700000005</v>
      </c>
      <c r="C43" s="49">
        <f>IF(OR(-8508.45816="",-8508.45816=0),"-",-8508.45816)</f>
        <v>-8508.4581600000001</v>
      </c>
      <c r="D43" s="63">
        <f>IF(OR(-8881.82357="",-8508.45816="",-8881.82357=0,-8508.45816=0),"-",-8508.45816/-8881.82357*100)</f>
        <v>95.796297831662514</v>
      </c>
    </row>
    <row r="44" spans="1:4" x14ac:dyDescent="0.25">
      <c r="A44" s="48" t="s">
        <v>218</v>
      </c>
      <c r="B44" s="49">
        <f>IF(OR(-20890.57844="",-20890.57844=0),"-",-20890.57844)</f>
        <v>-20890.578440000001</v>
      </c>
      <c r="C44" s="49">
        <f>IF(OR(-20898.27899="",-20898.27899=0),"-",-20898.27899)</f>
        <v>-20898.278989999999</v>
      </c>
      <c r="D44" s="63">
        <f>IF(OR(-20890.57844="",-20898.27899="",-20890.57844=0,-20898.27899=0),"-",-20898.27899/-20890.57844*100)</f>
        <v>100.03686135365813</v>
      </c>
    </row>
    <row r="45" spans="1:4" x14ac:dyDescent="0.25">
      <c r="A45" s="48" t="s">
        <v>219</v>
      </c>
      <c r="B45" s="49">
        <f>IF(OR(-98940.02527="",-98940.02527=0),"-",-98940.02527)</f>
        <v>-98940.025269999998</v>
      </c>
      <c r="C45" s="49">
        <f>IF(OR(-107133.1294="",-107133.1294=0),"-",-107133.1294)</f>
        <v>-107133.12940000001</v>
      </c>
      <c r="D45" s="63">
        <f>IF(OR(-98940.02527="",-107133.1294="",-98940.02527=0,-107133.1294=0),"-",-107133.1294/-98940.02527*100)</f>
        <v>108.28087935862321</v>
      </c>
    </row>
    <row r="46" spans="1:4" ht="25.5" x14ac:dyDescent="0.25">
      <c r="A46" s="48" t="s">
        <v>220</v>
      </c>
      <c r="B46" s="49">
        <f>IF(OR(-55410.90864="",-55410.90864=0),"-",-55410.90864)</f>
        <v>-55410.908640000001</v>
      </c>
      <c r="C46" s="49">
        <f>IF(OR(-55442.03131="",-55442.03131=0),"-",-55442.03131)</f>
        <v>-55442.031309999998</v>
      </c>
      <c r="D46" s="63">
        <f>IF(OR(-55410.90864="",-55442.03131="",-55410.90864=0,-55442.03131=0),"-",-55442.03131/-55410.90864*100)</f>
        <v>100.05616704501672</v>
      </c>
    </row>
    <row r="47" spans="1:4" x14ac:dyDescent="0.25">
      <c r="A47" s="48" t="s">
        <v>221</v>
      </c>
      <c r="B47" s="49">
        <f>IF(OR(-54541.01399="",-54541.01399=0),"-",-54541.01399)</f>
        <v>-54541.013989999999</v>
      </c>
      <c r="C47" s="49">
        <f>IF(OR(-53394.69369="",-53394.69369=0),"-",-53394.69369)</f>
        <v>-53394.69369</v>
      </c>
      <c r="D47" s="63">
        <f>IF(OR(-54541.01399="",-53394.69369="",-54541.01399=0,-53394.69369=0),"-",-53394.69369/-54541.01399*100)</f>
        <v>97.898241678803089</v>
      </c>
    </row>
    <row r="48" spans="1:4" x14ac:dyDescent="0.25">
      <c r="A48" s="48" t="s">
        <v>28</v>
      </c>
      <c r="B48" s="49">
        <f>IF(OR(-29507.41441="",-29507.41441=0),"-",-29507.41441)</f>
        <v>-29507.414410000001</v>
      </c>
      <c r="C48" s="49">
        <f>IF(OR(-24449.39433="",-24449.39433=0),"-",-24449.39433)</f>
        <v>-24449.394329999999</v>
      </c>
      <c r="D48" s="63">
        <f>IF(OR(-29507.41441="",-24449.39433="",-29507.41441=0,-24449.39433=0),"-",-24449.39433/-29507.41441*100)</f>
        <v>82.858477500875679</v>
      </c>
    </row>
    <row r="49" spans="1:4" x14ac:dyDescent="0.25">
      <c r="A49" s="48" t="s">
        <v>29</v>
      </c>
      <c r="B49" s="49">
        <f>IF(OR(-62926.82032="",-62926.82032=0),"-",-62926.82032)</f>
        <v>-62926.820319999999</v>
      </c>
      <c r="C49" s="49">
        <f>IF(OR(-60378.85774="",-60378.85774=0),"-",-60378.85774)</f>
        <v>-60378.857739999999</v>
      </c>
      <c r="D49" s="63">
        <f>IF(OR(-62926.82032="",-60378.85774="",-62926.82032=0,-60378.85774=0),"-",-60378.85774/-62926.82032*100)</f>
        <v>95.950911603283117</v>
      </c>
    </row>
    <row r="50" spans="1:4" x14ac:dyDescent="0.25">
      <c r="A50" s="48" t="s">
        <v>222</v>
      </c>
      <c r="B50" s="49">
        <f>IF(OR(-90996.68379="",-90996.68379=0),"-",-90996.68379)</f>
        <v>-90996.683789999995</v>
      </c>
      <c r="C50" s="49">
        <f>IF(OR(-95124.62148="",-95124.62148=0),"-",-95124.62148)</f>
        <v>-95124.621480000002</v>
      </c>
      <c r="D50" s="63">
        <f>IF(OR(-90996.68379="",-95124.62148="",-90996.68379=0,-95124.62148=0),"-",-95124.62148/-90996.68379*100)</f>
        <v>104.53636057719022</v>
      </c>
    </row>
    <row r="51" spans="1:4" ht="25.5" x14ac:dyDescent="0.25">
      <c r="A51" s="55" t="s">
        <v>268</v>
      </c>
      <c r="B51" s="47">
        <f>IF(-534169.45341="","-",-534169.45341)</f>
        <v>-534169.45340999996</v>
      </c>
      <c r="C51" s="47">
        <f>IF(-460723.81424="","-",-460723.81424)</f>
        <v>-460723.81423999998</v>
      </c>
      <c r="D51" s="62">
        <f>IF(-534169.45341="","-",-460723.81424/-534169.45341*100)</f>
        <v>86.250498095474768</v>
      </c>
    </row>
    <row r="52" spans="1:4" x14ac:dyDescent="0.25">
      <c r="A52" s="48" t="s">
        <v>223</v>
      </c>
      <c r="B52" s="49">
        <f>IF(OR(-30484.90708="",-30484.90708=0),"-",-30484.90708)</f>
        <v>-30484.907080000001</v>
      </c>
      <c r="C52" s="49">
        <f>IF(OR(-22533.12972="",-22533.12972=0),"-",-22533.12972)</f>
        <v>-22533.129720000001</v>
      </c>
      <c r="D52" s="63">
        <f>IF(OR(-30484.90708="",-22533.12972="",-30484.90708=0,-22533.12972=0),"-",-22533.12972/-30484.90708*100)</f>
        <v>73.915691003641399</v>
      </c>
    </row>
    <row r="53" spans="1:4" x14ac:dyDescent="0.25">
      <c r="A53" s="48" t="s">
        <v>30</v>
      </c>
      <c r="B53" s="49">
        <f>IF(OR(-33382.1080599999="",-33382.1080599999=0),"-",-33382.1080599999)</f>
        <v>-33382.108059999897</v>
      </c>
      <c r="C53" s="49">
        <f>IF(OR(-28435.21232="",-28435.21232=0),"-",-28435.21232)</f>
        <v>-28435.212319999999</v>
      </c>
      <c r="D53" s="63">
        <f>IF(OR(-33382.1080599999="",-28435.21232="",-33382.1080599999=0,-28435.21232=0),"-",-28435.21232/-33382.1080599999*100)</f>
        <v>85.180996565260315</v>
      </c>
    </row>
    <row r="54" spans="1:4" x14ac:dyDescent="0.25">
      <c r="A54" s="48" t="s">
        <v>224</v>
      </c>
      <c r="B54" s="49">
        <f>IF(OR(-37514.66077="",-37514.66077=0),"-",-37514.66077)</f>
        <v>-37514.660770000002</v>
      </c>
      <c r="C54" s="49">
        <f>IF(OR(-33573.24018="",-33573.24018=0),"-",-33573.24018)</f>
        <v>-33573.240180000001</v>
      </c>
      <c r="D54" s="63">
        <f>IF(OR(-37514.66077="",-33573.24018="",-37514.66077=0,-33573.24018=0),"-",-33573.24018/-37514.66077*100)</f>
        <v>89.493652590477623</v>
      </c>
    </row>
    <row r="55" spans="1:4" ht="25.5" x14ac:dyDescent="0.25">
      <c r="A55" s="48" t="s">
        <v>225</v>
      </c>
      <c r="B55" s="49">
        <f>IF(OR(-52976.51452="",-52976.51452=0),"-",-52976.51452)</f>
        <v>-52976.514519999997</v>
      </c>
      <c r="C55" s="49">
        <f>IF(OR(-46025.50927="",-46025.50927=0),"-",-46025.50927)</f>
        <v>-46025.509270000002</v>
      </c>
      <c r="D55" s="63">
        <f>IF(OR(-52976.51452="",-46025.50927="",-52976.51452=0,-46025.50927=0),"-",-46025.50927/-52976.51452*100)</f>
        <v>86.879081583640598</v>
      </c>
    </row>
    <row r="56" spans="1:4" ht="25.5" x14ac:dyDescent="0.25">
      <c r="A56" s="48" t="s">
        <v>226</v>
      </c>
      <c r="B56" s="49">
        <f>IF(OR(-123233.84813="",-123233.84813=0),"-",-123233.84813)</f>
        <v>-123233.84813</v>
      </c>
      <c r="C56" s="49">
        <f>IF(OR(-108588.17295="",-108588.17295=0),"-",-108588.17295)</f>
        <v>-108588.17294999999</v>
      </c>
      <c r="D56" s="63">
        <f>IF(OR(-123233.84813="",-108588.17295="",-123233.84813=0,-108588.17295=0),"-",-108588.17295/-123233.84813*100)</f>
        <v>88.115541791285935</v>
      </c>
    </row>
    <row r="57" spans="1:4" x14ac:dyDescent="0.25">
      <c r="A57" s="48" t="s">
        <v>31</v>
      </c>
      <c r="B57" s="49">
        <f>IF(OR(-44396.06647="",-44396.06647=0),"-",-44396.06647)</f>
        <v>-44396.066469999998</v>
      </c>
      <c r="C57" s="49">
        <f>IF(OR(-46357.43823="",-46357.43823=0),"-",-46357.43823)</f>
        <v>-46357.43823</v>
      </c>
      <c r="D57" s="63">
        <f>IF(OR(-44396.06647="",-46357.43823="",-44396.06647=0,-46357.43823=0),"-",-46357.43823/-44396.06647*100)</f>
        <v>104.41789535864707</v>
      </c>
    </row>
    <row r="58" spans="1:4" x14ac:dyDescent="0.25">
      <c r="A58" s="48" t="s">
        <v>227</v>
      </c>
      <c r="B58" s="49">
        <f>IF(OR(-73287.87035="",-73287.87035=0),"-",-73287.87035)</f>
        <v>-73287.870349999997</v>
      </c>
      <c r="C58" s="49">
        <f>IF(OR(-70144.30953="",-70144.30953=0),"-",-70144.30953)</f>
        <v>-70144.309529999999</v>
      </c>
      <c r="D58" s="63">
        <f>IF(OR(-73287.87035="",-70144.30953="",-73287.87035=0,-70144.30953=0),"-",-70144.30953/-73287.87035*100)</f>
        <v>95.710666983516731</v>
      </c>
    </row>
    <row r="59" spans="1:4" x14ac:dyDescent="0.25">
      <c r="A59" s="48" t="s">
        <v>32</v>
      </c>
      <c r="B59" s="49">
        <f>IF(OR(-54933.81264="",-54933.81264=0),"-",-54933.81264)</f>
        <v>-54933.812639999996</v>
      </c>
      <c r="C59" s="49">
        <f>IF(OR(-34790.19767="",-34790.19767=0),"-",-34790.19767)</f>
        <v>-34790.197670000001</v>
      </c>
      <c r="D59" s="63">
        <f>IF(OR(-54933.81264="",-34790.19767="",-54933.81264=0,-34790.19767=0),"-",-34790.19767/-54933.81264*100)</f>
        <v>63.331117936401085</v>
      </c>
    </row>
    <row r="60" spans="1:4" x14ac:dyDescent="0.25">
      <c r="A60" s="48" t="s">
        <v>33</v>
      </c>
      <c r="B60" s="49">
        <f>IF(OR(-83959.66539="",-83959.66539=0),"-",-83959.66539)</f>
        <v>-83959.665389999995</v>
      </c>
      <c r="C60" s="49">
        <f>IF(OR(-70276.60437="",-70276.60437=0),"-",-70276.60437)</f>
        <v>-70276.604370000001</v>
      </c>
      <c r="D60" s="63">
        <f>IF(OR(-83959.66539="",-70276.60437="",-83959.66539=0,-70276.60437=0),"-",-70276.60437/-83959.66539*100)</f>
        <v>83.702816160068082</v>
      </c>
    </row>
    <row r="61" spans="1:4" x14ac:dyDescent="0.25">
      <c r="A61" s="55" t="s">
        <v>228</v>
      </c>
      <c r="B61" s="47">
        <f>IF(-399928.20647="","-",-399928.20647)</f>
        <v>-399928.20646999998</v>
      </c>
      <c r="C61" s="47">
        <f>IF(-421486.98867="","-",-421486.98867)</f>
        <v>-421486.98866999999</v>
      </c>
      <c r="D61" s="62">
        <f>IF(-399928.20647="","-",-421486.98867/-399928.20647*100)</f>
        <v>105.39066308683012</v>
      </c>
    </row>
    <row r="62" spans="1:4" x14ac:dyDescent="0.25">
      <c r="A62" s="48" t="s">
        <v>229</v>
      </c>
      <c r="B62" s="49">
        <f>IF(OR(-9419.39508="",-9419.39508=0),"-",-9419.39508)</f>
        <v>-9419.3950800000002</v>
      </c>
      <c r="C62" s="49">
        <f>IF(OR(-8214.52059="",-8214.52059=0),"-",-8214.52059)</f>
        <v>-8214.5205900000001</v>
      </c>
      <c r="D62" s="63">
        <f>IF(OR(-9419.39508="",-8214.52059="",-9419.39508=0,-8214.52059=0),"-",-8214.52059/-9419.39508*100)</f>
        <v>87.208578897404095</v>
      </c>
    </row>
    <row r="63" spans="1:4" x14ac:dyDescent="0.25">
      <c r="A63" s="48" t="s">
        <v>230</v>
      </c>
      <c r="B63" s="49">
        <f>IF(OR(-111157.3736="",-111157.3736=0),"-",-111157.3736)</f>
        <v>-111157.37360000001</v>
      </c>
      <c r="C63" s="49">
        <f>IF(OR(-86460.64984="",-86460.64984=0),"-",-86460.64984)</f>
        <v>-86460.649839999998</v>
      </c>
      <c r="D63" s="63">
        <f>IF(OR(-111157.3736="",-86460.64984="",-111157.3736=0,-86460.64984=0),"-",-86460.64984/-111157.3736*100)</f>
        <v>77.782199272833481</v>
      </c>
    </row>
    <row r="64" spans="1:4" x14ac:dyDescent="0.25">
      <c r="A64" s="48" t="s">
        <v>231</v>
      </c>
      <c r="B64" s="49">
        <f>IF(OR(-4900.88202="",-4900.88202=0),"-",-4900.88202)</f>
        <v>-4900.88202</v>
      </c>
      <c r="C64" s="49">
        <f>IF(OR(-6235.44188="",-6235.44188=0),"-",-6235.44188)</f>
        <v>-6235.4418800000003</v>
      </c>
      <c r="D64" s="63">
        <f>IF(OR(-4900.88202="",-6235.44188="",-4900.88202=0,-6235.44188=0),"-",-6235.44188/-4900.88202*100)</f>
        <v>127.23101381657011</v>
      </c>
    </row>
    <row r="65" spans="1:4" ht="25.5" x14ac:dyDescent="0.25">
      <c r="A65" s="48" t="s">
        <v>232</v>
      </c>
      <c r="B65" s="49">
        <f>IF(OR(-97797.49235="",-97797.49235=0),"-",-97797.49235)</f>
        <v>-97797.49235</v>
      </c>
      <c r="C65" s="49">
        <f>IF(OR(-100066.5898="",-100066.5898=0),"-",-100066.5898)</f>
        <v>-100066.5898</v>
      </c>
      <c r="D65" s="63">
        <f>IF(OR(-97797.49235="",-100066.5898="",-97797.49235=0,-100066.5898=0),"-",-100066.5898/-97797.49235*100)</f>
        <v>102.32020003322712</v>
      </c>
    </row>
    <row r="66" spans="1:4" ht="25.5" x14ac:dyDescent="0.25">
      <c r="A66" s="48" t="s">
        <v>233</v>
      </c>
      <c r="B66" s="49">
        <f>IF(OR(-24654.93438="",-24654.93438=0),"-",-24654.93438)</f>
        <v>-24654.934379999999</v>
      </c>
      <c r="C66" s="49">
        <f>IF(OR(-25071.49643="",-25071.49643=0),"-",-25071.49643)</f>
        <v>-25071.496429999999</v>
      </c>
      <c r="D66" s="63">
        <f>IF(OR(-24654.93438="",-25071.49643="",-24654.93438=0,-25071.49643=0),"-",-25071.49643/-24654.93438*100)</f>
        <v>101.68956868259976</v>
      </c>
    </row>
    <row r="67" spans="1:4" ht="25.5" x14ac:dyDescent="0.25">
      <c r="A67" s="48" t="s">
        <v>234</v>
      </c>
      <c r="B67" s="49">
        <f>IF(OR(-81973.58057="",-81973.58057=0),"-",-81973.58057)</f>
        <v>-81973.580570000006</v>
      </c>
      <c r="C67" s="49">
        <f>IF(OR(-78666.37308="",-78666.37308=0),"-",-78666.37308)</f>
        <v>-78666.373080000005</v>
      </c>
      <c r="D67" s="63">
        <f>IF(OR(-81973.58057="",-78666.37308="",-81973.58057=0,-78666.37308=0),"-",-78666.37308/-81973.58057*100)</f>
        <v>95.965520272503085</v>
      </c>
    </row>
    <row r="68" spans="1:4" ht="26.25" customHeight="1" x14ac:dyDescent="0.25">
      <c r="A68" s="48" t="s">
        <v>235</v>
      </c>
      <c r="B68" s="49">
        <f>IF(OR(104730.33175="",104730.33175=0),"-",104730.33175)</f>
        <v>104730.33175</v>
      </c>
      <c r="C68" s="49">
        <f>IF(OR(46203.48979="",46203.48979=0),"-",46203.48979)</f>
        <v>46203.48979</v>
      </c>
      <c r="D68" s="63">
        <f>IF(OR(104730.33175="",46203.48979="",104730.33175=0,46203.48979=0),"-",46203.48979/104730.33175*100)</f>
        <v>44.116626977074382</v>
      </c>
    </row>
    <row r="69" spans="1:4" x14ac:dyDescent="0.25">
      <c r="A69" s="48" t="s">
        <v>236</v>
      </c>
      <c r="B69" s="49">
        <f>IF(OR(-173640.22382="",-173640.22382=0),"-",-173640.22382)</f>
        <v>-173640.22382000001</v>
      </c>
      <c r="C69" s="49">
        <f>IF(OR(-129947.13705="",-129947.13705=0),"-",-129947.13705)</f>
        <v>-129947.13705</v>
      </c>
      <c r="D69" s="63">
        <f>IF(OR(-173640.22382="",-129947.13705="",-173640.22382=0,-129947.13705=0),"-",-129947.13705/-173640.22382*100)</f>
        <v>74.83700158363456</v>
      </c>
    </row>
    <row r="70" spans="1:4" x14ac:dyDescent="0.25">
      <c r="A70" s="48" t="s">
        <v>34</v>
      </c>
      <c r="B70" s="49">
        <f>IF(OR(-1114.6564="",-1114.6564=0),"-",-1114.6564)</f>
        <v>-1114.6564000000001</v>
      </c>
      <c r="C70" s="49">
        <f>IF(OR(-33028.26979="",-33028.26979=0),"-",-33028.26979)</f>
        <v>-33028.269789999998</v>
      </c>
      <c r="D70" s="63" t="s">
        <v>297</v>
      </c>
    </row>
    <row r="71" spans="1:4" x14ac:dyDescent="0.25">
      <c r="A71" s="55" t="s">
        <v>35</v>
      </c>
      <c r="B71" s="47">
        <f>IF(-11413.64689="","-",-11413.64689)</f>
        <v>-11413.64689</v>
      </c>
      <c r="C71" s="47">
        <f>IF(-15428.81056="","-",-15428.81056)</f>
        <v>-15428.81056</v>
      </c>
      <c r="D71" s="62">
        <f>IF(-11413.64689="","-",-15428.81056/-11413.64689*100)</f>
        <v>135.17862177353553</v>
      </c>
    </row>
    <row r="72" spans="1:4" ht="25.5" x14ac:dyDescent="0.25">
      <c r="A72" s="48" t="s">
        <v>264</v>
      </c>
      <c r="B72" s="49">
        <f>IF(OR(-19528.64679="",-19528.64679=0),"-",-19528.64679)</f>
        <v>-19528.646789999999</v>
      </c>
      <c r="C72" s="49">
        <f>IF(OR(-17555.40708="",-17555.40708=0),"-",-17555.40708)</f>
        <v>-17555.407080000001</v>
      </c>
      <c r="D72" s="63">
        <f>IF(OR(-19528.64679="",-17555.40708="",-19528.64679=0,-17555.40708=0),"-",-17555.40708/-19528.64679*100)</f>
        <v>89.895665935181796</v>
      </c>
    </row>
    <row r="73" spans="1:4" x14ac:dyDescent="0.25">
      <c r="A73" s="48" t="s">
        <v>238</v>
      </c>
      <c r="B73" s="49">
        <f>IF(OR(53988.16264="",53988.16264=0),"-",53988.16264)</f>
        <v>53988.162640000002</v>
      </c>
      <c r="C73" s="49">
        <f>IF(OR(41077.55305="",41077.55305=0),"-",41077.55305)</f>
        <v>41077.553050000002</v>
      </c>
      <c r="D73" s="63">
        <f>IF(OR(53988.16264="",41077.55305="",53988.16264=0,41077.55305=0),"-",41077.55305/53988.16264*100)</f>
        <v>76.086221573996511</v>
      </c>
    </row>
    <row r="74" spans="1:4" x14ac:dyDescent="0.25">
      <c r="A74" s="48" t="s">
        <v>239</v>
      </c>
      <c r="B74" s="49">
        <f>IF(OR(2146.94217="",2146.94217=0),"-",2146.94217)</f>
        <v>2146.9421699999998</v>
      </c>
      <c r="C74" s="49">
        <f>IF(OR(2925.73087="",2925.73087=0),"-",2925.73087)</f>
        <v>2925.7308699999999</v>
      </c>
      <c r="D74" s="63">
        <f>IF(OR(2146.94217="",2925.73087="",2146.94217=0,2925.73087=0),"-",2925.73087/2146.94217*100)</f>
        <v>136.27432125943105</v>
      </c>
    </row>
    <row r="75" spans="1:4" x14ac:dyDescent="0.25">
      <c r="A75" s="48" t="s">
        <v>240</v>
      </c>
      <c r="B75" s="49">
        <f>IF(OR(87265.69783="",87265.69783=0),"-",87265.69783)</f>
        <v>87265.697830000005</v>
      </c>
      <c r="C75" s="49">
        <f>IF(OR(65702.54945="",65702.54945=0),"-",65702.54945)</f>
        <v>65702.549450000006</v>
      </c>
      <c r="D75" s="63">
        <f>IF(OR(87265.69783="",65702.54945="",87265.69783=0,65702.54945=0),"-",65702.54945/87265.69783*100)</f>
        <v>75.290235549360304</v>
      </c>
    </row>
    <row r="76" spans="1:4" x14ac:dyDescent="0.25">
      <c r="A76" s="48" t="s">
        <v>241</v>
      </c>
      <c r="B76" s="49">
        <f>IF(OR(-5991.99789="",-5991.99789=0),"-",-5991.99789)</f>
        <v>-5991.9978899999996</v>
      </c>
      <c r="C76" s="49">
        <f>IF(OR(-1692.58175="",-1692.58175=0),"-",-1692.58175)</f>
        <v>-1692.5817500000001</v>
      </c>
      <c r="D76" s="63">
        <f>IF(OR(-5991.99789="",-1692.58175="",-5991.99789=0,-1692.58175=0),"-",-1692.58175/-5991.99789*100)</f>
        <v>28.247368925558821</v>
      </c>
    </row>
    <row r="77" spans="1:4" x14ac:dyDescent="0.25">
      <c r="A77" s="48" t="s">
        <v>265</v>
      </c>
      <c r="B77" s="49">
        <f>IF(OR(-22578.93719="",-22578.93719=0),"-",-22578.93719)</f>
        <v>-22578.937190000001</v>
      </c>
      <c r="C77" s="49">
        <f>IF(OR(-19143.64354="",-19143.64354=0),"-",-19143.64354)</f>
        <v>-19143.643540000001</v>
      </c>
      <c r="D77" s="63">
        <f>IF(OR(-22578.93719="",-19143.64354="",-22578.93719=0,-19143.64354=0),"-",-19143.64354/-22578.93719*100)</f>
        <v>84.785405880302207</v>
      </c>
    </row>
    <row r="78" spans="1:4" ht="25.5" x14ac:dyDescent="0.25">
      <c r="A78" s="48" t="s">
        <v>243</v>
      </c>
      <c r="B78" s="49">
        <f>IF(OR(-4571.6659="",-4571.6659=0),"-",-4571.6659)</f>
        <v>-4571.6659</v>
      </c>
      <c r="C78" s="49">
        <f>IF(OR(-4089.48917="",-4089.48917=0),"-",-4089.48917)</f>
        <v>-4089.4891699999998</v>
      </c>
      <c r="D78" s="63">
        <f>IF(OR(-4571.6659="",-4089.48917="",-4571.6659=0,-4089.48917=0),"-",-4089.48917/-4571.6659*100)</f>
        <v>89.45293158889848</v>
      </c>
    </row>
    <row r="79" spans="1:4" x14ac:dyDescent="0.25">
      <c r="A79" s="48" t="s">
        <v>36</v>
      </c>
      <c r="B79" s="49">
        <f>IF(OR(-102143.20176="",-102143.20176=0),"-",-102143.20176)</f>
        <v>-102143.20176</v>
      </c>
      <c r="C79" s="49">
        <f>IF(OR(-82653.52239="",-82653.52239=0),"-",-82653.52239)</f>
        <v>-82653.522389999998</v>
      </c>
      <c r="D79" s="63">
        <f>IF(OR(-102143.20176="",-82653.52239="",-102143.20176=0,-82653.52239=0),"-",-82653.52239/-102143.20176*100)</f>
        <v>80.919259398394644</v>
      </c>
    </row>
    <row r="80" spans="1:4" x14ac:dyDescent="0.25">
      <c r="A80" s="56" t="s">
        <v>244</v>
      </c>
      <c r="B80" s="57">
        <f>IF(321.44525="","-",321.44525)</f>
        <v>321.44524999999999</v>
      </c>
      <c r="C80" s="57">
        <f>IF(229.85955="","-",229.85955)</f>
        <v>229.85955000000001</v>
      </c>
      <c r="D80" s="64">
        <f>IF(321.44525="","-",229.85955/321.44525*100)</f>
        <v>71.508149521574822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2020-09-11T12:30:52Z</cp:lastPrinted>
  <dcterms:created xsi:type="dcterms:W3CDTF">2016-09-01T07:59:47Z</dcterms:created>
  <dcterms:modified xsi:type="dcterms:W3CDTF">2020-09-14T05:08:07Z</dcterms:modified>
</cp:coreProperties>
</file>