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tables/table1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Utilizator Inga\Desktop\Comert_ect_comunicat\"/>
    </mc:Choice>
  </mc:AlternateContent>
  <xr:revisionPtr revIDLastSave="0" documentId="13_ncr:1_{D95B9442-5552-4BA2-ADF0-8B3F6F458318}" xr6:coauthVersionLast="47" xr6:coauthVersionMax="47" xr10:uidLastSave="{00000000-0000-0000-0000-000000000000}"/>
  <bookViews>
    <workbookView xWindow="-120" yWindow="-120" windowWidth="29040" windowHeight="15720" tabRatio="857" xr2:uid="{00000000-000D-0000-FFFF-FFFF00000000}"/>
  </bookViews>
  <sheets>
    <sheet name="Figura 1" sheetId="1" r:id="rId1"/>
    <sheet name="Figura 2" sheetId="2" r:id="rId2"/>
    <sheet name="Sheet1" sheetId="18" state="hidden" r:id="rId3"/>
    <sheet name="Figura 3" sheetId="3" r:id="rId4"/>
    <sheet name="Figura 4" sheetId="4" r:id="rId5"/>
    <sheet name="Figura 5" sheetId="5" r:id="rId6"/>
    <sheet name="Figura 6" sheetId="17" r:id="rId7"/>
    <sheet name="Figura 7" sheetId="7" r:id="rId8"/>
    <sheet name="Figura 8" sheetId="8" r:id="rId9"/>
    <sheet name="Figura 9" sheetId="9" r:id="rId10"/>
    <sheet name="Figura 10" sheetId="10" r:id="rId11"/>
    <sheet name="Figura 11" sheetId="16" r:id="rId12"/>
    <sheet name="Figura 12" sheetId="12" r:id="rId13"/>
    <sheet name="Figura 13" sheetId="13" r:id="rId14"/>
    <sheet name="Figura 14" sheetId="14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6" i="2" l="1"/>
  <c r="G40" i="16" l="1"/>
  <c r="G49" i="16"/>
  <c r="G48" i="16"/>
  <c r="G47" i="16"/>
  <c r="G46" i="16"/>
  <c r="G45" i="16"/>
  <c r="G44" i="16"/>
  <c r="G43" i="16"/>
  <c r="G42" i="16"/>
  <c r="G41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AE26" i="8"/>
  <c r="F49" i="16" l="1"/>
  <c r="E49" i="16"/>
  <c r="D49" i="16"/>
  <c r="C49" i="16"/>
  <c r="B49" i="16"/>
  <c r="F48" i="16"/>
  <c r="E48" i="16"/>
  <c r="D48" i="16"/>
  <c r="C48" i="16"/>
  <c r="B48" i="16"/>
  <c r="F47" i="16"/>
  <c r="E47" i="16"/>
  <c r="D47" i="16"/>
  <c r="C47" i="16"/>
  <c r="B47" i="16"/>
  <c r="F46" i="16"/>
  <c r="E46" i="16"/>
  <c r="D46" i="16"/>
  <c r="C46" i="16"/>
  <c r="B46" i="16"/>
  <c r="F45" i="16"/>
  <c r="E45" i="16"/>
  <c r="D45" i="16"/>
  <c r="C45" i="16"/>
  <c r="B45" i="16"/>
  <c r="F44" i="16"/>
  <c r="E44" i="16"/>
  <c r="D44" i="16"/>
  <c r="C44" i="16"/>
  <c r="B44" i="16"/>
  <c r="F43" i="16"/>
  <c r="E43" i="16"/>
  <c r="D43" i="16"/>
  <c r="C43" i="16"/>
  <c r="B43" i="16"/>
  <c r="F42" i="16"/>
  <c r="E42" i="16"/>
  <c r="D42" i="16"/>
  <c r="C42" i="16"/>
  <c r="B42" i="16"/>
  <c r="F41" i="16"/>
  <c r="E41" i="16"/>
  <c r="D41" i="16"/>
  <c r="C41" i="16"/>
  <c r="B41" i="16"/>
  <c r="F40" i="16"/>
  <c r="E40" i="16"/>
  <c r="D40" i="16"/>
  <c r="C40" i="16"/>
  <c r="B40" i="16"/>
  <c r="F39" i="16"/>
  <c r="E39" i="16"/>
  <c r="D39" i="16"/>
  <c r="C39" i="16"/>
  <c r="B39" i="16"/>
  <c r="F38" i="16"/>
  <c r="E38" i="16"/>
  <c r="D38" i="16"/>
  <c r="C38" i="16"/>
  <c r="B38" i="16"/>
  <c r="F37" i="16"/>
  <c r="E37" i="16"/>
  <c r="D37" i="16"/>
  <c r="C37" i="16"/>
  <c r="B37" i="16"/>
  <c r="F36" i="16"/>
  <c r="E36" i="16"/>
  <c r="D36" i="16"/>
  <c r="C36" i="16"/>
  <c r="B36" i="16"/>
  <c r="F35" i="16"/>
  <c r="E35" i="16"/>
  <c r="D35" i="16"/>
  <c r="C35" i="16"/>
  <c r="B35" i="16"/>
  <c r="F34" i="16"/>
  <c r="E34" i="16"/>
  <c r="D34" i="16"/>
  <c r="C34" i="16"/>
  <c r="B34" i="16"/>
  <c r="F33" i="16"/>
  <c r="E33" i="16"/>
  <c r="D33" i="16"/>
  <c r="C33" i="16"/>
  <c r="B33" i="16"/>
  <c r="F32" i="16"/>
  <c r="E32" i="16"/>
  <c r="D32" i="16"/>
  <c r="C32" i="16"/>
  <c r="B32" i="16"/>
  <c r="F31" i="16"/>
  <c r="E31" i="16"/>
  <c r="D31" i="16"/>
  <c r="C31" i="16"/>
  <c r="B31" i="16"/>
  <c r="F30" i="16"/>
  <c r="E30" i="16"/>
  <c r="D30" i="16"/>
  <c r="C30" i="16"/>
  <c r="B30" i="16"/>
  <c r="F29" i="16"/>
  <c r="E29" i="16"/>
  <c r="D29" i="16"/>
  <c r="C29" i="16"/>
  <c r="B29" i="16"/>
  <c r="F28" i="16"/>
  <c r="E28" i="16"/>
  <c r="D28" i="16"/>
  <c r="C28" i="16"/>
  <c r="B28" i="16"/>
  <c r="F27" i="16"/>
  <c r="E27" i="16"/>
  <c r="D27" i="16"/>
  <c r="C27" i="16"/>
  <c r="B27" i="16"/>
  <c r="F26" i="16"/>
  <c r="E26" i="16"/>
  <c r="D26" i="16"/>
  <c r="C26" i="16"/>
  <c r="B26" i="16"/>
  <c r="F25" i="16"/>
  <c r="E25" i="16"/>
  <c r="D25" i="16"/>
  <c r="C25" i="16"/>
  <c r="B25" i="16"/>
  <c r="AD26" i="8" l="1"/>
  <c r="AC26" i="8"/>
  <c r="AB26" i="8"/>
  <c r="AA26" i="8"/>
  <c r="Z26" i="8"/>
  <c r="G46" i="5" l="1"/>
  <c r="F46" i="5"/>
  <c r="E46" i="5"/>
  <c r="D46" i="5"/>
  <c r="C46" i="5"/>
  <c r="B46" i="5"/>
  <c r="G45" i="5"/>
  <c r="F45" i="5"/>
  <c r="E45" i="5"/>
  <c r="D45" i="5"/>
  <c r="C45" i="5"/>
  <c r="B45" i="5"/>
  <c r="G44" i="5"/>
  <c r="F44" i="5"/>
  <c r="E44" i="5"/>
  <c r="D44" i="5"/>
  <c r="C44" i="5"/>
  <c r="B44" i="5"/>
  <c r="G43" i="5"/>
  <c r="F43" i="5"/>
  <c r="E43" i="5"/>
  <c r="D43" i="5"/>
  <c r="C43" i="5"/>
  <c r="B43" i="5"/>
  <c r="G42" i="5"/>
  <c r="F42" i="5"/>
  <c r="E42" i="5"/>
  <c r="D42" i="5"/>
  <c r="C42" i="5"/>
  <c r="B42" i="5"/>
  <c r="G41" i="5"/>
  <c r="F41" i="5"/>
  <c r="E41" i="5"/>
  <c r="D41" i="5"/>
  <c r="C41" i="5"/>
  <c r="B41" i="5"/>
  <c r="G40" i="5"/>
  <c r="F40" i="5"/>
  <c r="E40" i="5"/>
  <c r="D40" i="5"/>
  <c r="C40" i="5"/>
  <c r="B40" i="5"/>
  <c r="G39" i="5"/>
  <c r="F39" i="5"/>
  <c r="E39" i="5"/>
  <c r="D39" i="5"/>
  <c r="C39" i="5"/>
  <c r="B39" i="5"/>
  <c r="G38" i="5"/>
  <c r="F38" i="5"/>
  <c r="E38" i="5"/>
  <c r="D38" i="5"/>
  <c r="C38" i="5"/>
  <c r="B38" i="5"/>
  <c r="G37" i="5"/>
  <c r="F37" i="5"/>
  <c r="E37" i="5"/>
  <c r="D37" i="5"/>
  <c r="C37" i="5"/>
  <c r="B37" i="5"/>
  <c r="G36" i="5"/>
  <c r="F36" i="5"/>
  <c r="E36" i="5"/>
  <c r="D36" i="5"/>
  <c r="C36" i="5"/>
  <c r="B36" i="5"/>
  <c r="G35" i="5"/>
  <c r="F35" i="5"/>
  <c r="E35" i="5"/>
  <c r="D35" i="5"/>
  <c r="C35" i="5"/>
  <c r="B35" i="5"/>
  <c r="G34" i="5"/>
  <c r="F34" i="5"/>
  <c r="E34" i="5"/>
  <c r="D34" i="5"/>
  <c r="C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C27" i="5"/>
  <c r="B27" i="5"/>
  <c r="G26" i="5"/>
  <c r="F26" i="5"/>
  <c r="E26" i="5"/>
  <c r="D26" i="5"/>
  <c r="C26" i="5"/>
  <c r="B26" i="5"/>
  <c r="AE26" i="2" l="1"/>
  <c r="AD26" i="2"/>
  <c r="AC26" i="2"/>
  <c r="AB26" i="2"/>
  <c r="Z26" i="2"/>
  <c r="Y26" i="8" l="1"/>
  <c r="X26" i="8"/>
  <c r="Y26" i="2"/>
  <c r="X26" i="2"/>
  <c r="W26" i="8"/>
  <c r="V26" i="8"/>
  <c r="U26" i="8"/>
  <c r="T26" i="8"/>
  <c r="S26" i="8"/>
  <c r="R26" i="8"/>
  <c r="Q26" i="8"/>
  <c r="P26" i="8"/>
  <c r="O26" i="8"/>
  <c r="N26" i="8"/>
  <c r="Q26" i="2" l="1"/>
  <c r="W26" i="2"/>
  <c r="V26" i="2"/>
  <c r="U26" i="2"/>
  <c r="T26" i="2"/>
  <c r="S26" i="2"/>
  <c r="R26" i="2"/>
  <c r="P26" i="2"/>
  <c r="O26" i="2"/>
  <c r="N26" i="2"/>
  <c r="L26" i="8" l="1"/>
  <c r="M26" i="8" l="1"/>
  <c r="K26" i="8"/>
  <c r="J26" i="8"/>
  <c r="I26" i="8"/>
  <c r="H26" i="8"/>
  <c r="G26" i="8"/>
  <c r="F26" i="8"/>
  <c r="E26" i="8"/>
  <c r="D26" i="8"/>
  <c r="C26" i="8"/>
  <c r="B26" i="8"/>
  <c r="M26" i="2" l="1"/>
  <c r="L26" i="2"/>
  <c r="K26" i="2"/>
  <c r="J26" i="2"/>
  <c r="I26" i="2"/>
  <c r="H26" i="2"/>
  <c r="G26" i="2"/>
  <c r="F26" i="2"/>
  <c r="E26" i="2"/>
  <c r="D26" i="2"/>
  <c r="C26" i="2"/>
  <c r="B26" i="2"/>
</calcChain>
</file>

<file path=xl/sharedStrings.xml><?xml version="1.0" encoding="utf-8"?>
<sst xmlns="http://schemas.openxmlformats.org/spreadsheetml/2006/main" count="293" uniqueCount="119">
  <si>
    <t xml:space="preserve">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</si>
  <si>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</si>
  <si>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</si>
  <si>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</si>
  <si>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</si>
  <si>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</si>
  <si>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</si>
  <si>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</si>
  <si>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</si>
  <si>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</si>
  <si>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</si>
  <si>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</si>
  <si>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</si>
  <si>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</t>
  </si>
  <si>
    <t>II</t>
  </si>
  <si>
    <t>III</t>
  </si>
  <si>
    <t>IV</t>
  </si>
  <si>
    <t>V</t>
  </si>
  <si>
    <t>VII</t>
  </si>
  <si>
    <t>IX</t>
  </si>
  <si>
    <t>XI</t>
  </si>
  <si>
    <t>XII</t>
  </si>
  <si>
    <t>VI</t>
  </si>
  <si>
    <t>VIII</t>
  </si>
  <si>
    <t>X</t>
  </si>
  <si>
    <t>Moduri de transport</t>
  </si>
  <si>
    <t>Transport maritim</t>
  </si>
  <si>
    <t>Transport feroviar</t>
  </si>
  <si>
    <t>Transport rutier</t>
  </si>
  <si>
    <t>Transport aerian</t>
  </si>
  <si>
    <t xml:space="preserve">Ţările Uniunii Europene </t>
  </si>
  <si>
    <t xml:space="preserve">Ţările CSI </t>
  </si>
  <si>
    <t xml:space="preserve">Celelalte ţări ale lumii </t>
  </si>
  <si>
    <t>România</t>
  </si>
  <si>
    <t>Germania</t>
  </si>
  <si>
    <t>Turcia</t>
  </si>
  <si>
    <t>Italia</t>
  </si>
  <si>
    <t>Polonia</t>
  </si>
  <si>
    <t>Ucraina</t>
  </si>
  <si>
    <t>Belarus</t>
  </si>
  <si>
    <t>Ungaria</t>
  </si>
  <si>
    <t>Spania</t>
  </si>
  <si>
    <t>Bulgaria</t>
  </si>
  <si>
    <t xml:space="preserve">Regatul Unit </t>
  </si>
  <si>
    <t>%</t>
  </si>
  <si>
    <t>Expedieri poştale</t>
  </si>
  <si>
    <t>Instalaţii fixe de transport</t>
  </si>
  <si>
    <t>Autopropulsie</t>
  </si>
  <si>
    <t>Ţările Uniunii Europene - total</t>
  </si>
  <si>
    <t>Ţările CSI - total</t>
  </si>
  <si>
    <t>Celelalte ţări ale lumii - total</t>
  </si>
  <si>
    <t>Perioada</t>
  </si>
  <si>
    <t>Export</t>
  </si>
  <si>
    <t>Import</t>
  </si>
  <si>
    <t>Balanţa Comercială</t>
  </si>
  <si>
    <t>În % faţă de luna precedentă</t>
  </si>
  <si>
    <t>În % faţă de luna corespunzătoare din anul precedent</t>
  </si>
  <si>
    <t>Grecia</t>
  </si>
  <si>
    <t>Cehia</t>
  </si>
  <si>
    <t>S.U.A.</t>
  </si>
  <si>
    <t>Cereale şi preparate pe bază de cereale</t>
  </si>
  <si>
    <t>Legume şi fructe</t>
  </si>
  <si>
    <t>Seminţe şi fructe oleaginoase</t>
  </si>
  <si>
    <t xml:space="preserve">Grăsimi şi uleiuri vegetale </t>
  </si>
  <si>
    <t>Produse medicinale şi farmaceutice</t>
  </si>
  <si>
    <t xml:space="preserve">Maşini şi aparate electrice </t>
  </si>
  <si>
    <t>Mobilă şi părţile ei</t>
  </si>
  <si>
    <t>Îmbrăcăminte şi accesorii</t>
  </si>
  <si>
    <t>Alte mărfuri</t>
  </si>
  <si>
    <t>Băuturi alcoolice şi nealcoolice</t>
  </si>
  <si>
    <t>Gaz şi produse industriale obţinute din gaz</t>
  </si>
  <si>
    <t xml:space="preserve">Maşini şi aparate specializate </t>
  </si>
  <si>
    <t xml:space="preserve">Vehicule rutiere </t>
  </si>
  <si>
    <t xml:space="preserve">Maşini şi aparate industriale </t>
  </si>
  <si>
    <t>Netherlands</t>
  </si>
  <si>
    <t>Vehicule rutiere</t>
  </si>
  <si>
    <t>Articole din minerale nemetalice</t>
  </si>
  <si>
    <t xml:space="preserve">Petrol, produse petroliere </t>
  </si>
  <si>
    <t xml:space="preserve">Fire, tesături, articole textile </t>
  </si>
  <si>
    <t>Petrol, produse petroliere</t>
  </si>
  <si>
    <t xml:space="preserve">Aparate şi echipamente de telecomunicaţii </t>
  </si>
  <si>
    <t>Kazahstan</t>
  </si>
  <si>
    <r>
      <rPr>
        <b/>
        <sz val="10"/>
        <color theme="1"/>
        <rFont val="Arial"/>
        <family val="2"/>
        <charset val="204"/>
      </rPr>
      <t xml:space="preserve">Figura 6. </t>
    </r>
    <r>
      <rPr>
        <b/>
        <i/>
        <sz val="10"/>
        <color theme="1"/>
        <rFont val="Arial"/>
        <family val="2"/>
        <charset val="204"/>
      </rPr>
      <t>Structura exporturilor, pe grupe de mărfuri (%)</t>
    </r>
  </si>
  <si>
    <r>
      <t xml:space="preserve">Figura 12. </t>
    </r>
    <r>
      <rPr>
        <b/>
        <i/>
        <sz val="10"/>
        <color theme="1"/>
        <rFont val="Arial"/>
        <family val="2"/>
        <charset val="204"/>
      </rPr>
      <t>Structura importurilor, pe grupe de mărfuri (%)</t>
    </r>
  </si>
  <si>
    <r>
      <t xml:space="preserve">Figura 1. </t>
    </r>
    <r>
      <rPr>
        <b/>
        <i/>
        <sz val="10"/>
        <color theme="1"/>
        <rFont val="Arial"/>
        <family val="2"/>
        <charset val="204"/>
      </rPr>
      <t>Evoluţia lunară a exporturilor de mărfuri, în anii 2018-2023 (milioane dolari SUA)</t>
    </r>
  </si>
  <si>
    <r>
      <t xml:space="preserve">Figura 2. </t>
    </r>
    <r>
      <rPr>
        <b/>
        <i/>
        <sz val="10"/>
        <color indexed="8"/>
        <rFont val="Arial"/>
        <family val="2"/>
        <charset val="204"/>
      </rPr>
      <t>Evoluţia lunară a indicilor valorici ai exporturilor de mărfuri, în anii 2021-2023 (%)</t>
    </r>
  </si>
  <si>
    <r>
      <rPr>
        <b/>
        <sz val="10"/>
        <color indexed="8"/>
        <rFont val="Arial"/>
        <family val="2"/>
        <charset val="204"/>
      </rPr>
      <t>Figura 7.</t>
    </r>
    <r>
      <rPr>
        <b/>
        <i/>
        <sz val="10"/>
        <color indexed="8"/>
        <rFont val="Arial"/>
        <family val="2"/>
        <charset val="204"/>
      </rPr>
      <t xml:space="preserve"> Evoluţia lunară a importurilor de mărfuri, în anii 2018-2023 (milioane dolari SUA)</t>
    </r>
  </si>
  <si>
    <r>
      <t xml:space="preserve">Figura 8. </t>
    </r>
    <r>
      <rPr>
        <b/>
        <i/>
        <sz val="10"/>
        <color indexed="8"/>
        <rFont val="Arial"/>
        <family val="2"/>
        <charset val="204"/>
      </rPr>
      <t>Evoluţia lunară a indicilor valorici ai importurilor de mărfuri, în anii 2021-2023 (%)</t>
    </r>
  </si>
  <si>
    <r>
      <t xml:space="preserve">Figura 13. </t>
    </r>
    <r>
      <rPr>
        <b/>
        <i/>
        <sz val="10"/>
        <color indexed="8"/>
        <rFont val="Arial"/>
        <family val="2"/>
        <charset val="204"/>
      </rPr>
      <t>Evoluţia lunară a balanţei comerciale, în anii 2018-2023 (milioane dolari SUA)</t>
    </r>
  </si>
  <si>
    <t>Cipru</t>
  </si>
  <si>
    <t>Îngrăşăminte minerale sau chimice</t>
  </si>
  <si>
    <t>Liban</t>
  </si>
  <si>
    <t>Articole prelucrate din metal</t>
  </si>
  <si>
    <t>Ianuarie-iunie 2023</t>
  </si>
  <si>
    <t>Ianuarie-iunie 2022</t>
  </si>
  <si>
    <t>Ianuarie-iunie 2021</t>
  </si>
  <si>
    <t>Ianuarie-iunie 2020</t>
  </si>
  <si>
    <t>Ianuarie-iunie 2019</t>
  </si>
  <si>
    <t>Ianuarie-iunie 2018</t>
  </si>
  <si>
    <t>Federația Rusă</t>
  </si>
  <si>
    <t>Franța</t>
  </si>
  <si>
    <t>Elveția</t>
  </si>
  <si>
    <t>Regatul Unit</t>
  </si>
  <si>
    <t>China</t>
  </si>
  <si>
    <t>India</t>
  </si>
  <si>
    <t>Austria</t>
  </si>
  <si>
    <t>Japonia</t>
  </si>
  <si>
    <t>Slovacia</t>
  </si>
  <si>
    <t>Belgia</t>
  </si>
  <si>
    <t>Coreea de Sud</t>
  </si>
  <si>
    <r>
      <rPr>
        <b/>
        <sz val="10"/>
        <color rgb="FF000000"/>
        <rFont val="Arial"/>
        <family val="2"/>
        <charset val="204"/>
      </rPr>
      <t xml:space="preserve">Figura 3. </t>
    </r>
    <r>
      <rPr>
        <b/>
        <i/>
        <sz val="10"/>
        <color indexed="8"/>
        <rFont val="Arial"/>
        <family val="2"/>
        <charset val="204"/>
      </rPr>
      <t>Structura exporturilor de mărfuri, în ianuarie-iunie 2018-2023, după modul de transport (%)</t>
    </r>
  </si>
  <si>
    <r>
      <rPr>
        <b/>
        <sz val="10"/>
        <color rgb="FF000000"/>
        <rFont val="Arial"/>
        <family val="2"/>
        <charset val="204"/>
      </rPr>
      <t>Figura 5.</t>
    </r>
    <r>
      <rPr>
        <b/>
        <i/>
        <sz val="10"/>
        <color indexed="8"/>
        <rFont val="Arial"/>
        <family val="2"/>
        <charset val="204"/>
      </rPr>
      <t xml:space="preserve"> Structura exporturilor, în ianuarie-iunie 2018-2023, pe principalele ţări de destinaţie a mărfurilor (%)</t>
    </r>
  </si>
  <si>
    <r>
      <t xml:space="preserve">Figura 9. </t>
    </r>
    <r>
      <rPr>
        <b/>
        <i/>
        <sz val="10"/>
        <color rgb="FF000000"/>
        <rFont val="Arial"/>
        <family val="2"/>
        <charset val="204"/>
      </rPr>
      <t>Structura importurilor de mărfuri, în ianuarie-iunie 2018-2023, după modul de transport (%)</t>
    </r>
  </si>
  <si>
    <r>
      <t xml:space="preserve">    </t>
    </r>
    <r>
      <rPr>
        <b/>
        <sz val="10"/>
        <color theme="1"/>
        <rFont val="Arial"/>
        <family val="2"/>
        <charset val="204"/>
      </rPr>
      <t>Figura 10.</t>
    </r>
    <r>
      <rPr>
        <b/>
        <i/>
        <sz val="10"/>
        <color theme="1"/>
        <rFont val="Arial"/>
        <family val="2"/>
        <charset val="204"/>
      </rPr>
      <t xml:space="preserve"> Structura importurilor de mărfuri, în ianuarie-iunie 2018-2023, pe grupe de ţări (%)</t>
    </r>
  </si>
  <si>
    <r>
      <t xml:space="preserve">Figura 11. </t>
    </r>
    <r>
      <rPr>
        <b/>
        <i/>
        <sz val="10"/>
        <color rgb="FF000000"/>
        <rFont val="Arial"/>
        <family val="2"/>
        <charset val="204"/>
      </rPr>
      <t>Structura importurilor, în ianuarie-iunie 2018-2023, pe principalele ţări de origine a mărfurilor (%)</t>
    </r>
  </si>
  <si>
    <r>
      <rPr>
        <b/>
        <sz val="10"/>
        <color rgb="FF000000"/>
        <rFont val="Arial"/>
        <family val="2"/>
        <charset val="204"/>
      </rPr>
      <t xml:space="preserve">Figura 14. </t>
    </r>
    <r>
      <rPr>
        <b/>
        <i/>
        <sz val="10"/>
        <color indexed="8"/>
        <rFont val="Arial"/>
        <family val="2"/>
        <charset val="204"/>
      </rPr>
      <t>Tendinţele comerţului internaţional cu mărfuri, în ianuarie-iunie 2018-2023 (milioane dolari SUA)</t>
    </r>
  </si>
  <si>
    <r>
      <rPr>
        <b/>
        <sz val="10"/>
        <color rgb="FF000000"/>
        <rFont val="Arial"/>
        <family val="2"/>
        <charset val="204"/>
      </rPr>
      <t xml:space="preserve">Figura 4. </t>
    </r>
    <r>
      <rPr>
        <b/>
        <i/>
        <sz val="10"/>
        <color indexed="8"/>
        <rFont val="Arial"/>
        <family val="2"/>
        <charset val="204"/>
      </rPr>
      <t>Structura exporturilor de mărfuri, în ianuarie-iunie 2018-2023, pe grupe de ţări (%)</t>
    </r>
  </si>
  <si>
    <t xml:space="preserve">   Ianuarie-iunie 2022</t>
  </si>
  <si>
    <t xml:space="preserve">   Ianuarie-iunie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</si>
</sst>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"/>
  </numFmts>
  <fonts count="3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rgb="FF008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sz val="12"/>
      <color rgb="FF008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1"/>
      <color rgb="FF0066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1"/>
      <color rgb="FF0000FF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32" fillId="0" borderId="0"/>
    <xf numFmtId="0" fontId="32" fillId="0" borderId="0"/>
  </cellStyleXfs>
  <cellXfs count="15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wrapText="1" indent="1"/>
    </xf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left" wrapText="1" indent="1"/>
    </xf>
    <xf numFmtId="0" fontId="6" fillId="0" borderId="13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wrapText="1" indent="1"/>
    </xf>
    <xf numFmtId="165" fontId="4" fillId="0" borderId="9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4" xfId="0" applyNumberFormat="1" applyFont="1" applyBorder="1" applyAlignment="1">
      <alignment horizontal="left" indent="1"/>
    </xf>
    <xf numFmtId="2" fontId="3" fillId="0" borderId="5" xfId="0" applyNumberFormat="1" applyFont="1" applyBorder="1" applyAlignment="1">
      <alignment horizontal="left" indent="1"/>
    </xf>
    <xf numFmtId="2" fontId="3" fillId="0" borderId="6" xfId="0" applyNumberFormat="1" applyFont="1" applyBorder="1" applyAlignment="1">
      <alignment horizontal="left" indent="1"/>
    </xf>
    <xf numFmtId="165" fontId="2" fillId="0" borderId="0" xfId="0" applyNumberFormat="1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8" fillId="0" borderId="0" xfId="0" applyFont="1"/>
    <xf numFmtId="0" fontId="8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166" fontId="15" fillId="0" borderId="0" xfId="0" applyNumberFormat="1" applyFont="1" applyAlignment="1">
      <alignment horizontal="center" vertical="top"/>
    </xf>
    <xf numFmtId="166" fontId="15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center" wrapText="1"/>
    </xf>
    <xf numFmtId="38" fontId="4" fillId="0" borderId="0" xfId="0" applyNumberFormat="1" applyFont="1" applyAlignment="1">
      <alignment horizontal="left" vertical="top" wrapText="1" indent="1"/>
    </xf>
    <xf numFmtId="165" fontId="18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 wrapText="1"/>
    </xf>
    <xf numFmtId="165" fontId="11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 horizontal="center"/>
    </xf>
    <xf numFmtId="0" fontId="24" fillId="0" borderId="0" xfId="0" applyFont="1"/>
    <xf numFmtId="164" fontId="2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/>
    </xf>
    <xf numFmtId="165" fontId="29" fillId="0" borderId="0" xfId="0" applyNumberFormat="1" applyFont="1" applyAlignment="1">
      <alignment horizontal="center"/>
    </xf>
    <xf numFmtId="165" fontId="30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 vertical="top" wrapText="1"/>
    </xf>
    <xf numFmtId="164" fontId="30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164" fontId="2" fillId="0" borderId="11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top"/>
    </xf>
    <xf numFmtId="38" fontId="15" fillId="0" borderId="0" xfId="0" applyNumberFormat="1" applyFont="1" applyAlignment="1">
      <alignment horizontal="left" vertical="top" wrapText="1"/>
    </xf>
    <xf numFmtId="164" fontId="31" fillId="0" borderId="0" xfId="0" applyNumberFormat="1" applyFont="1" applyAlignment="1">
      <alignment horizontal="center" vertical="center"/>
    </xf>
    <xf numFmtId="165" fontId="15" fillId="0" borderId="0" xfId="0" applyNumberFormat="1" applyFont="1" applyAlignment="1">
      <alignment horizontal="center" vertical="top"/>
    </xf>
    <xf numFmtId="0" fontId="26" fillId="0" borderId="0" xfId="0" applyFont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33" fillId="0" borderId="0" xfId="0" applyFont="1"/>
    <xf numFmtId="164" fontId="4" fillId="0" borderId="11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indent="1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8" fontId="6" fillId="0" borderId="10" xfId="0" applyNumberFormat="1" applyFont="1" applyBorder="1" applyAlignment="1">
      <alignment horizontal="left" wrapText="1" indent="1"/>
    </xf>
    <xf numFmtId="38" fontId="6" fillId="0" borderId="11" xfId="0" applyNumberFormat="1" applyFont="1" applyBorder="1" applyAlignment="1">
      <alignment horizontal="left" wrapText="1" indent="1"/>
    </xf>
    <xf numFmtId="38" fontId="6" fillId="0" borderId="9" xfId="0" applyNumberFormat="1" applyFont="1" applyBorder="1" applyAlignment="1">
      <alignment horizontal="left" wrapText="1" indent="1"/>
    </xf>
    <xf numFmtId="165" fontId="4" fillId="0" borderId="5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 horizontal="left" wrapText="1" indent="1"/>
    </xf>
    <xf numFmtId="38" fontId="4" fillId="0" borderId="11" xfId="0" applyNumberFormat="1" applyFont="1" applyBorder="1" applyAlignment="1">
      <alignment horizontal="left" wrapText="1" indent="1"/>
    </xf>
    <xf numFmtId="38" fontId="4" fillId="0" borderId="9" xfId="0" applyNumberFormat="1" applyFont="1" applyBorder="1" applyAlignment="1">
      <alignment horizontal="left" wrapText="1" indent="1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38" fontId="6" fillId="0" borderId="0" xfId="0" applyNumberFormat="1" applyFont="1" applyAlignment="1">
      <alignment horizontal="left" wrapText="1" indent="1"/>
    </xf>
    <xf numFmtId="0" fontId="3" fillId="0" borderId="3" xfId="0" applyFont="1" applyBorder="1" applyAlignment="1">
      <alignment horizontal="left" indent="1"/>
    </xf>
    <xf numFmtId="38" fontId="4" fillId="0" borderId="2" xfId="0" applyNumberFormat="1" applyFont="1" applyBorder="1" applyAlignment="1">
      <alignment horizontal="left" wrapText="1" indent="1"/>
    </xf>
    <xf numFmtId="38" fontId="4" fillId="0" borderId="0" xfId="0" applyNumberFormat="1" applyFont="1" applyAlignment="1">
      <alignment horizontal="left" wrapText="1" indent="1"/>
    </xf>
    <xf numFmtId="38" fontId="4" fillId="0" borderId="3" xfId="0" applyNumberFormat="1" applyFont="1" applyBorder="1" applyAlignment="1">
      <alignment horizontal="left" wrapText="1" indent="1"/>
    </xf>
    <xf numFmtId="164" fontId="2" fillId="0" borderId="8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17" fillId="0" borderId="1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</cellXfs>
  <cellStyles count="5">
    <cellStyle name="Normal" xfId="0" builtinId="0"/>
    <cellStyle name="Normal 2" xfId="1" xr:uid="{00000000-0005-0000-0000-000000000000}"/>
    <cellStyle name="Normal 3" xfId="2" xr:uid="{00000000-0005-0000-0000-000001000000}"/>
    <cellStyle name="Normal 5" xfId="3" xr:uid="{00000000-0005-0000-0000-000002000000}"/>
    <cellStyle name="Normal 6" xfId="4" xr:uid="{00000000-0005-0000-0000-000003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charset val="204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  <protection locked="1" hidden="0"/>
    </dxf>
    <dxf>
      <font>
        <b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C000"/>
      <color rgb="FF7CAFDD"/>
      <color rgb="FF43682B"/>
      <color rgb="FF264478"/>
      <color rgb="FF997300"/>
      <color rgb="FF636363"/>
      <color rgb="FF9E480E"/>
      <color rgb="FF255E91"/>
      <color rgb="FF70AD47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1834308329E-2"/>
          <c:y val="8.2707060720548939E-2"/>
          <c:w val="0.93883343365230676"/>
          <c:h val="0.709332297588362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'Figura 1'!$B$21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1'!$B$22:$B$27</c:f>
              <c:numCache>
                <c:formatCode>#\ ##0.0</c:formatCode>
                <c:ptCount val="6"/>
                <c:pt idx="0">
                  <c:v>220.3</c:v>
                </c:pt>
                <c:pt idx="1">
                  <c:v>234.3</c:v>
                </c:pt>
                <c:pt idx="2">
                  <c:v>219.5</c:v>
                </c:pt>
                <c:pt idx="3">
                  <c:v>198.4</c:v>
                </c:pt>
                <c:pt idx="4">
                  <c:v>330.4</c:v>
                </c:pt>
                <c:pt idx="5">
                  <c:v>331.1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0-4AA7-9226-374D1498C729}"/>
            </c:ext>
          </c:extLst>
        </c:ser>
        <c:ser>
          <c:idx val="3"/>
          <c:order val="1"/>
          <c:tx>
            <c:strRef>
              <c:f>'Figura 1'!$C$21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1'!$C$22:$C$27</c:f>
              <c:numCache>
                <c:formatCode>#\ ##0.0</c:formatCode>
                <c:ptCount val="6"/>
                <c:pt idx="0">
                  <c:v>215.5</c:v>
                </c:pt>
                <c:pt idx="1">
                  <c:v>241.4</c:v>
                </c:pt>
                <c:pt idx="2">
                  <c:v>245.3</c:v>
                </c:pt>
                <c:pt idx="3">
                  <c:v>227</c:v>
                </c:pt>
                <c:pt idx="4">
                  <c:v>336.5</c:v>
                </c:pt>
                <c:pt idx="5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20-4AA7-9226-374D1498C729}"/>
            </c:ext>
          </c:extLst>
        </c:ser>
        <c:ser>
          <c:idx val="4"/>
          <c:order val="2"/>
          <c:tx>
            <c:strRef>
              <c:f>'Figura 1'!$D$21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1'!$D$22:$D$27</c:f>
              <c:numCache>
                <c:formatCode>#\ ##0.0</c:formatCode>
                <c:ptCount val="6"/>
                <c:pt idx="0">
                  <c:v>242.1</c:v>
                </c:pt>
                <c:pt idx="1">
                  <c:v>257.2</c:v>
                </c:pt>
                <c:pt idx="2">
                  <c:v>210.2</c:v>
                </c:pt>
                <c:pt idx="3">
                  <c:v>259.3</c:v>
                </c:pt>
                <c:pt idx="4">
                  <c:v>395.8</c:v>
                </c:pt>
                <c:pt idx="5">
                  <c:v>384.9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20-4AA7-9226-374D1498C729}"/>
            </c:ext>
          </c:extLst>
        </c:ser>
        <c:ser>
          <c:idx val="5"/>
          <c:order val="3"/>
          <c:tx>
            <c:strRef>
              <c:f>'Figura 1'!$E$21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1'!$E$22:$E$27</c:f>
              <c:numCache>
                <c:formatCode>#\ ##0.0</c:formatCode>
                <c:ptCount val="6"/>
                <c:pt idx="0">
                  <c:v>199.7</c:v>
                </c:pt>
                <c:pt idx="1">
                  <c:v>215.6</c:v>
                </c:pt>
                <c:pt idx="2">
                  <c:v>149.80000000000001</c:v>
                </c:pt>
                <c:pt idx="3">
                  <c:v>218.2</c:v>
                </c:pt>
                <c:pt idx="4">
                  <c:v>396.3</c:v>
                </c:pt>
                <c:pt idx="5">
                  <c:v>317.10000000000002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20-4AA7-9226-374D1498C729}"/>
            </c:ext>
          </c:extLst>
        </c:ser>
        <c:ser>
          <c:idx val="6"/>
          <c:order val="4"/>
          <c:tx>
            <c:strRef>
              <c:f>'Figura 1'!$F$21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1'!$F$22:$F$27</c:f>
              <c:numCache>
                <c:formatCode>#\ ##0.0</c:formatCode>
                <c:ptCount val="6"/>
                <c:pt idx="0">
                  <c:v>223</c:v>
                </c:pt>
                <c:pt idx="1">
                  <c:v>210.5</c:v>
                </c:pt>
                <c:pt idx="2">
                  <c:v>155.69999999999999</c:v>
                </c:pt>
                <c:pt idx="3">
                  <c:v>201.7</c:v>
                </c:pt>
                <c:pt idx="4">
                  <c:v>416</c:v>
                </c:pt>
                <c:pt idx="5">
                  <c:v>336.5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20-4AA7-9226-374D1498C729}"/>
            </c:ext>
          </c:extLst>
        </c:ser>
        <c:ser>
          <c:idx val="7"/>
          <c:order val="5"/>
          <c:tx>
            <c:strRef>
              <c:f>'Figura 1'!$G$21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rgbClr val="255E91"/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1'!$G$22:$G$27</c:f>
              <c:numCache>
                <c:formatCode>#\ ##0.0</c:formatCode>
                <c:ptCount val="6"/>
                <c:pt idx="0">
                  <c:v>214.1</c:v>
                </c:pt>
                <c:pt idx="1">
                  <c:v>202.2</c:v>
                </c:pt>
                <c:pt idx="2">
                  <c:v>189.6</c:v>
                </c:pt>
                <c:pt idx="3">
                  <c:v>226.8</c:v>
                </c:pt>
                <c:pt idx="4">
                  <c:v>416.4</c:v>
                </c:pt>
                <c:pt idx="5">
                  <c:v>316.60000000000002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20-4AA7-9226-374D1498C729}"/>
            </c:ext>
          </c:extLst>
        </c:ser>
        <c:ser>
          <c:idx val="8"/>
          <c:order val="6"/>
          <c:tx>
            <c:strRef>
              <c:f>'Figura 1'!$H$21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rgbClr val="9E480E"/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1'!$H$22:$H$27</c:f>
              <c:numCache>
                <c:formatCode>#\ ##0.0</c:formatCode>
                <c:ptCount val="6"/>
                <c:pt idx="0">
                  <c:v>218.8</c:v>
                </c:pt>
                <c:pt idx="1">
                  <c:v>220.2</c:v>
                </c:pt>
                <c:pt idx="2">
                  <c:v>191.1</c:v>
                </c:pt>
                <c:pt idx="3">
                  <c:v>240.7</c:v>
                </c:pt>
                <c:pt idx="4">
                  <c:v>338.2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20-4AA7-9226-374D1498C729}"/>
            </c:ext>
          </c:extLst>
        </c:ser>
        <c:ser>
          <c:idx val="9"/>
          <c:order val="7"/>
          <c:tx>
            <c:strRef>
              <c:f>'Figura 1'!$I$21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636363"/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1'!$I$22:$I$27</c:f>
              <c:numCache>
                <c:formatCode>#\ ##0.0</c:formatCode>
                <c:ptCount val="6"/>
                <c:pt idx="0">
                  <c:v>218.6</c:v>
                </c:pt>
                <c:pt idx="1">
                  <c:v>205.8</c:v>
                </c:pt>
                <c:pt idx="2">
                  <c:v>163.9</c:v>
                </c:pt>
                <c:pt idx="3">
                  <c:v>236.3</c:v>
                </c:pt>
                <c:pt idx="4">
                  <c:v>329.4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20-4AA7-9226-374D1498C729}"/>
            </c:ext>
          </c:extLst>
        </c:ser>
        <c:ser>
          <c:idx val="10"/>
          <c:order val="8"/>
          <c:tx>
            <c:strRef>
              <c:f>'Figura 1'!$J$21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rgbClr val="997300"/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1'!$J$22:$J$27</c:f>
              <c:numCache>
                <c:formatCode>#\ ##0.0</c:formatCode>
                <c:ptCount val="6"/>
                <c:pt idx="0">
                  <c:v>207.3</c:v>
                </c:pt>
                <c:pt idx="1">
                  <c:v>238.8</c:v>
                </c:pt>
                <c:pt idx="2">
                  <c:v>212.3</c:v>
                </c:pt>
                <c:pt idx="3">
                  <c:v>294.89999999999998</c:v>
                </c:pt>
                <c:pt idx="4">
                  <c:v>318.8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20-4AA7-9226-374D1498C729}"/>
            </c:ext>
          </c:extLst>
        </c:ser>
        <c:ser>
          <c:idx val="11"/>
          <c:order val="9"/>
          <c:tx>
            <c:strRef>
              <c:f>'Figura 1'!$K$21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1'!$K$22:$K$27</c:f>
              <c:numCache>
                <c:formatCode>#\ ##0.0</c:formatCode>
                <c:ptCount val="6"/>
                <c:pt idx="0">
                  <c:v>259</c:v>
                </c:pt>
                <c:pt idx="1">
                  <c:v>268.3</c:v>
                </c:pt>
                <c:pt idx="2">
                  <c:v>249.4</c:v>
                </c:pt>
                <c:pt idx="3">
                  <c:v>352.2</c:v>
                </c:pt>
                <c:pt idx="4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20-4AA7-9226-374D1498C729}"/>
            </c:ext>
          </c:extLst>
        </c:ser>
        <c:ser>
          <c:idx val="12"/>
          <c:order val="10"/>
          <c:tx>
            <c:strRef>
              <c:f>'Figura 1'!$L$21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rgbClr val="43682B"/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1'!$L$22:$L$27</c:f>
              <c:numCache>
                <c:formatCode>#\ ##0.0</c:formatCode>
                <c:ptCount val="6"/>
                <c:pt idx="0">
                  <c:v>268.89999999999998</c:v>
                </c:pt>
                <c:pt idx="1">
                  <c:v>266.60000000000002</c:v>
                </c:pt>
                <c:pt idx="2">
                  <c:v>262</c:v>
                </c:pt>
                <c:pt idx="3">
                  <c:v>363.9</c:v>
                </c:pt>
                <c:pt idx="4">
                  <c:v>355.8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6-4ABF-AE3A-BDB053FBE632}"/>
            </c:ext>
          </c:extLst>
        </c:ser>
        <c:ser>
          <c:idx val="0"/>
          <c:order val="11"/>
          <c:tx>
            <c:strRef>
              <c:f>'Figura 1'!$M$21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rgbClr val="7CAFDD"/>
            </a:solidFill>
            <a:ln>
              <a:noFill/>
            </a:ln>
            <a:effectLst/>
          </c:spPr>
          <c:invertIfNegative val="0"/>
          <c:cat>
            <c:numRef>
              <c:f>'Figura 1'!$A$22:$A$27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1'!$M$22:$M$27</c:f>
              <c:numCache>
                <c:formatCode>#\ ##0.0</c:formatCode>
                <c:ptCount val="6"/>
                <c:pt idx="0">
                  <c:v>218.8</c:v>
                </c:pt>
                <c:pt idx="1">
                  <c:v>218.3</c:v>
                </c:pt>
                <c:pt idx="2">
                  <c:v>218.3</c:v>
                </c:pt>
                <c:pt idx="3">
                  <c:v>325</c:v>
                </c:pt>
                <c:pt idx="4">
                  <c:v>349.5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06-4ABF-AE3A-BDB053FBE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5213056"/>
        <c:axId val="132369792"/>
      </c:barChart>
      <c:catAx>
        <c:axId val="13521305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2369792"/>
        <c:crosses val="autoZero"/>
        <c:auto val="0"/>
        <c:lblAlgn val="ctr"/>
        <c:lblOffset val="100"/>
        <c:tickLblSkip val="1"/>
        <c:noMultiLvlLbl val="0"/>
      </c:catAx>
      <c:valAx>
        <c:axId val="132369792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521305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1116886173981615"/>
          <c:w val="1"/>
          <c:h val="8.876287325070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9044942487555"/>
          <c:y val="2.0914980564138343E-2"/>
          <c:w val="0.76089631576667616"/>
          <c:h val="0.774795840393368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9'!$B$23</c:f>
              <c:strCache>
                <c:ptCount val="1"/>
                <c:pt idx="0">
                  <c:v>Ianuarie-iunie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 9'!$A$24:$A$30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9'!$B$24:$B$30</c:f>
              <c:numCache>
                <c:formatCode>0.0</c:formatCode>
                <c:ptCount val="7"/>
                <c:pt idx="0">
                  <c:v>7.6</c:v>
                </c:pt>
                <c:pt idx="1">
                  <c:v>4.2</c:v>
                </c:pt>
                <c:pt idx="2">
                  <c:v>77.2</c:v>
                </c:pt>
                <c:pt idx="3">
                  <c:v>1.7</c:v>
                </c:pt>
                <c:pt idx="4">
                  <c:v>0.1</c:v>
                </c:pt>
                <c:pt idx="5">
                  <c:v>8.5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4-4901-8F26-F774DF753091}"/>
            </c:ext>
          </c:extLst>
        </c:ser>
        <c:ser>
          <c:idx val="1"/>
          <c:order val="1"/>
          <c:tx>
            <c:strRef>
              <c:f>'Figura 9'!$C$23</c:f>
              <c:strCache>
                <c:ptCount val="1"/>
                <c:pt idx="0">
                  <c:v>Ianuarie-iunie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'Figura 9'!$A$24:$A$30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9'!$C$24:$C$30</c:f>
              <c:numCache>
                <c:formatCode>0.0</c:formatCode>
                <c:ptCount val="7"/>
                <c:pt idx="0">
                  <c:v>6.8</c:v>
                </c:pt>
                <c:pt idx="1">
                  <c:v>4.9000000000000004</c:v>
                </c:pt>
                <c:pt idx="2">
                  <c:v>76.400000000000006</c:v>
                </c:pt>
                <c:pt idx="3">
                  <c:v>1.6</c:v>
                </c:pt>
                <c:pt idx="4">
                  <c:v>0.1</c:v>
                </c:pt>
                <c:pt idx="5">
                  <c:v>9.6999999999999993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4-4901-8F26-F774DF753091}"/>
            </c:ext>
          </c:extLst>
        </c:ser>
        <c:ser>
          <c:idx val="2"/>
          <c:order val="2"/>
          <c:tx>
            <c:strRef>
              <c:f>'Figura 9'!$D$23</c:f>
              <c:strCache>
                <c:ptCount val="1"/>
                <c:pt idx="0">
                  <c:v>Ianuarie-iunie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'Figura 9'!$A$24:$A$30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9'!$D$24:$D$30</c:f>
              <c:numCache>
                <c:formatCode>0.0</c:formatCode>
                <c:ptCount val="7"/>
                <c:pt idx="0">
                  <c:v>1.9</c:v>
                </c:pt>
                <c:pt idx="1">
                  <c:v>4.7</c:v>
                </c:pt>
                <c:pt idx="2">
                  <c:v>86.6</c:v>
                </c:pt>
                <c:pt idx="3">
                  <c:v>2.4</c:v>
                </c:pt>
                <c:pt idx="4">
                  <c:v>0.2</c:v>
                </c:pt>
                <c:pt idx="5">
                  <c:v>3.6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54-4901-8F26-F774DF753091}"/>
            </c:ext>
          </c:extLst>
        </c:ser>
        <c:ser>
          <c:idx val="3"/>
          <c:order val="3"/>
          <c:tx>
            <c:strRef>
              <c:f>'Figura 9'!$E$23</c:f>
              <c:strCache>
                <c:ptCount val="1"/>
                <c:pt idx="0">
                  <c:v>Ianuarie-iunie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'Figura 9'!$A$24:$A$30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9'!$E$24:$E$30</c:f>
              <c:numCache>
                <c:formatCode>0.0</c:formatCode>
                <c:ptCount val="7"/>
                <c:pt idx="0">
                  <c:v>1.7</c:v>
                </c:pt>
                <c:pt idx="1">
                  <c:v>4</c:v>
                </c:pt>
                <c:pt idx="2">
                  <c:v>86.6</c:v>
                </c:pt>
                <c:pt idx="3">
                  <c:v>2.4</c:v>
                </c:pt>
                <c:pt idx="4">
                  <c:v>0.2</c:v>
                </c:pt>
                <c:pt idx="5">
                  <c:v>4.7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54-4901-8F26-F774DF753091}"/>
            </c:ext>
          </c:extLst>
        </c:ser>
        <c:ser>
          <c:idx val="4"/>
          <c:order val="4"/>
          <c:tx>
            <c:strRef>
              <c:f>'Figura 9'!$F$23</c:f>
              <c:strCache>
                <c:ptCount val="1"/>
                <c:pt idx="0">
                  <c:v>Ianuarie-iunie 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'Figura 9'!$A$24:$A$30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9'!$F$24:$F$30</c:f>
              <c:numCache>
                <c:formatCode>0.0</c:formatCode>
                <c:ptCount val="7"/>
                <c:pt idx="0">
                  <c:v>2.1</c:v>
                </c:pt>
                <c:pt idx="1">
                  <c:v>4.5999999999999996</c:v>
                </c:pt>
                <c:pt idx="2">
                  <c:v>83.8</c:v>
                </c:pt>
                <c:pt idx="3">
                  <c:v>2.6</c:v>
                </c:pt>
                <c:pt idx="4">
                  <c:v>0.2</c:v>
                </c:pt>
                <c:pt idx="5">
                  <c:v>6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54-4901-8F26-F774DF753091}"/>
            </c:ext>
          </c:extLst>
        </c:ser>
        <c:ser>
          <c:idx val="5"/>
          <c:order val="5"/>
          <c:tx>
            <c:strRef>
              <c:f>'Figura 9'!$G$23</c:f>
              <c:strCache>
                <c:ptCount val="1"/>
                <c:pt idx="0">
                  <c:v>Ianuarie-iunie 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'Figura 9'!$A$24:$A$30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9'!$G$24:$G$30</c:f>
              <c:numCache>
                <c:formatCode>0.0</c:formatCode>
                <c:ptCount val="7"/>
                <c:pt idx="0">
                  <c:v>2.7</c:v>
                </c:pt>
                <c:pt idx="1">
                  <c:v>5.2</c:v>
                </c:pt>
                <c:pt idx="2">
                  <c:v>83.4</c:v>
                </c:pt>
                <c:pt idx="3">
                  <c:v>2.6</c:v>
                </c:pt>
                <c:pt idx="4">
                  <c:v>0.3</c:v>
                </c:pt>
                <c:pt idx="5">
                  <c:v>5.2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54-4901-8F26-F774DF75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7760384"/>
        <c:axId val="136513792"/>
      </c:barChart>
      <c:catAx>
        <c:axId val="167760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6513792"/>
        <c:crossesAt val="0"/>
        <c:auto val="1"/>
        <c:lblAlgn val="ctr"/>
        <c:lblOffset val="100"/>
        <c:noMultiLvlLbl val="0"/>
      </c:catAx>
      <c:valAx>
        <c:axId val="13651379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7760384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21172995484888454"/>
          <c:y val="0.91909764444001463"/>
          <c:w val="0.78771182892120173"/>
          <c:h val="7.92840293697465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9977473288278E-2"/>
          <c:y val="6.8484183803067242E-2"/>
          <c:w val="0.93986930373860744"/>
          <c:h val="0.67220755678921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10'!$A$23</c:f>
              <c:strCache>
                <c:ptCount val="1"/>
                <c:pt idx="0">
                  <c:v>Ţările Uniunii Europene -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Ianuarie-iunie 2018</c:v>
                </c:pt>
                <c:pt idx="1">
                  <c:v>Ianuarie-iunie 2019</c:v>
                </c:pt>
                <c:pt idx="2">
                  <c:v>Ianuarie-iunie 2020</c:v>
                </c:pt>
                <c:pt idx="3">
                  <c:v>Ianuarie-iunie 2021</c:v>
                </c:pt>
                <c:pt idx="4">
                  <c:v>Ianuarie-iunie 2022</c:v>
                </c:pt>
                <c:pt idx="5">
                  <c:v>Ianuarie-iunie 2023</c:v>
                </c:pt>
              </c:strCache>
            </c:strRef>
          </c:cat>
          <c:val>
            <c:numRef>
              <c:f>'Figura 10'!$B$23:$G$23</c:f>
              <c:numCache>
                <c:formatCode>0.0</c:formatCode>
                <c:ptCount val="6"/>
                <c:pt idx="0">
                  <c:v>50</c:v>
                </c:pt>
                <c:pt idx="1">
                  <c:v>49</c:v>
                </c:pt>
                <c:pt idx="2">
                  <c:v>46.7</c:v>
                </c:pt>
                <c:pt idx="3">
                  <c:v>47.4</c:v>
                </c:pt>
                <c:pt idx="4">
                  <c:v>45.9</c:v>
                </c:pt>
                <c:pt idx="5">
                  <c:v>48.3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9-4350-AC6F-7B3B9B8C79B6}"/>
            </c:ext>
          </c:extLst>
        </c:ser>
        <c:ser>
          <c:idx val="1"/>
          <c:order val="1"/>
          <c:tx>
            <c:strRef>
              <c:f>'Figura 10'!$A$24</c:f>
              <c:strCache>
                <c:ptCount val="1"/>
                <c:pt idx="0">
                  <c:v>Ţările CSI -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Ianuarie-iunie 2018</c:v>
                </c:pt>
                <c:pt idx="1">
                  <c:v>Ianuarie-iunie 2019</c:v>
                </c:pt>
                <c:pt idx="2">
                  <c:v>Ianuarie-iunie 2020</c:v>
                </c:pt>
                <c:pt idx="3">
                  <c:v>Ianuarie-iunie 2021</c:v>
                </c:pt>
                <c:pt idx="4">
                  <c:v>Ianuarie-iunie 2022</c:v>
                </c:pt>
                <c:pt idx="5">
                  <c:v>Ianuarie-iunie 2023</c:v>
                </c:pt>
              </c:strCache>
            </c:strRef>
          </c:cat>
          <c:val>
            <c:numRef>
              <c:f>'Figura 10'!$B$24:$G$24</c:f>
              <c:numCache>
                <c:formatCode>0.0</c:formatCode>
                <c:ptCount val="6"/>
                <c:pt idx="0">
                  <c:v>23.3</c:v>
                </c:pt>
                <c:pt idx="1">
                  <c:v>24.8</c:v>
                </c:pt>
                <c:pt idx="2">
                  <c:v>24.5</c:v>
                </c:pt>
                <c:pt idx="3">
                  <c:v>22.7</c:v>
                </c:pt>
                <c:pt idx="4">
                  <c:v>26.5</c:v>
                </c:pt>
                <c:pt idx="5">
                  <c:v>20.399999999999999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9-4350-AC6F-7B3B9B8C79B6}"/>
            </c:ext>
          </c:extLst>
        </c:ser>
        <c:ser>
          <c:idx val="2"/>
          <c:order val="2"/>
          <c:tx>
            <c:strRef>
              <c:f>'Figura 10'!$A$25</c:f>
              <c:strCache>
                <c:ptCount val="1"/>
                <c:pt idx="0">
                  <c:v>Celelalte ţări ale lumii -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Ianuarie-iunie 2018</c:v>
                </c:pt>
                <c:pt idx="1">
                  <c:v>Ianuarie-iunie 2019</c:v>
                </c:pt>
                <c:pt idx="2">
                  <c:v>Ianuarie-iunie 2020</c:v>
                </c:pt>
                <c:pt idx="3">
                  <c:v>Ianuarie-iunie 2021</c:v>
                </c:pt>
                <c:pt idx="4">
                  <c:v>Ianuarie-iunie 2022</c:v>
                </c:pt>
                <c:pt idx="5">
                  <c:v>Ianuarie-iunie 2023</c:v>
                </c:pt>
              </c:strCache>
            </c:strRef>
          </c:cat>
          <c:val>
            <c:numRef>
              <c:f>'Figura 10'!$B$25:$G$25</c:f>
              <c:numCache>
                <c:formatCode>0.0</c:formatCode>
                <c:ptCount val="6"/>
                <c:pt idx="0">
                  <c:v>26.7</c:v>
                </c:pt>
                <c:pt idx="1">
                  <c:v>26.2</c:v>
                </c:pt>
                <c:pt idx="2">
                  <c:v>28.8</c:v>
                </c:pt>
                <c:pt idx="3">
                  <c:v>29.9</c:v>
                </c:pt>
                <c:pt idx="4">
                  <c:v>27.6</c:v>
                </c:pt>
                <c:pt idx="5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9-4350-AC6F-7B3B9B8C7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7198336"/>
        <c:axId val="136516096"/>
      </c:barChart>
      <c:catAx>
        <c:axId val="15719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6516096"/>
        <c:crosses val="autoZero"/>
        <c:auto val="0"/>
        <c:lblAlgn val="ctr"/>
        <c:lblOffset val="100"/>
        <c:noMultiLvlLbl val="0"/>
      </c:catAx>
      <c:valAx>
        <c:axId val="136516096"/>
        <c:scaling>
          <c:orientation val="minMax"/>
          <c:max val="10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198336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3.7397860259691489E-2"/>
          <c:y val="0.88875314479330003"/>
          <c:w val="0.93105796047794498"/>
          <c:h val="8.1371100132598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6130067074949E-2"/>
          <c:y val="1.687438654655703E-2"/>
          <c:w val="0.93291119860017502"/>
          <c:h val="0.67551676195514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11'!$B$24</c:f>
              <c:strCache>
                <c:ptCount val="1"/>
                <c:pt idx="0">
                  <c:v>Ianuarie-iunie 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 11'!$A$25:$A$49</c:f>
              <c:strCache>
                <c:ptCount val="25"/>
                <c:pt idx="0">
                  <c:v>România</c:v>
                </c:pt>
                <c:pt idx="1">
                  <c:v>Ucraina</c:v>
                </c:pt>
                <c:pt idx="2">
                  <c:v>China</c:v>
                </c:pt>
                <c:pt idx="3">
                  <c:v>Turcia</c:v>
                </c:pt>
                <c:pt idx="4">
                  <c:v>Germania</c:v>
                </c:pt>
                <c:pt idx="5">
                  <c:v>Italia</c:v>
                </c:pt>
                <c:pt idx="6">
                  <c:v>Federația Rusă</c:v>
                </c:pt>
                <c:pt idx="7">
                  <c:v>Polonia</c:v>
                </c:pt>
                <c:pt idx="8">
                  <c:v>Franța</c:v>
                </c:pt>
                <c:pt idx="9">
                  <c:v>India</c:v>
                </c:pt>
                <c:pt idx="10">
                  <c:v>Ungaria</c:v>
                </c:pt>
                <c:pt idx="11">
                  <c:v>Cehia</c:v>
                </c:pt>
                <c:pt idx="12">
                  <c:v>Bulgaria</c:v>
                </c:pt>
                <c:pt idx="13">
                  <c:v>Grecia</c:v>
                </c:pt>
                <c:pt idx="14">
                  <c:v>Spania</c:v>
                </c:pt>
                <c:pt idx="15">
                  <c:v>S.U.A.</c:v>
                </c:pt>
                <c:pt idx="16">
                  <c:v>Kazahstan</c:v>
                </c:pt>
                <c:pt idx="17">
                  <c:v>Austria</c:v>
                </c:pt>
                <c:pt idx="18">
                  <c:v>Japonia</c:v>
                </c:pt>
                <c:pt idx="19">
                  <c:v>Netherlands</c:v>
                </c:pt>
                <c:pt idx="20">
                  <c:v>Belarus</c:v>
                </c:pt>
                <c:pt idx="21">
                  <c:v>Slovacia</c:v>
                </c:pt>
                <c:pt idx="22">
                  <c:v>Regatul Unit </c:v>
                </c:pt>
                <c:pt idx="23">
                  <c:v>Belgia</c:v>
                </c:pt>
                <c:pt idx="24">
                  <c:v>Coreea de Sud</c:v>
                </c:pt>
              </c:strCache>
            </c:strRef>
          </c:cat>
          <c:val>
            <c:numRef>
              <c:f>'Figura 11'!$B$25:$B$49</c:f>
              <c:numCache>
                <c:formatCode>#\ ##0.0</c:formatCode>
                <c:ptCount val="25"/>
                <c:pt idx="0">
                  <c:v>14.139015355680339</c:v>
                </c:pt>
                <c:pt idx="1">
                  <c:v>9.3518282270953801</c:v>
                </c:pt>
                <c:pt idx="2">
                  <c:v>10.443558450436951</c:v>
                </c:pt>
                <c:pt idx="3">
                  <c:v>5.8988937145565741</c:v>
                </c:pt>
                <c:pt idx="4">
                  <c:v>8.6277816200444715</c:v>
                </c:pt>
                <c:pt idx="5">
                  <c:v>7.156083138053301</c:v>
                </c:pt>
                <c:pt idx="6">
                  <c:v>11.83065665513511</c:v>
                </c:pt>
                <c:pt idx="7">
                  <c:v>3.5166946934202516</c:v>
                </c:pt>
                <c:pt idx="8">
                  <c:v>2.7956147749851934</c:v>
                </c:pt>
                <c:pt idx="9">
                  <c:v>0.53510309382486876</c:v>
                </c:pt>
                <c:pt idx="10">
                  <c:v>2.2487419514763651</c:v>
                </c:pt>
                <c:pt idx="11">
                  <c:v>1.4788027466060283</c:v>
                </c:pt>
                <c:pt idx="12">
                  <c:v>1.2061991017453999</c:v>
                </c:pt>
                <c:pt idx="13">
                  <c:v>0.42686956944459831</c:v>
                </c:pt>
                <c:pt idx="14">
                  <c:v>1.4618325411043904</c:v>
                </c:pt>
                <c:pt idx="15">
                  <c:v>1.3807398614042621</c:v>
                </c:pt>
                <c:pt idx="16">
                  <c:v>6.041522535681184E-2</c:v>
                </c:pt>
                <c:pt idx="17">
                  <c:v>2.0344731166272028</c:v>
                </c:pt>
                <c:pt idx="18">
                  <c:v>1.0304864250454961</c:v>
                </c:pt>
                <c:pt idx="19">
                  <c:v>1.1200906480578525</c:v>
                </c:pt>
                <c:pt idx="20">
                  <c:v>1.8258268112910636</c:v>
                </c:pt>
                <c:pt idx="21">
                  <c:v>0.52196547899875267</c:v>
                </c:pt>
                <c:pt idx="22">
                  <c:v>1.0805138159356096</c:v>
                </c:pt>
                <c:pt idx="23">
                  <c:v>0.85867313405425549</c:v>
                </c:pt>
                <c:pt idx="24">
                  <c:v>0.639244059024342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027-9176-5A5FABFE2538}"/>
            </c:ext>
          </c:extLst>
        </c:ser>
        <c:ser>
          <c:idx val="1"/>
          <c:order val="1"/>
          <c:tx>
            <c:strRef>
              <c:f>'Figura 11'!$C$24</c:f>
              <c:strCache>
                <c:ptCount val="1"/>
                <c:pt idx="0">
                  <c:v>Ianuarie-iunie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'Figura 11'!$A$25:$A$49</c:f>
              <c:strCache>
                <c:ptCount val="25"/>
                <c:pt idx="0">
                  <c:v>România</c:v>
                </c:pt>
                <c:pt idx="1">
                  <c:v>Ucraina</c:v>
                </c:pt>
                <c:pt idx="2">
                  <c:v>China</c:v>
                </c:pt>
                <c:pt idx="3">
                  <c:v>Turcia</c:v>
                </c:pt>
                <c:pt idx="4">
                  <c:v>Germania</c:v>
                </c:pt>
                <c:pt idx="5">
                  <c:v>Italia</c:v>
                </c:pt>
                <c:pt idx="6">
                  <c:v>Federația Rusă</c:v>
                </c:pt>
                <c:pt idx="7">
                  <c:v>Polonia</c:v>
                </c:pt>
                <c:pt idx="8">
                  <c:v>Franța</c:v>
                </c:pt>
                <c:pt idx="9">
                  <c:v>India</c:v>
                </c:pt>
                <c:pt idx="10">
                  <c:v>Ungaria</c:v>
                </c:pt>
                <c:pt idx="11">
                  <c:v>Cehia</c:v>
                </c:pt>
                <c:pt idx="12">
                  <c:v>Bulgaria</c:v>
                </c:pt>
                <c:pt idx="13">
                  <c:v>Grecia</c:v>
                </c:pt>
                <c:pt idx="14">
                  <c:v>Spania</c:v>
                </c:pt>
                <c:pt idx="15">
                  <c:v>S.U.A.</c:v>
                </c:pt>
                <c:pt idx="16">
                  <c:v>Kazahstan</c:v>
                </c:pt>
                <c:pt idx="17">
                  <c:v>Austria</c:v>
                </c:pt>
                <c:pt idx="18">
                  <c:v>Japonia</c:v>
                </c:pt>
                <c:pt idx="19">
                  <c:v>Netherlands</c:v>
                </c:pt>
                <c:pt idx="20">
                  <c:v>Belarus</c:v>
                </c:pt>
                <c:pt idx="21">
                  <c:v>Slovacia</c:v>
                </c:pt>
                <c:pt idx="22">
                  <c:v>Regatul Unit </c:v>
                </c:pt>
                <c:pt idx="23">
                  <c:v>Belgia</c:v>
                </c:pt>
                <c:pt idx="24">
                  <c:v>Coreea de Sud</c:v>
                </c:pt>
              </c:strCache>
            </c:strRef>
          </c:cat>
          <c:val>
            <c:numRef>
              <c:f>'Figura 11'!$C$25:$C$49</c:f>
              <c:numCache>
                <c:formatCode>#\ ##0.0</c:formatCode>
                <c:ptCount val="25"/>
                <c:pt idx="0">
                  <c:v>14.198556170110946</c:v>
                </c:pt>
                <c:pt idx="1">
                  <c:v>9.6977678108540779</c:v>
                </c:pt>
                <c:pt idx="2">
                  <c:v>9.89707503286437</c:v>
                </c:pt>
                <c:pt idx="3">
                  <c:v>6.4704781380766878</c:v>
                </c:pt>
                <c:pt idx="4">
                  <c:v>8.4760774473974543</c:v>
                </c:pt>
                <c:pt idx="5">
                  <c:v>7.1469719616262601</c:v>
                </c:pt>
                <c:pt idx="6">
                  <c:v>12.436527185618736</c:v>
                </c:pt>
                <c:pt idx="7">
                  <c:v>3.3462200572891363</c:v>
                </c:pt>
                <c:pt idx="8">
                  <c:v>2.7215256142856434</c:v>
                </c:pt>
                <c:pt idx="9">
                  <c:v>0.64949592925857758</c:v>
                </c:pt>
                <c:pt idx="10">
                  <c:v>2.0337658563855014</c:v>
                </c:pt>
                <c:pt idx="11">
                  <c:v>1.9129447282554433</c:v>
                </c:pt>
                <c:pt idx="12">
                  <c:v>0.83936822687135648</c:v>
                </c:pt>
                <c:pt idx="13">
                  <c:v>0.37302540413096003</c:v>
                </c:pt>
                <c:pt idx="14">
                  <c:v>1.4690843881570459</c:v>
                </c:pt>
                <c:pt idx="15">
                  <c:v>1.2795590994507835</c:v>
                </c:pt>
                <c:pt idx="16">
                  <c:v>0.1523587232940731</c:v>
                </c:pt>
                <c:pt idx="17">
                  <c:v>1.6750335914339369</c:v>
                </c:pt>
                <c:pt idx="18">
                  <c:v>0.80963721819061651</c:v>
                </c:pt>
                <c:pt idx="19">
                  <c:v>1.0596006789405017</c:v>
                </c:pt>
                <c:pt idx="20">
                  <c:v>2.2577749920432999</c:v>
                </c:pt>
                <c:pt idx="21">
                  <c:v>0.61645464521311166</c:v>
                </c:pt>
                <c:pt idx="22">
                  <c:v>0.98084319461756941</c:v>
                </c:pt>
                <c:pt idx="23">
                  <c:v>0.73971161990681567</c:v>
                </c:pt>
                <c:pt idx="24">
                  <c:v>0.58372059024270651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D-4027-9176-5A5FABFE2538}"/>
            </c:ext>
          </c:extLst>
        </c:ser>
        <c:ser>
          <c:idx val="2"/>
          <c:order val="2"/>
          <c:tx>
            <c:strRef>
              <c:f>'Figura 11'!$D$24</c:f>
              <c:strCache>
                <c:ptCount val="1"/>
                <c:pt idx="0">
                  <c:v>Ianuarie-iunie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'Figura 11'!$A$25:$A$49</c:f>
              <c:strCache>
                <c:ptCount val="25"/>
                <c:pt idx="0">
                  <c:v>România</c:v>
                </c:pt>
                <c:pt idx="1">
                  <c:v>Ucraina</c:v>
                </c:pt>
                <c:pt idx="2">
                  <c:v>China</c:v>
                </c:pt>
                <c:pt idx="3">
                  <c:v>Turcia</c:v>
                </c:pt>
                <c:pt idx="4">
                  <c:v>Germania</c:v>
                </c:pt>
                <c:pt idx="5">
                  <c:v>Italia</c:v>
                </c:pt>
                <c:pt idx="6">
                  <c:v>Federația Rusă</c:v>
                </c:pt>
                <c:pt idx="7">
                  <c:v>Polonia</c:v>
                </c:pt>
                <c:pt idx="8">
                  <c:v>Franța</c:v>
                </c:pt>
                <c:pt idx="9">
                  <c:v>India</c:v>
                </c:pt>
                <c:pt idx="10">
                  <c:v>Ungaria</c:v>
                </c:pt>
                <c:pt idx="11">
                  <c:v>Cehia</c:v>
                </c:pt>
                <c:pt idx="12">
                  <c:v>Bulgaria</c:v>
                </c:pt>
                <c:pt idx="13">
                  <c:v>Grecia</c:v>
                </c:pt>
                <c:pt idx="14">
                  <c:v>Spania</c:v>
                </c:pt>
                <c:pt idx="15">
                  <c:v>S.U.A.</c:v>
                </c:pt>
                <c:pt idx="16">
                  <c:v>Kazahstan</c:v>
                </c:pt>
                <c:pt idx="17">
                  <c:v>Austria</c:v>
                </c:pt>
                <c:pt idx="18">
                  <c:v>Japonia</c:v>
                </c:pt>
                <c:pt idx="19">
                  <c:v>Netherlands</c:v>
                </c:pt>
                <c:pt idx="20">
                  <c:v>Belarus</c:v>
                </c:pt>
                <c:pt idx="21">
                  <c:v>Slovacia</c:v>
                </c:pt>
                <c:pt idx="22">
                  <c:v>Regatul Unit </c:v>
                </c:pt>
                <c:pt idx="23">
                  <c:v>Belgia</c:v>
                </c:pt>
                <c:pt idx="24">
                  <c:v>Coreea de Sud</c:v>
                </c:pt>
              </c:strCache>
            </c:strRef>
          </c:cat>
          <c:val>
            <c:numRef>
              <c:f>'Figura 11'!$D$25:$D$49</c:f>
              <c:numCache>
                <c:formatCode>#\ ##0.0</c:formatCode>
                <c:ptCount val="25"/>
                <c:pt idx="0">
                  <c:v>12.284593693949148</c:v>
                </c:pt>
                <c:pt idx="1">
                  <c:v>9.5531514722986</c:v>
                </c:pt>
                <c:pt idx="2">
                  <c:v>10.970096423960381</c:v>
                </c:pt>
                <c:pt idx="3">
                  <c:v>6.8274689599240208</c:v>
                </c:pt>
                <c:pt idx="4">
                  <c:v>8.2657867568872092</c:v>
                </c:pt>
                <c:pt idx="5">
                  <c:v>6.7186773363658556</c:v>
                </c:pt>
                <c:pt idx="6">
                  <c:v>12.352346322381507</c:v>
                </c:pt>
                <c:pt idx="7">
                  <c:v>3.889265969837076</c:v>
                </c:pt>
                <c:pt idx="8">
                  <c:v>2.7593556075558738</c:v>
                </c:pt>
                <c:pt idx="9">
                  <c:v>0.70843337370759929</c:v>
                </c:pt>
                <c:pt idx="10">
                  <c:v>2.0287704560190756</c:v>
                </c:pt>
                <c:pt idx="11">
                  <c:v>1.6151330739543053</c:v>
                </c:pt>
                <c:pt idx="12">
                  <c:v>1.079046561528336</c:v>
                </c:pt>
                <c:pt idx="13">
                  <c:v>0.51209087138377485</c:v>
                </c:pt>
                <c:pt idx="14">
                  <c:v>1.5336452926234876</c:v>
                </c:pt>
                <c:pt idx="15">
                  <c:v>1.3601023154989453</c:v>
                </c:pt>
                <c:pt idx="16">
                  <c:v>0.21334603131963961</c:v>
                </c:pt>
                <c:pt idx="17">
                  <c:v>1.1486096652064359</c:v>
                </c:pt>
                <c:pt idx="18">
                  <c:v>1.0104631075504817</c:v>
                </c:pt>
                <c:pt idx="19">
                  <c:v>1.1010509348117929</c:v>
                </c:pt>
                <c:pt idx="20">
                  <c:v>1.9520536772587735</c:v>
                </c:pt>
                <c:pt idx="21">
                  <c:v>0.49952667073499918</c:v>
                </c:pt>
                <c:pt idx="22">
                  <c:v>0.98669712064317527</c:v>
                </c:pt>
                <c:pt idx="23">
                  <c:v>0.77117413896250042</c:v>
                </c:pt>
                <c:pt idx="24">
                  <c:v>0.76866353369337781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D-4027-9176-5A5FABFE2538}"/>
            </c:ext>
          </c:extLst>
        </c:ser>
        <c:ser>
          <c:idx val="3"/>
          <c:order val="3"/>
          <c:tx>
            <c:strRef>
              <c:f>'Figura 11'!$E$24</c:f>
              <c:strCache>
                <c:ptCount val="1"/>
                <c:pt idx="0">
                  <c:v>Ianuarie-iunie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'Figura 11'!$A$25:$A$49</c:f>
              <c:strCache>
                <c:ptCount val="25"/>
                <c:pt idx="0">
                  <c:v>România</c:v>
                </c:pt>
                <c:pt idx="1">
                  <c:v>Ucraina</c:v>
                </c:pt>
                <c:pt idx="2">
                  <c:v>China</c:v>
                </c:pt>
                <c:pt idx="3">
                  <c:v>Turcia</c:v>
                </c:pt>
                <c:pt idx="4">
                  <c:v>Germania</c:v>
                </c:pt>
                <c:pt idx="5">
                  <c:v>Italia</c:v>
                </c:pt>
                <c:pt idx="6">
                  <c:v>Federația Rusă</c:v>
                </c:pt>
                <c:pt idx="7">
                  <c:v>Polonia</c:v>
                </c:pt>
                <c:pt idx="8">
                  <c:v>Franța</c:v>
                </c:pt>
                <c:pt idx="9">
                  <c:v>India</c:v>
                </c:pt>
                <c:pt idx="10">
                  <c:v>Ungaria</c:v>
                </c:pt>
                <c:pt idx="11">
                  <c:v>Cehia</c:v>
                </c:pt>
                <c:pt idx="12">
                  <c:v>Bulgaria</c:v>
                </c:pt>
                <c:pt idx="13">
                  <c:v>Grecia</c:v>
                </c:pt>
                <c:pt idx="14">
                  <c:v>Spania</c:v>
                </c:pt>
                <c:pt idx="15">
                  <c:v>S.U.A.</c:v>
                </c:pt>
                <c:pt idx="16">
                  <c:v>Kazahstan</c:v>
                </c:pt>
                <c:pt idx="17">
                  <c:v>Austria</c:v>
                </c:pt>
                <c:pt idx="18">
                  <c:v>Japonia</c:v>
                </c:pt>
                <c:pt idx="19">
                  <c:v>Netherlands</c:v>
                </c:pt>
                <c:pt idx="20">
                  <c:v>Belarus</c:v>
                </c:pt>
                <c:pt idx="21">
                  <c:v>Slovacia</c:v>
                </c:pt>
                <c:pt idx="22">
                  <c:v>Regatul Unit </c:v>
                </c:pt>
                <c:pt idx="23">
                  <c:v>Belgia</c:v>
                </c:pt>
                <c:pt idx="24">
                  <c:v>Coreea de Sud</c:v>
                </c:pt>
              </c:strCache>
            </c:strRef>
          </c:cat>
          <c:val>
            <c:numRef>
              <c:f>'Figura 11'!$E$25:$E$49</c:f>
              <c:numCache>
                <c:formatCode>#\ ##0.0</c:formatCode>
                <c:ptCount val="25"/>
                <c:pt idx="0">
                  <c:v>12.859368660082863</c:v>
                </c:pt>
                <c:pt idx="1">
                  <c:v>9.030433136022129</c:v>
                </c:pt>
                <c:pt idx="2">
                  <c:v>11.775738363078379</c:v>
                </c:pt>
                <c:pt idx="3">
                  <c:v>7.1790047343363623</c:v>
                </c:pt>
                <c:pt idx="4">
                  <c:v>8.3236366800708872</c:v>
                </c:pt>
                <c:pt idx="5">
                  <c:v>6.7367613022904811</c:v>
                </c:pt>
                <c:pt idx="6">
                  <c:v>11.486881629579432</c:v>
                </c:pt>
                <c:pt idx="7">
                  <c:v>3.8124334624362497</c:v>
                </c:pt>
                <c:pt idx="8">
                  <c:v>2.6475204691625942</c:v>
                </c:pt>
                <c:pt idx="9">
                  <c:v>0.67543172292189779</c:v>
                </c:pt>
                <c:pt idx="10">
                  <c:v>1.9544178122964015</c:v>
                </c:pt>
                <c:pt idx="11">
                  <c:v>1.7119031834608409</c:v>
                </c:pt>
                <c:pt idx="12">
                  <c:v>1.1354130342220654</c:v>
                </c:pt>
                <c:pt idx="13">
                  <c:v>0.4353772386256492</c:v>
                </c:pt>
                <c:pt idx="14">
                  <c:v>1.4077742857815614</c:v>
                </c:pt>
                <c:pt idx="15">
                  <c:v>1.6296335099430563</c:v>
                </c:pt>
                <c:pt idx="16">
                  <c:v>0.20970709181772754</c:v>
                </c:pt>
                <c:pt idx="17">
                  <c:v>1.5010298101699615</c:v>
                </c:pt>
                <c:pt idx="18">
                  <c:v>0.973966471044032</c:v>
                </c:pt>
                <c:pt idx="19">
                  <c:v>1.0904066720598138</c:v>
                </c:pt>
                <c:pt idx="20">
                  <c:v>1.7825116741559546</c:v>
                </c:pt>
                <c:pt idx="21">
                  <c:v>0.5547773913234284</c:v>
                </c:pt>
                <c:pt idx="22">
                  <c:v>0.94829635100370202</c:v>
                </c:pt>
                <c:pt idx="23">
                  <c:v>0.7024855479687051</c:v>
                </c:pt>
                <c:pt idx="24">
                  <c:v>0.66228393941249197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D-4027-9176-5A5FABFE2538}"/>
            </c:ext>
          </c:extLst>
        </c:ser>
        <c:ser>
          <c:idx val="4"/>
          <c:order val="4"/>
          <c:tx>
            <c:strRef>
              <c:f>'Figura 11'!$F$24</c:f>
              <c:strCache>
                <c:ptCount val="1"/>
                <c:pt idx="0">
                  <c:v>Ianuarie-iunie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'Figura 11'!$A$25:$A$49</c:f>
              <c:strCache>
                <c:ptCount val="25"/>
                <c:pt idx="0">
                  <c:v>România</c:v>
                </c:pt>
                <c:pt idx="1">
                  <c:v>Ucraina</c:v>
                </c:pt>
                <c:pt idx="2">
                  <c:v>China</c:v>
                </c:pt>
                <c:pt idx="3">
                  <c:v>Turcia</c:v>
                </c:pt>
                <c:pt idx="4">
                  <c:v>Germania</c:v>
                </c:pt>
                <c:pt idx="5">
                  <c:v>Italia</c:v>
                </c:pt>
                <c:pt idx="6">
                  <c:v>Federația Rusă</c:v>
                </c:pt>
                <c:pt idx="7">
                  <c:v>Polonia</c:v>
                </c:pt>
                <c:pt idx="8">
                  <c:v>Franța</c:v>
                </c:pt>
                <c:pt idx="9">
                  <c:v>India</c:v>
                </c:pt>
                <c:pt idx="10">
                  <c:v>Ungaria</c:v>
                </c:pt>
                <c:pt idx="11">
                  <c:v>Cehia</c:v>
                </c:pt>
                <c:pt idx="12">
                  <c:v>Bulgaria</c:v>
                </c:pt>
                <c:pt idx="13">
                  <c:v>Grecia</c:v>
                </c:pt>
                <c:pt idx="14">
                  <c:v>Spania</c:v>
                </c:pt>
                <c:pt idx="15">
                  <c:v>S.U.A.</c:v>
                </c:pt>
                <c:pt idx="16">
                  <c:v>Kazahstan</c:v>
                </c:pt>
                <c:pt idx="17">
                  <c:v>Austria</c:v>
                </c:pt>
                <c:pt idx="18">
                  <c:v>Japonia</c:v>
                </c:pt>
                <c:pt idx="19">
                  <c:v>Netherlands</c:v>
                </c:pt>
                <c:pt idx="20">
                  <c:v>Belarus</c:v>
                </c:pt>
                <c:pt idx="21">
                  <c:v>Slovacia</c:v>
                </c:pt>
                <c:pt idx="22">
                  <c:v>Regatul Unit </c:v>
                </c:pt>
                <c:pt idx="23">
                  <c:v>Belgia</c:v>
                </c:pt>
                <c:pt idx="24">
                  <c:v>Coreea de Sud</c:v>
                </c:pt>
              </c:strCache>
            </c:strRef>
          </c:cat>
          <c:val>
            <c:numRef>
              <c:f>'Figura 11'!$F$25:$F$49</c:f>
              <c:numCache>
                <c:formatCode>#\ ##0.0</c:formatCode>
                <c:ptCount val="25"/>
                <c:pt idx="0">
                  <c:v>16.146577921611062</c:v>
                </c:pt>
                <c:pt idx="1">
                  <c:v>9.190303958983888</c:v>
                </c:pt>
                <c:pt idx="2">
                  <c:v>9.416538954135028</c:v>
                </c:pt>
                <c:pt idx="3">
                  <c:v>7.0851621288343924</c:v>
                </c:pt>
                <c:pt idx="4">
                  <c:v>6.6139368414641684</c:v>
                </c:pt>
                <c:pt idx="5">
                  <c:v>5.2479836242299518</c:v>
                </c:pt>
                <c:pt idx="6">
                  <c:v>15.253946208213776</c:v>
                </c:pt>
                <c:pt idx="7">
                  <c:v>3.3353653758316413</c:v>
                </c:pt>
                <c:pt idx="8">
                  <c:v>2.3658808356242083</c:v>
                </c:pt>
                <c:pt idx="9">
                  <c:v>2.5849943702228524</c:v>
                </c:pt>
                <c:pt idx="10">
                  <c:v>2.1283467105544385</c:v>
                </c:pt>
                <c:pt idx="11">
                  <c:v>1.4814238078082129</c:v>
                </c:pt>
                <c:pt idx="12">
                  <c:v>1.4517272638975567</c:v>
                </c:pt>
                <c:pt idx="13">
                  <c:v>0.50634872944295284</c:v>
                </c:pt>
                <c:pt idx="14">
                  <c:v>1.2513705969640065</c:v>
                </c:pt>
                <c:pt idx="15">
                  <c:v>1.6146654187859715</c:v>
                </c:pt>
                <c:pt idx="16">
                  <c:v>0.21328356208810717</c:v>
                </c:pt>
                <c:pt idx="17">
                  <c:v>0.93867690052070063</c:v>
                </c:pt>
                <c:pt idx="18">
                  <c:v>0.66239824705074291</c:v>
                </c:pt>
                <c:pt idx="19">
                  <c:v>1.0143008133230051</c:v>
                </c:pt>
                <c:pt idx="20">
                  <c:v>1.2647225063278478</c:v>
                </c:pt>
                <c:pt idx="21">
                  <c:v>0.57253504369840402</c:v>
                </c:pt>
                <c:pt idx="22">
                  <c:v>0.83197974104386052</c:v>
                </c:pt>
                <c:pt idx="23">
                  <c:v>0.61644985840663125</c:v>
                </c:pt>
                <c:pt idx="24">
                  <c:v>0.70868233641323797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D-4027-9176-5A5FABFE2538}"/>
            </c:ext>
          </c:extLst>
        </c:ser>
        <c:ser>
          <c:idx val="5"/>
          <c:order val="5"/>
          <c:tx>
            <c:strRef>
              <c:f>'Figura 11'!$G$24</c:f>
              <c:strCache>
                <c:ptCount val="1"/>
                <c:pt idx="0">
                  <c:v>Ianuarie-iunie 2023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'Figura 11'!$A$25:$A$49</c:f>
              <c:strCache>
                <c:ptCount val="25"/>
                <c:pt idx="0">
                  <c:v>România</c:v>
                </c:pt>
                <c:pt idx="1">
                  <c:v>Ucraina</c:v>
                </c:pt>
                <c:pt idx="2">
                  <c:v>China</c:v>
                </c:pt>
                <c:pt idx="3">
                  <c:v>Turcia</c:v>
                </c:pt>
                <c:pt idx="4">
                  <c:v>Germania</c:v>
                </c:pt>
                <c:pt idx="5">
                  <c:v>Italia</c:v>
                </c:pt>
                <c:pt idx="6">
                  <c:v>Federația Rusă</c:v>
                </c:pt>
                <c:pt idx="7">
                  <c:v>Polonia</c:v>
                </c:pt>
                <c:pt idx="8">
                  <c:v>Franța</c:v>
                </c:pt>
                <c:pt idx="9">
                  <c:v>India</c:v>
                </c:pt>
                <c:pt idx="10">
                  <c:v>Ungaria</c:v>
                </c:pt>
                <c:pt idx="11">
                  <c:v>Cehia</c:v>
                </c:pt>
                <c:pt idx="12">
                  <c:v>Bulgaria</c:v>
                </c:pt>
                <c:pt idx="13">
                  <c:v>Grecia</c:v>
                </c:pt>
                <c:pt idx="14">
                  <c:v>Spania</c:v>
                </c:pt>
                <c:pt idx="15">
                  <c:v>S.U.A.</c:v>
                </c:pt>
                <c:pt idx="16">
                  <c:v>Kazahstan</c:v>
                </c:pt>
                <c:pt idx="17">
                  <c:v>Austria</c:v>
                </c:pt>
                <c:pt idx="18">
                  <c:v>Japonia</c:v>
                </c:pt>
                <c:pt idx="19">
                  <c:v>Netherlands</c:v>
                </c:pt>
                <c:pt idx="20">
                  <c:v>Belarus</c:v>
                </c:pt>
                <c:pt idx="21">
                  <c:v>Slovacia</c:v>
                </c:pt>
                <c:pt idx="22">
                  <c:v>Regatul Unit </c:v>
                </c:pt>
                <c:pt idx="23">
                  <c:v>Belgia</c:v>
                </c:pt>
                <c:pt idx="24">
                  <c:v>Coreea de Sud</c:v>
                </c:pt>
              </c:strCache>
            </c:strRef>
          </c:cat>
          <c:val>
            <c:numRef>
              <c:f>'Figura 11'!$G$25:$G$49</c:f>
              <c:numCache>
                <c:formatCode>#\ ##0.0</c:formatCode>
                <c:ptCount val="25"/>
                <c:pt idx="0">
                  <c:v>15.572040595336457</c:v>
                </c:pt>
                <c:pt idx="1">
                  <c:v>13.042380821337229</c:v>
                </c:pt>
                <c:pt idx="2">
                  <c:v>10.522677956698827</c:v>
                </c:pt>
                <c:pt idx="3">
                  <c:v>8.6286109051560373</c:v>
                </c:pt>
                <c:pt idx="4">
                  <c:v>6.9857951446914814</c:v>
                </c:pt>
                <c:pt idx="5">
                  <c:v>5.2238464233425521</c:v>
                </c:pt>
                <c:pt idx="6">
                  <c:v>4.5274294202543057</c:v>
                </c:pt>
                <c:pt idx="7">
                  <c:v>3.4062448684121396</c:v>
                </c:pt>
                <c:pt idx="8">
                  <c:v>2.5642742544884056</c:v>
                </c:pt>
                <c:pt idx="9">
                  <c:v>2.4779789820587474</c:v>
                </c:pt>
                <c:pt idx="10">
                  <c:v>2.2303284966354329</c:v>
                </c:pt>
                <c:pt idx="11">
                  <c:v>1.7235744709245775</c:v>
                </c:pt>
                <c:pt idx="12">
                  <c:v>1.7069094776466394</c:v>
                </c:pt>
                <c:pt idx="13">
                  <c:v>1.6407307859053446</c:v>
                </c:pt>
                <c:pt idx="14">
                  <c:v>1.3272171290426782</c:v>
                </c:pt>
                <c:pt idx="15">
                  <c:v>1.3187648924518667</c:v>
                </c:pt>
                <c:pt idx="16">
                  <c:v>1.068663332790043</c:v>
                </c:pt>
                <c:pt idx="17">
                  <c:v>1.0455564985529899</c:v>
                </c:pt>
                <c:pt idx="18">
                  <c:v>1.0396855397706568</c:v>
                </c:pt>
                <c:pt idx="19">
                  <c:v>0.97997552844461167</c:v>
                </c:pt>
                <c:pt idx="20">
                  <c:v>0.95624591620888788</c:v>
                </c:pt>
                <c:pt idx="21">
                  <c:v>0.95203567977026271</c:v>
                </c:pt>
                <c:pt idx="22">
                  <c:v>0.86686257645731002</c:v>
                </c:pt>
                <c:pt idx="23">
                  <c:v>0.66987453363754723</c:v>
                </c:pt>
                <c:pt idx="24">
                  <c:v>0.63648017465957041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5D-4027-9176-5A5FABFE2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394944"/>
        <c:axId val="138070272"/>
      </c:barChart>
      <c:catAx>
        <c:axId val="1573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070272"/>
        <c:crosses val="autoZero"/>
        <c:auto val="1"/>
        <c:lblAlgn val="ctr"/>
        <c:lblOffset val="100"/>
        <c:noMultiLvlLbl val="0"/>
      </c:catAx>
      <c:valAx>
        <c:axId val="1380702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394944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21447659864083099"/>
          <c:y val="0.91682624943199931"/>
          <c:w val="0.78552340135916898"/>
          <c:h val="8.3173750568000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 iunie</a:t>
            </a:r>
            <a:r>
              <a:rPr lang="en-US" sz="9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202</a:t>
            </a:r>
            <a:r>
              <a:rPr lang="ro-RO" sz="9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</a:t>
            </a:r>
            <a:endParaRPr lang="en-US" sz="9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6581800272677584"/>
          <c:y val="1.20364366218928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342054211186989"/>
          <c:y val="0.12491082658988956"/>
          <c:w val="0.52192988462254575"/>
          <c:h val="0.6318098603325553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D3-4FE3-A741-BA04960B80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D3-4FE3-A741-BA04960B80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D3-4FE3-A741-BA04960B80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D3-4FE3-A741-BA04960B805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D3-4FE3-A741-BA04960B805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D3-4FE3-A741-BA04960B805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D3-4FE3-A741-BA04960B805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D3-4FE3-A741-BA04960B805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FCD-4C13-890E-399C32D1EBE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FCD-4C13-890E-399C32D1EBE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FCD-4C13-890E-399C32D1EBE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027-44E0-9897-C542FAFF950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28B-4A15-95E9-C59FB398DFD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DB53-4333-94CE-1214A088B112}"/>
              </c:ext>
            </c:extLst>
          </c:dPt>
          <c:dLbls>
            <c:dLbl>
              <c:idx val="0"/>
              <c:layout>
                <c:manualLayout>
                  <c:x val="-4.8817696414950422E-2"/>
                  <c:y val="1.8885746882215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D3-4FE3-A741-BA04960B8052}"/>
                </c:ext>
              </c:extLst>
            </c:dLbl>
            <c:dLbl>
              <c:idx val="1"/>
              <c:layout>
                <c:manualLayout>
                  <c:x val="-1.9832189168573607E-2"/>
                  <c:y val="-4.239612244388107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84744469870327"/>
                      <c:h val="0.169588058735565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3D3-4FE3-A741-BA04960B8052}"/>
                </c:ext>
              </c:extLst>
            </c:dLbl>
            <c:dLbl>
              <c:idx val="2"/>
              <c:layout>
                <c:manualLayout>
                  <c:x val="-1.8306636155606407E-2"/>
                  <c:y val="-7.832618153396281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59026889373381"/>
                      <c:h val="0.168404353655388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3D3-4FE3-A741-BA04960B8052}"/>
                </c:ext>
              </c:extLst>
            </c:dLbl>
            <c:dLbl>
              <c:idx val="3"/>
              <c:layout>
                <c:manualLayout>
                  <c:x val="2.5934521342726898E-2"/>
                  <c:y val="-9.035536135125592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35545385202132"/>
                      <c:h val="0.127473830477072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3D3-4FE3-A741-BA04960B8052}"/>
                </c:ext>
              </c:extLst>
            </c:dLbl>
            <c:dLbl>
              <c:idx val="4"/>
              <c:layout>
                <c:manualLayout>
                  <c:x val="5.1253536099749544E-2"/>
                  <c:y val="-4.37917345264763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D3-4FE3-A741-BA04960B8052}"/>
                </c:ext>
              </c:extLst>
            </c:dLbl>
            <c:dLbl>
              <c:idx val="5"/>
              <c:layout>
                <c:manualLayout>
                  <c:x val="-1.0076097467221632E-2"/>
                  <c:y val="4.246170208462955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D3-4FE3-A741-BA04960B8052}"/>
                </c:ext>
              </c:extLst>
            </c:dLbl>
            <c:dLbl>
              <c:idx val="6"/>
              <c:layout>
                <c:manualLayout>
                  <c:x val="-6.5893679766001842E-2"/>
                  <c:y val="2.493483673792279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46593632317698"/>
                      <c:h val="0.147309717921294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3D3-4FE3-A741-BA04960B8052}"/>
                </c:ext>
              </c:extLst>
            </c:dLbl>
            <c:dLbl>
              <c:idx val="7"/>
              <c:layout>
                <c:manualLayout>
                  <c:x val="-0.11501924959608882"/>
                  <c:y val="1.31224712431044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D3-4FE3-A741-BA04960B8052}"/>
                </c:ext>
              </c:extLst>
            </c:dLbl>
            <c:dLbl>
              <c:idx val="8"/>
              <c:layout>
                <c:manualLayout>
                  <c:x val="-0.16778560574665008"/>
                  <c:y val="-7.41870801267218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CD-4C13-890E-399C32D1EBED}"/>
                </c:ext>
              </c:extLst>
            </c:dLbl>
            <c:dLbl>
              <c:idx val="9"/>
              <c:layout>
                <c:manualLayout>
                  <c:x val="-0.1647095142855427"/>
                  <c:y val="-0.187071204321772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CD-4C13-890E-399C32D1EBED}"/>
                </c:ext>
              </c:extLst>
            </c:dLbl>
            <c:dLbl>
              <c:idx val="10"/>
              <c:layout>
                <c:manualLayout>
                  <c:x val="-0.15432566352546892"/>
                  <c:y val="-0.3075970667907079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29595728451563"/>
                      <c:h val="0.134410009267399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8FCD-4C13-890E-399C32D1EBED}"/>
                </c:ext>
              </c:extLst>
            </c:dLbl>
            <c:dLbl>
              <c:idx val="11"/>
              <c:layout>
                <c:manualLayout>
                  <c:x val="-0.12163606551469396"/>
                  <c:y val="-0.446099186158145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027-44E0-9897-C542FAFF950C}"/>
                </c:ext>
              </c:extLst>
            </c:dLbl>
            <c:dLbl>
              <c:idx val="12"/>
              <c:layout>
                <c:manualLayout>
                  <c:x val="-2.2845817041748488E-2"/>
                  <c:y val="-0.567991365496008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28B-4A15-95E9-C59FB398DFD6}"/>
                </c:ext>
              </c:extLst>
            </c:dLbl>
            <c:dLbl>
              <c:idx val="13"/>
              <c:layout>
                <c:manualLayout>
                  <c:x val="0.20442410373760483"/>
                  <c:y val="-0.215297514457262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B53-4333-94CE-1214A088B11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12'!$A$45:$A$58</c:f>
              <c:strCache>
                <c:ptCount val="14"/>
                <c:pt idx="0">
                  <c:v>Petrol, produse petroliere </c:v>
                </c:pt>
                <c:pt idx="1">
                  <c:v>Gaz şi produse industriale obţinute din gaz</c:v>
                </c:pt>
                <c:pt idx="2">
                  <c:v>Maşini şi aparate electrice </c:v>
                </c:pt>
                <c:pt idx="3">
                  <c:v>Vehicule rutiere</c:v>
                </c:pt>
                <c:pt idx="4">
                  <c:v>Fire, tesături, articole textile </c:v>
                </c:pt>
                <c:pt idx="5">
                  <c:v>Produse medicinale şi farmaceutice</c:v>
                </c:pt>
                <c:pt idx="6">
                  <c:v>Legume şi fructe</c:v>
                </c:pt>
                <c:pt idx="7">
                  <c:v>Maşini şi aparate industriale </c:v>
                </c:pt>
                <c:pt idx="8">
                  <c:v>Maşini şi aparate specializate </c:v>
                </c:pt>
                <c:pt idx="9">
                  <c:v>Aparate şi echipamente de telecomunicaţii </c:v>
                </c:pt>
                <c:pt idx="10">
                  <c:v>Îmbrăcăminte şi accesorii</c:v>
                </c:pt>
                <c:pt idx="11">
                  <c:v>Articole prelucrate din metal</c:v>
                </c:pt>
                <c:pt idx="12">
                  <c:v>Îngrăşăminte minerale sau chimice</c:v>
                </c:pt>
                <c:pt idx="13">
                  <c:v>Alte mărfuri</c:v>
                </c:pt>
              </c:strCache>
            </c:strRef>
          </c:cat>
          <c:val>
            <c:numRef>
              <c:f>'Figura 12'!$B$45:$B$58</c:f>
              <c:numCache>
                <c:formatCode>0.0</c:formatCode>
                <c:ptCount val="14"/>
                <c:pt idx="0">
                  <c:v>15.9</c:v>
                </c:pt>
                <c:pt idx="1">
                  <c:v>8.4</c:v>
                </c:pt>
                <c:pt idx="2">
                  <c:v>7.4</c:v>
                </c:pt>
                <c:pt idx="3">
                  <c:v>6.4</c:v>
                </c:pt>
                <c:pt idx="4">
                  <c:v>3.5</c:v>
                </c:pt>
                <c:pt idx="5">
                  <c:v>3.4</c:v>
                </c:pt>
                <c:pt idx="6">
                  <c:v>2.9</c:v>
                </c:pt>
                <c:pt idx="7">
                  <c:v>2.7</c:v>
                </c:pt>
                <c:pt idx="8">
                  <c:v>2.5</c:v>
                </c:pt>
                <c:pt idx="9">
                  <c:v>2.2999999999999998</c:v>
                </c:pt>
                <c:pt idx="10">
                  <c:v>2.2000000000000002</c:v>
                </c:pt>
                <c:pt idx="11">
                  <c:v>2.1</c:v>
                </c:pt>
                <c:pt idx="12">
                  <c:v>2</c:v>
                </c:pt>
                <c:pt idx="13">
                  <c:v>38.299999999999997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D3-4FE3-A741-BA04960B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 iunie 2022</a:t>
            </a:r>
            <a:endParaRPr lang="en-US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6319716334156549"/>
          <c:y val="1.09127236442937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278201881303409"/>
          <c:y val="0.11184088515881624"/>
          <c:w val="0.53981480000639726"/>
          <c:h val="0.65779810457824517"/>
        </c:manualLayout>
      </c:layout>
      <c:pieChart>
        <c:varyColors val="1"/>
        <c:ser>
          <c:idx val="0"/>
          <c:order val="0"/>
          <c:tx>
            <c:strRef>
              <c:f>'Figura 12'!$B$27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3D9-44C7-A51E-FDC47C6964E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3D9-44C7-A51E-FDC47C6964E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3D9-44C7-A51E-FDC47C6964E7}"/>
              </c:ext>
            </c:extLst>
          </c:dPt>
          <c:dPt>
            <c:idx val="3"/>
            <c:bubble3D val="0"/>
            <c:explosion val="1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3D9-44C7-A51E-FDC47C6964E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3D9-44C7-A51E-FDC47C6964E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3D9-44C7-A51E-FDC47C6964E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3D9-44C7-A51E-FDC47C6964E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3D9-44C7-A51E-FDC47C6964E7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3D9-44C7-A51E-FDC47C6964E7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3D9-44C7-A51E-FDC47C6964E7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3D9-44C7-A51E-FDC47C6964E7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3D9-44C7-A51E-FDC47C6964E7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3D9-44C7-A51E-FDC47C6964E7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9F0-4C23-A26D-005511921D52}"/>
              </c:ext>
            </c:extLst>
          </c:dPt>
          <c:dLbls>
            <c:dLbl>
              <c:idx val="0"/>
              <c:layout>
                <c:manualLayout>
                  <c:x val="-5.5692070057993009E-2"/>
                  <c:y val="6.77978833456458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D9-44C7-A51E-FDC47C6964E7}"/>
                </c:ext>
              </c:extLst>
            </c:dLbl>
            <c:dLbl>
              <c:idx val="1"/>
              <c:layout>
                <c:manualLayout>
                  <c:x val="-3.6036045331642536E-2"/>
                  <c:y val="-8.831705691236756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61008225091921"/>
                      <c:h val="0.172676255273743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3D9-44C7-A51E-FDC47C6964E7}"/>
                </c:ext>
              </c:extLst>
            </c:dLbl>
            <c:dLbl>
              <c:idx val="2"/>
              <c:layout>
                <c:manualLayout>
                  <c:x val="-2.129402678687968E-2"/>
                  <c:y val="-0.1222931861426745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21286288194468"/>
                      <c:h val="0.155669559179197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3D9-44C7-A51E-FDC47C6964E7}"/>
                </c:ext>
              </c:extLst>
            </c:dLbl>
            <c:dLbl>
              <c:idx val="3"/>
              <c:layout>
                <c:manualLayout>
                  <c:x val="1.9343127639827335E-2"/>
                  <c:y val="-0.11508930984860008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944982735200328"/>
                      <c:h val="0.132552625057151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13D9-44C7-A51E-FDC47C6964E7}"/>
                </c:ext>
              </c:extLst>
            </c:dLbl>
            <c:dLbl>
              <c:idx val="4"/>
              <c:layout>
                <c:manualLayout>
                  <c:x val="5.2416065936934597E-2"/>
                  <c:y val="-7.46442126780415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D9-44C7-A51E-FDC47C6964E7}"/>
                </c:ext>
              </c:extLst>
            </c:dLbl>
            <c:dLbl>
              <c:idx val="5"/>
              <c:layout>
                <c:manualLayout>
                  <c:x val="4.7207993243692922E-3"/>
                  <c:y val="-2.84780683828527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63314119268217"/>
                      <c:h val="0.17215664401512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13D9-44C7-A51E-FDC47C6964E7}"/>
                </c:ext>
              </c:extLst>
            </c:dLbl>
            <c:dLbl>
              <c:idx val="6"/>
              <c:layout>
                <c:manualLayout>
                  <c:x val="-5.4054067997463928E-2"/>
                  <c:y val="3.45927424768747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420956727338953"/>
                      <c:h val="0.114873421277859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13D9-44C7-A51E-FDC47C6964E7}"/>
                </c:ext>
              </c:extLst>
            </c:dLbl>
            <c:dLbl>
              <c:idx val="7"/>
              <c:layout>
                <c:manualLayout>
                  <c:x val="-0.1146601442370445"/>
                  <c:y val="1.82156720906944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3D9-44C7-A51E-FDC47C6964E7}"/>
                </c:ext>
              </c:extLst>
            </c:dLbl>
            <c:dLbl>
              <c:idx val="8"/>
              <c:layout>
                <c:manualLayout>
                  <c:x val="-0.1633219610418622"/>
                  <c:y val="-4.131456620888431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33992798981809"/>
                      <c:h val="0.175458260458618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3D9-44C7-A51E-FDC47C6964E7}"/>
                </c:ext>
              </c:extLst>
            </c:dLbl>
            <c:dLbl>
              <c:idx val="9"/>
              <c:layout>
                <c:manualLayout>
                  <c:x val="-0.17263006897149463"/>
                  <c:y val="-0.176075760918490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26616785419666"/>
                      <c:h val="0.195509281138377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13D9-44C7-A51E-FDC47C6964E7}"/>
                </c:ext>
              </c:extLst>
            </c:dLbl>
            <c:dLbl>
              <c:idx val="10"/>
              <c:layout>
                <c:manualLayout>
                  <c:x val="-0.17035221429503744"/>
                  <c:y val="-0.2820627058704538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67162727637145"/>
                      <c:h val="0.15465547437225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13D9-44C7-A51E-FDC47C6964E7}"/>
                </c:ext>
              </c:extLst>
            </c:dLbl>
            <c:dLbl>
              <c:idx val="11"/>
              <c:layout>
                <c:manualLayout>
                  <c:x val="-0.14414418132657014"/>
                  <c:y val="-0.419941420262887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3D9-44C7-A51E-FDC47C6964E7}"/>
                </c:ext>
              </c:extLst>
            </c:dLbl>
            <c:dLbl>
              <c:idx val="12"/>
              <c:layout>
                <c:manualLayout>
                  <c:x val="-6.2244078300109848E-2"/>
                  <c:y val="-0.545498959890269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3D9-44C7-A51E-FDC47C6964E7}"/>
                </c:ext>
              </c:extLst>
            </c:dLbl>
            <c:dLbl>
              <c:idx val="13"/>
              <c:layout>
                <c:manualLayout>
                  <c:x val="0.17690422253715427"/>
                  <c:y val="-0.2197183748381575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66110227478502"/>
                      <c:h val="8.40939215833563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B-79F0-4C23-A26D-005511921D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12'!$A$28:$A$41</c:f>
              <c:strCache>
                <c:ptCount val="14"/>
                <c:pt idx="0">
                  <c:v>Petrol, produse petroliere </c:v>
                </c:pt>
                <c:pt idx="1">
                  <c:v>Gaz şi produse industriale obţinute din gaz</c:v>
                </c:pt>
                <c:pt idx="2">
                  <c:v>Maşini şi aparate electrice </c:v>
                </c:pt>
                <c:pt idx="3">
                  <c:v>Vehicule rutiere</c:v>
                </c:pt>
                <c:pt idx="4">
                  <c:v>Fire, tesături, articole textile </c:v>
                </c:pt>
                <c:pt idx="5">
                  <c:v>Produse medicinale şi farmaceutice</c:v>
                </c:pt>
                <c:pt idx="6">
                  <c:v>Legume şi fructe</c:v>
                </c:pt>
                <c:pt idx="7">
                  <c:v>Maşini şi aparate industriale </c:v>
                </c:pt>
                <c:pt idx="8">
                  <c:v>Maşini şi aparate specializate </c:v>
                </c:pt>
                <c:pt idx="9">
                  <c:v>Aparate şi echipamente de telecomunicaţii </c:v>
                </c:pt>
                <c:pt idx="10">
                  <c:v>Îmbrăcăminte şi accesorii</c:v>
                </c:pt>
                <c:pt idx="11">
                  <c:v>Articole prelucrate din metal</c:v>
                </c:pt>
                <c:pt idx="12">
                  <c:v>Îngrăşăminte minerale sau chimice</c:v>
                </c:pt>
                <c:pt idx="13">
                  <c:v>Alte mărfuri</c:v>
                </c:pt>
              </c:strCache>
            </c:strRef>
          </c:cat>
          <c:val>
            <c:numRef>
              <c:f>'Figura 12'!$B$28:$B$41</c:f>
              <c:numCache>
                <c:formatCode>0.0</c:formatCode>
                <c:ptCount val="14"/>
                <c:pt idx="0">
                  <c:v>14.7</c:v>
                </c:pt>
                <c:pt idx="1">
                  <c:v>10</c:v>
                </c:pt>
                <c:pt idx="2">
                  <c:v>6.1</c:v>
                </c:pt>
                <c:pt idx="3">
                  <c:v>5.6</c:v>
                </c:pt>
                <c:pt idx="4">
                  <c:v>3.8</c:v>
                </c:pt>
                <c:pt idx="5">
                  <c:v>3.4</c:v>
                </c:pt>
                <c:pt idx="6">
                  <c:v>2.5</c:v>
                </c:pt>
                <c:pt idx="7">
                  <c:v>2.7</c:v>
                </c:pt>
                <c:pt idx="8">
                  <c:v>3.6</c:v>
                </c:pt>
                <c:pt idx="9">
                  <c:v>2</c:v>
                </c:pt>
                <c:pt idx="10">
                  <c:v>2.1</c:v>
                </c:pt>
                <c:pt idx="11">
                  <c:v>2.2000000000000002</c:v>
                </c:pt>
                <c:pt idx="12">
                  <c:v>1.9</c:v>
                </c:pt>
                <c:pt idx="13">
                  <c:v>39.4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3D9-44C7-A51E-FDC47C696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9292310683395E-2"/>
          <c:y val="8.3241273945234451E-2"/>
          <c:w val="0.93642881088462071"/>
          <c:h val="0.70397265640302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13'!$B$22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13'!$B$23:$B$28</c:f>
              <c:numCache>
                <c:formatCode>#\ ##0.0</c:formatCode>
                <c:ptCount val="6"/>
                <c:pt idx="0">
                  <c:v>-154</c:v>
                </c:pt>
                <c:pt idx="1">
                  <c:v>-138.30000000000001</c:v>
                </c:pt>
                <c:pt idx="2">
                  <c:v>-160.30000000000001</c:v>
                </c:pt>
                <c:pt idx="3">
                  <c:v>-201</c:v>
                </c:pt>
                <c:pt idx="4">
                  <c:v>-291.3</c:v>
                </c:pt>
                <c:pt idx="5">
                  <c:v>-402.2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3-4221-BB37-7103809F1204}"/>
            </c:ext>
          </c:extLst>
        </c:ser>
        <c:ser>
          <c:idx val="2"/>
          <c:order val="1"/>
          <c:tx>
            <c:strRef>
              <c:f>'Figura 13'!$C$22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13'!$C$23:$C$28</c:f>
              <c:numCache>
                <c:formatCode>#\ ##0.0</c:formatCode>
                <c:ptCount val="6"/>
                <c:pt idx="0">
                  <c:v>-212.1</c:v>
                </c:pt>
                <c:pt idx="1">
                  <c:v>-217.9</c:v>
                </c:pt>
                <c:pt idx="2">
                  <c:v>-239.5</c:v>
                </c:pt>
                <c:pt idx="3">
                  <c:v>-294.39999999999998</c:v>
                </c:pt>
                <c:pt idx="4">
                  <c:v>-332.6</c:v>
                </c:pt>
                <c:pt idx="5">
                  <c:v>-396.5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3-4221-BB37-7103809F1204}"/>
            </c:ext>
          </c:extLst>
        </c:ser>
        <c:ser>
          <c:idx val="3"/>
          <c:order val="2"/>
          <c:tx>
            <c:strRef>
              <c:f>'Figura 13'!$D$22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13'!$D$23:$D$28</c:f>
              <c:numCache>
                <c:formatCode>#\ ##0.0</c:formatCode>
                <c:ptCount val="6"/>
                <c:pt idx="0">
                  <c:v>-282</c:v>
                </c:pt>
                <c:pt idx="1">
                  <c:v>-276.60000000000002</c:v>
                </c:pt>
                <c:pt idx="2">
                  <c:v>-290.3</c:v>
                </c:pt>
                <c:pt idx="3">
                  <c:v>-370.8</c:v>
                </c:pt>
                <c:pt idx="4">
                  <c:v>-352.5</c:v>
                </c:pt>
                <c:pt idx="5">
                  <c:v>-436.2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3-4221-BB37-7103809F1204}"/>
            </c:ext>
          </c:extLst>
        </c:ser>
        <c:ser>
          <c:idx val="4"/>
          <c:order val="3"/>
          <c:tx>
            <c:strRef>
              <c:f>'Figura 13'!$E$22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13'!$E$23:$E$28</c:f>
              <c:numCache>
                <c:formatCode>#\ ##0.0</c:formatCode>
                <c:ptCount val="6"/>
                <c:pt idx="0">
                  <c:v>-244.9</c:v>
                </c:pt>
                <c:pt idx="1">
                  <c:v>-300</c:v>
                </c:pt>
                <c:pt idx="2">
                  <c:v>-135.80000000000001</c:v>
                </c:pt>
                <c:pt idx="3">
                  <c:v>-344</c:v>
                </c:pt>
                <c:pt idx="4">
                  <c:v>-374.1</c:v>
                </c:pt>
                <c:pt idx="5">
                  <c:v>-373.3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33-4221-BB37-7103809F1204}"/>
            </c:ext>
          </c:extLst>
        </c:ser>
        <c:ser>
          <c:idx val="5"/>
          <c:order val="4"/>
          <c:tx>
            <c:strRef>
              <c:f>'Figura 13'!$F$22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13'!$F$23:$F$28</c:f>
              <c:numCache>
                <c:formatCode>#\ ##0.0</c:formatCode>
                <c:ptCount val="6"/>
                <c:pt idx="0">
                  <c:v>-282.60000000000002</c:v>
                </c:pt>
                <c:pt idx="1">
                  <c:v>-271.10000000000002</c:v>
                </c:pt>
                <c:pt idx="2">
                  <c:v>-173.7</c:v>
                </c:pt>
                <c:pt idx="3">
                  <c:v>-361.7</c:v>
                </c:pt>
                <c:pt idx="4">
                  <c:v>-356.7</c:v>
                </c:pt>
                <c:pt idx="5">
                  <c:v>-372.7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33-4221-BB37-7103809F1204}"/>
            </c:ext>
          </c:extLst>
        </c:ser>
        <c:ser>
          <c:idx val="6"/>
          <c:order val="5"/>
          <c:tx>
            <c:strRef>
              <c:f>'Figura 13'!$G$22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13'!$G$23:$G$28</c:f>
              <c:numCache>
                <c:formatCode>#\ ##0.0</c:formatCode>
                <c:ptCount val="6"/>
                <c:pt idx="0">
                  <c:v>-244.6</c:v>
                </c:pt>
                <c:pt idx="1">
                  <c:v>-243.2</c:v>
                </c:pt>
                <c:pt idx="2">
                  <c:v>-223.9</c:v>
                </c:pt>
                <c:pt idx="3">
                  <c:v>-362.8</c:v>
                </c:pt>
                <c:pt idx="4">
                  <c:v>-352</c:v>
                </c:pt>
                <c:pt idx="5">
                  <c:v>-348.6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33-4221-BB37-7103809F1204}"/>
            </c:ext>
          </c:extLst>
        </c:ser>
        <c:ser>
          <c:idx val="7"/>
          <c:order val="6"/>
          <c:tx>
            <c:strRef>
              <c:f>'Figura 13'!$H$22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13'!$H$23:$H$28</c:f>
              <c:numCache>
                <c:formatCode>#\ ##0.0</c:formatCode>
                <c:ptCount val="6"/>
                <c:pt idx="0">
                  <c:v>-269.2</c:v>
                </c:pt>
                <c:pt idx="1">
                  <c:v>-278.89999999999998</c:v>
                </c:pt>
                <c:pt idx="2">
                  <c:v>-305.5</c:v>
                </c:pt>
                <c:pt idx="3">
                  <c:v>-321.3</c:v>
                </c:pt>
                <c:pt idx="4">
                  <c:v>-422.8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33-4221-BB37-7103809F1204}"/>
            </c:ext>
          </c:extLst>
        </c:ser>
        <c:ser>
          <c:idx val="8"/>
          <c:order val="7"/>
          <c:tx>
            <c:strRef>
              <c:f>'Figura 13'!$I$22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13'!$I$23:$I$28</c:f>
              <c:numCache>
                <c:formatCode>#\ ##0.0</c:formatCode>
                <c:ptCount val="6"/>
                <c:pt idx="0">
                  <c:v>-262.10000000000002</c:v>
                </c:pt>
                <c:pt idx="1">
                  <c:v>-258.5</c:v>
                </c:pt>
                <c:pt idx="2">
                  <c:v>-269.7</c:v>
                </c:pt>
                <c:pt idx="3">
                  <c:v>-338.6</c:v>
                </c:pt>
                <c:pt idx="4">
                  <c:v>-450.6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33-4221-BB37-7103809F1204}"/>
            </c:ext>
          </c:extLst>
        </c:ser>
        <c:ser>
          <c:idx val="9"/>
          <c:order val="8"/>
          <c:tx>
            <c:strRef>
              <c:f>'Figura 13'!$J$22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13'!$J$23:$J$28</c:f>
              <c:numCache>
                <c:formatCode>#\ ##0.0</c:formatCode>
                <c:ptCount val="6"/>
                <c:pt idx="0">
                  <c:v>-266.7</c:v>
                </c:pt>
                <c:pt idx="1">
                  <c:v>-262.89999999999998</c:v>
                </c:pt>
                <c:pt idx="2">
                  <c:v>-296</c:v>
                </c:pt>
                <c:pt idx="3">
                  <c:v>-376.3</c:v>
                </c:pt>
                <c:pt idx="4">
                  <c:v>-525.29999999999995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3-4221-BB37-7103809F1204}"/>
            </c:ext>
          </c:extLst>
        </c:ser>
        <c:ser>
          <c:idx val="10"/>
          <c:order val="9"/>
          <c:tx>
            <c:strRef>
              <c:f>'Figura 13'!$K$22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13'!$K$23:$K$28</c:f>
              <c:numCache>
                <c:formatCode>#\ ##0.0</c:formatCode>
                <c:ptCount val="6"/>
                <c:pt idx="0">
                  <c:v>-281.60000000000002</c:v>
                </c:pt>
                <c:pt idx="1">
                  <c:v>-257</c:v>
                </c:pt>
                <c:pt idx="2">
                  <c:v>-244.2</c:v>
                </c:pt>
                <c:pt idx="3">
                  <c:v>-294.60000000000002</c:v>
                </c:pt>
                <c:pt idx="4">
                  <c:v>-399.2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33-4221-BB37-7103809F1204}"/>
            </c:ext>
          </c:extLst>
        </c:ser>
        <c:ser>
          <c:idx val="11"/>
          <c:order val="10"/>
          <c:tx>
            <c:strRef>
              <c:f>'Figura 13'!$L$22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13'!$L$23:$L$28</c:f>
              <c:numCache>
                <c:formatCode>#\ ##0.0</c:formatCode>
                <c:ptCount val="6"/>
                <c:pt idx="0">
                  <c:v>-253.70000000000005</c:v>
                </c:pt>
                <c:pt idx="1">
                  <c:v>-237.5</c:v>
                </c:pt>
                <c:pt idx="2">
                  <c:v>-260.89999999999998</c:v>
                </c:pt>
                <c:pt idx="3">
                  <c:v>-337.6</c:v>
                </c:pt>
                <c:pt idx="4">
                  <c:v>-502.5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33-4221-BB37-7103809F1204}"/>
            </c:ext>
          </c:extLst>
        </c:ser>
        <c:ser>
          <c:idx val="12"/>
          <c:order val="11"/>
          <c:tx>
            <c:strRef>
              <c:f>'Figura 13'!$M$22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13'!$M$23:$M$28</c:f>
              <c:numCache>
                <c:formatCode>#\ ##0.0</c:formatCode>
                <c:ptCount val="6"/>
                <c:pt idx="0">
                  <c:v>-300.49999999999994</c:v>
                </c:pt>
                <c:pt idx="1">
                  <c:v>-321.39999999999998</c:v>
                </c:pt>
                <c:pt idx="2">
                  <c:v>-349</c:v>
                </c:pt>
                <c:pt idx="3">
                  <c:v>-429.2</c:v>
                </c:pt>
                <c:pt idx="4">
                  <c:v>-524.29999999999995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1-46B9-BC71-3BBF0CA1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7897728"/>
        <c:axId val="138072576"/>
      </c:barChart>
      <c:catAx>
        <c:axId val="15789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gradFill>
              <a:gsLst>
                <a:gs pos="0">
                  <a:schemeClr val="tx1">
                    <a:alpha val="9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072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072576"/>
        <c:scaling>
          <c:orientation val="minMax"/>
          <c:min val="-6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7897728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095502632723057"/>
          <c:w val="1"/>
          <c:h val="7.3858659458612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62778414308116E-2"/>
          <c:y val="6.8799149302478671E-2"/>
          <c:w val="0.90019805713940926"/>
          <c:h val="0.79256750942955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14'!$B$27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194475690538683E-2"/>
                  <c:y val="1.63592268642251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13-450B-8629-87951D3C5A06}"/>
                </c:ext>
              </c:extLst>
            </c:dLbl>
            <c:dLbl>
              <c:idx val="1"/>
              <c:layout>
                <c:manualLayout>
                  <c:x val="-1.5403217454960988E-2"/>
                  <c:y val="8.7843842786483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13-450B-8629-87951D3C5A06}"/>
                </c:ext>
              </c:extLst>
            </c:dLbl>
            <c:dLbl>
              <c:idx val="2"/>
              <c:layout>
                <c:manualLayout>
                  <c:x val="-1.442191154677094E-2"/>
                  <c:y val="4.55420521910221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13-450B-8629-87951D3C5A06}"/>
                </c:ext>
              </c:extLst>
            </c:dLbl>
            <c:dLbl>
              <c:idx val="3"/>
              <c:layout>
                <c:manualLayout>
                  <c:x val="-1.4134233220847461E-2"/>
                  <c:y val="1.6002885821428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864016997875265E-2"/>
                      <c:h val="6.7576708367975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713-450B-8629-87951D3C5A06}"/>
                </c:ext>
              </c:extLst>
            </c:dLbl>
            <c:dLbl>
              <c:idx val="4"/>
              <c:layout>
                <c:manualLayout>
                  <c:x val="-1.2216044423018551E-2"/>
                  <c:y val="4.4410300171634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13-450B-8629-87951D3C5A06}"/>
                </c:ext>
              </c:extLst>
            </c:dLbl>
            <c:dLbl>
              <c:idx val="5"/>
              <c:layout>
                <c:manualLayout>
                  <c:x val="-1.2661703001410538E-2"/>
                  <c:y val="4.2872053240890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14'!$A$28:$A$33</c:f>
              <c:strCache>
                <c:ptCount val="6"/>
                <c:pt idx="0">
                  <c:v>Ianuarie-iunie 2018</c:v>
                </c:pt>
                <c:pt idx="1">
                  <c:v>Ianuarie-iunie 2019</c:v>
                </c:pt>
                <c:pt idx="2">
                  <c:v>Ianuarie-iunie 2020</c:v>
                </c:pt>
                <c:pt idx="3">
                  <c:v>Ianuarie-iunie 2021</c:v>
                </c:pt>
                <c:pt idx="4">
                  <c:v>Ianuarie-iunie 2022</c:v>
                </c:pt>
                <c:pt idx="5">
                  <c:v>Ianuarie-iunie 2023</c:v>
                </c:pt>
              </c:strCache>
            </c:strRef>
          </c:cat>
          <c:val>
            <c:numRef>
              <c:f>'Figura 14'!$B$28:$B$33</c:f>
              <c:numCache>
                <c:formatCode>General</c:formatCode>
                <c:ptCount val="6"/>
                <c:pt idx="0">
                  <c:v>1314.8</c:v>
                </c:pt>
                <c:pt idx="1">
                  <c:v>1361.2</c:v>
                </c:pt>
                <c:pt idx="2">
                  <c:v>1170.2</c:v>
                </c:pt>
                <c:pt idx="3">
                  <c:v>1331.5</c:v>
                </c:pt>
                <c:pt idx="4">
                  <c:v>2291.4</c:v>
                </c:pt>
                <c:pt idx="5">
                  <c:v>2042.2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2C-4A3E-9B06-2ADBC8010143}"/>
            </c:ext>
          </c:extLst>
        </c:ser>
        <c:ser>
          <c:idx val="1"/>
          <c:order val="1"/>
          <c:tx>
            <c:strRef>
              <c:f>'Figura 14'!$C$27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7483528844608877E-3"/>
                  <c:y val="8.0643911334979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2C-4A3E-9B06-2ADBC8010143}"/>
                </c:ext>
              </c:extLst>
            </c:dLbl>
            <c:dLbl>
              <c:idx val="1"/>
              <c:layout>
                <c:manualLayout>
                  <c:x val="-2.7713678647312274E-3"/>
                  <c:y val="6.77705976674210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2C-4A3E-9B06-2ADBC8010143}"/>
                </c:ext>
              </c:extLst>
            </c:dLbl>
            <c:dLbl>
              <c:idx val="2"/>
              <c:layout>
                <c:manualLayout>
                  <c:x val="1.1457958618054857E-5"/>
                  <c:y val="7.5543188470258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2C-4A3E-9B06-2ADBC8010143}"/>
                </c:ext>
              </c:extLst>
            </c:dLbl>
            <c:dLbl>
              <c:idx val="3"/>
              <c:layout>
                <c:manualLayout>
                  <c:x val="-8.3683067535339809E-4"/>
                  <c:y val="8.36463961279676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13-450B-8629-87951D3C5A06}"/>
                </c:ext>
              </c:extLst>
            </c:dLbl>
            <c:dLbl>
              <c:idx val="4"/>
              <c:layout>
                <c:manualLayout>
                  <c:x val="0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13-450B-8629-87951D3C5A06}"/>
                </c:ext>
              </c:extLst>
            </c:dLbl>
            <c:dLbl>
              <c:idx val="5"/>
              <c:layout>
                <c:manualLayout>
                  <c:x val="-1.3682575392361669E-3"/>
                  <c:y val="4.5542052191022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14'!$A$28:$A$33</c:f>
              <c:strCache>
                <c:ptCount val="6"/>
                <c:pt idx="0">
                  <c:v>Ianuarie-iunie 2018</c:v>
                </c:pt>
                <c:pt idx="1">
                  <c:v>Ianuarie-iunie 2019</c:v>
                </c:pt>
                <c:pt idx="2">
                  <c:v>Ianuarie-iunie 2020</c:v>
                </c:pt>
                <c:pt idx="3">
                  <c:v>Ianuarie-iunie 2021</c:v>
                </c:pt>
                <c:pt idx="4">
                  <c:v>Ianuarie-iunie 2022</c:v>
                </c:pt>
                <c:pt idx="5">
                  <c:v>Ianuarie-iunie 2023</c:v>
                </c:pt>
              </c:strCache>
            </c:strRef>
          </c:cat>
          <c:val>
            <c:numRef>
              <c:f>'Figura 14'!$C$28:$C$33</c:f>
              <c:numCache>
                <c:formatCode>General</c:formatCode>
                <c:ptCount val="6"/>
                <c:pt idx="0">
                  <c:v>2734.9</c:v>
                </c:pt>
                <c:pt idx="1">
                  <c:v>2808.3</c:v>
                </c:pt>
                <c:pt idx="2">
                  <c:v>2393.6</c:v>
                </c:pt>
                <c:pt idx="3">
                  <c:v>3266.1</c:v>
                </c:pt>
                <c:pt idx="4">
                  <c:v>4350.6000000000004</c:v>
                </c:pt>
                <c:pt idx="5">
                  <c:v>4371.6000000000004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158124544"/>
        <c:axId val="156729920"/>
      </c:barChart>
      <c:lineChart>
        <c:grouping val="standard"/>
        <c:varyColors val="0"/>
        <c:ser>
          <c:idx val="2"/>
          <c:order val="2"/>
          <c:tx>
            <c:strRef>
              <c:f>'Figura 14'!$D$27</c:f>
              <c:strCache>
                <c:ptCount val="1"/>
                <c:pt idx="0">
                  <c:v>Balanţa Comercială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9753138000607062E-2"/>
                  <c:y val="-2.9307990666408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2C-4A3E-9B06-2ADBC8010143}"/>
                </c:ext>
              </c:extLst>
            </c:dLbl>
            <c:dLbl>
              <c:idx val="1"/>
              <c:layout>
                <c:manualLayout>
                  <c:x val="-3.7411466423839843E-2"/>
                  <c:y val="2.7894031748129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2C-4A3E-9B06-2ADBC8010143}"/>
                </c:ext>
              </c:extLst>
            </c:dLbl>
            <c:dLbl>
              <c:idx val="2"/>
              <c:layout>
                <c:manualLayout>
                  <c:x val="-3.9784598353777206E-2"/>
                  <c:y val="-3.9010059140622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2C-4A3E-9B06-2ADBC8010143}"/>
                </c:ext>
              </c:extLst>
            </c:dLbl>
            <c:dLbl>
              <c:idx val="3"/>
              <c:layout>
                <c:manualLayout>
                  <c:x val="-3.7879836449015304E-2"/>
                  <c:y val="3.1540495812663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2C-4A3E-9B06-2ADBC8010143}"/>
                </c:ext>
              </c:extLst>
            </c:dLbl>
            <c:dLbl>
              <c:idx val="4"/>
              <c:layout>
                <c:manualLayout>
                  <c:x val="-3.7191636759690755E-2"/>
                  <c:y val="-3.0717562948953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13-450B-8629-87951D3C5A06}"/>
                </c:ext>
              </c:extLst>
            </c:dLbl>
            <c:dLbl>
              <c:idx val="5"/>
              <c:layout>
                <c:manualLayout>
                  <c:x val="-6.0542432195975502E-3"/>
                  <c:y val="1.9518481919895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14'!$A$28:$A$33</c:f>
              <c:strCache>
                <c:ptCount val="6"/>
                <c:pt idx="0">
                  <c:v>Ianuarie-iunie 2018</c:v>
                </c:pt>
                <c:pt idx="1">
                  <c:v>Ianuarie-iunie 2019</c:v>
                </c:pt>
                <c:pt idx="2">
                  <c:v>Ianuarie-iunie 2020</c:v>
                </c:pt>
                <c:pt idx="3">
                  <c:v>Ianuarie-iunie 2021</c:v>
                </c:pt>
                <c:pt idx="4">
                  <c:v>Ianuarie-iunie 2022</c:v>
                </c:pt>
                <c:pt idx="5">
                  <c:v>Ianuarie-iunie 2023</c:v>
                </c:pt>
              </c:strCache>
            </c:strRef>
          </c:cat>
          <c:val>
            <c:numRef>
              <c:f>'Figura 14'!$D$28:$D$33</c:f>
              <c:numCache>
                <c:formatCode>#\ ##0.0</c:formatCode>
                <c:ptCount val="6"/>
                <c:pt idx="0">
                  <c:v>-1420.1000000000001</c:v>
                </c:pt>
                <c:pt idx="1">
                  <c:v>-1447.1000000000001</c:v>
                </c:pt>
                <c:pt idx="2">
                  <c:v>-1223.3999999999999</c:v>
                </c:pt>
                <c:pt idx="3">
                  <c:v>-1934.6</c:v>
                </c:pt>
                <c:pt idx="4">
                  <c:v>-2059.2000000000003</c:v>
                </c:pt>
                <c:pt idx="5">
                  <c:v>-2329.4000000000005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24544"/>
        <c:axId val="156729920"/>
      </c:lineChart>
      <c:catAx>
        <c:axId val="15812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6729920"/>
        <c:crosses val="autoZero"/>
        <c:auto val="1"/>
        <c:lblAlgn val="ctr"/>
        <c:lblOffset val="100"/>
        <c:noMultiLvlLbl val="0"/>
      </c:catAx>
      <c:valAx>
        <c:axId val="156729920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8124544"/>
        <c:crosses val="autoZero"/>
        <c:crossBetween val="between"/>
        <c:majorUnit val="1000"/>
        <c:min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724427456859489E-2"/>
          <c:y val="0.95930711068301466"/>
          <c:w val="0.92503281730217912"/>
          <c:h val="3.6405286958537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854673787348795E-2"/>
          <c:y val="5.8988321282727942E-2"/>
          <c:w val="0.92807084892708935"/>
          <c:h val="0.71198276686002482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2'!$A$25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3443222211951362E-2"/>
                  <c:y val="-2.82646413067577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0-A467-4F44-B57D-57C60A5D0C66}"/>
                </c:ext>
              </c:extLst>
            </c:dLbl>
            <c:dLbl>
              <c:idx val="1"/>
              <c:layout>
                <c:manualLayout>
                  <c:x val="-3.6457225130743419E-2"/>
                  <c:y val="-2.5304697948178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7-4F44-B57D-57C60A5D0C66}"/>
                </c:ext>
              </c:extLst>
            </c:dLbl>
            <c:dLbl>
              <c:idx val="2"/>
              <c:layout>
                <c:manualLayout>
                  <c:x val="-6.885436012067302E-3"/>
                  <c:y val="1.498995186909471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67-4F44-B57D-57C60A5D0C66}"/>
                </c:ext>
              </c:extLst>
            </c:dLbl>
            <c:dLbl>
              <c:idx val="3"/>
              <c:layout>
                <c:manualLayout>
                  <c:x val="-1.6988125870039585E-2"/>
                  <c:y val="2.7772429854718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67-4F44-B57D-57C60A5D0C66}"/>
                </c:ext>
              </c:extLst>
            </c:dLbl>
            <c:dLbl>
              <c:idx val="4"/>
              <c:layout>
                <c:manualLayout>
                  <c:x val="-1.0186544651580191E-2"/>
                  <c:y val="2.181438491850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67-4F44-B57D-57C60A5D0C66}"/>
                </c:ext>
              </c:extLst>
            </c:dLbl>
            <c:dLbl>
              <c:idx val="5"/>
              <c:layout>
                <c:manualLayout>
                  <c:x val="-2.1906626666330531E-2"/>
                  <c:y val="2.8966651648107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67-4F44-B57D-57C60A5D0C66}"/>
                </c:ext>
              </c:extLst>
            </c:dLbl>
            <c:dLbl>
              <c:idx val="6"/>
              <c:layout>
                <c:manualLayout>
                  <c:x val="-1.8928999102650092E-2"/>
                  <c:y val="-2.768249336680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67-4F44-B57D-57C60A5D0C66}"/>
                </c:ext>
              </c:extLst>
            </c:dLbl>
            <c:dLbl>
              <c:idx val="7"/>
              <c:layout>
                <c:manualLayout>
                  <c:x val="-7.2465445903276667E-3"/>
                  <c:y val="1.2481709541075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67-4F44-B57D-57C60A5D0C66}"/>
                </c:ext>
              </c:extLst>
            </c:dLbl>
            <c:dLbl>
              <c:idx val="8"/>
              <c:layout>
                <c:manualLayout>
                  <c:x val="-4.4687657916739405E-2"/>
                  <c:y val="-2.0645511954057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67-4F44-B57D-57C60A5D0C66}"/>
                </c:ext>
              </c:extLst>
            </c:dLbl>
            <c:dLbl>
              <c:idx val="9"/>
              <c:layout>
                <c:manualLayout>
                  <c:x val="-3.498856108564026E-2"/>
                  <c:y val="2.6121421470817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67-4F44-B57D-57C60A5D0C66}"/>
                </c:ext>
              </c:extLst>
            </c:dLbl>
            <c:dLbl>
              <c:idx val="10"/>
              <c:layout>
                <c:manualLayout>
                  <c:x val="-1.7704798639764478E-2"/>
                  <c:y val="-1.79882283106982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5.2302229189677085E-2"/>
                      <c:h val="5.53198033344423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2A9D-446E-B46D-AAA2B51203E9}"/>
                </c:ext>
              </c:extLst>
            </c:dLbl>
            <c:dLbl>
              <c:idx val="11"/>
              <c:layout>
                <c:manualLayout>
                  <c:x val="-1.8774622174355458E-2"/>
                  <c:y val="2.7373522754100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9D-446E-B46D-AAA2B51203E9}"/>
                </c:ext>
              </c:extLst>
            </c:dLbl>
            <c:dLbl>
              <c:idx val="12"/>
              <c:layout>
                <c:manualLayout>
                  <c:x val="-2.23417783354493E-2"/>
                  <c:y val="-2.500770736991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9D-446E-B46D-AAA2B51203E9}"/>
                </c:ext>
              </c:extLst>
            </c:dLbl>
            <c:dLbl>
              <c:idx val="13"/>
              <c:layout>
                <c:manualLayout>
                  <c:x val="-1.4220270307518445E-2"/>
                  <c:y val="3.1558711836769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9D-446E-B46D-AAA2B51203E9}"/>
                </c:ext>
              </c:extLst>
            </c:dLbl>
            <c:dLbl>
              <c:idx val="14"/>
              <c:layout>
                <c:manualLayout>
                  <c:x val="-2.6059378650240862E-2"/>
                  <c:y val="-2.5236327747859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A9D-446E-B46D-AAA2B51203E9}"/>
                </c:ext>
              </c:extLst>
            </c:dLbl>
            <c:dLbl>
              <c:idx val="15"/>
              <c:layout>
                <c:manualLayout>
                  <c:x val="-2.0977544576017353E-2"/>
                  <c:y val="2.7802890835828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9D-446E-B46D-AAA2B51203E9}"/>
                </c:ext>
              </c:extLst>
            </c:dLbl>
            <c:dLbl>
              <c:idx val="16"/>
              <c:layout>
                <c:manualLayout>
                  <c:x val="-2.3586567703530924E-2"/>
                  <c:y val="-2.87636267688761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A9D-446E-B46D-AAA2B51203E9}"/>
                </c:ext>
              </c:extLst>
            </c:dLbl>
            <c:dLbl>
              <c:idx val="17"/>
              <c:layout>
                <c:manualLayout>
                  <c:x val="-9.8505131432666607E-3"/>
                  <c:y val="-2.4421606699707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A9D-446E-B46D-AAA2B51203E9}"/>
                </c:ext>
              </c:extLst>
            </c:dLbl>
            <c:dLbl>
              <c:idx val="18"/>
              <c:layout>
                <c:manualLayout>
                  <c:x val="-1.9806465598779351E-2"/>
                  <c:y val="2.82600786012859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A9D-446E-B46D-AAA2B51203E9}"/>
                </c:ext>
              </c:extLst>
            </c:dLbl>
            <c:dLbl>
              <c:idx val="19"/>
              <c:layout>
                <c:manualLayout>
                  <c:x val="-2.3958691277942649E-2"/>
                  <c:y val="-2.674705171390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A9D-446E-B46D-AAA2B51203E9}"/>
                </c:ext>
              </c:extLst>
            </c:dLbl>
            <c:dLbl>
              <c:idx val="20"/>
              <c:layout>
                <c:manualLayout>
                  <c:x val="-2.3712580217761039E-2"/>
                  <c:y val="2.98055454239882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592084697278002E-2"/>
                      <c:h val="4.21698241398299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2A9D-446E-B46D-AAA2B51203E9}"/>
                </c:ext>
              </c:extLst>
            </c:dLbl>
            <c:dLbl>
              <c:idx val="21"/>
              <c:layout>
                <c:manualLayout>
                  <c:x val="-2.0179531234208441E-2"/>
                  <c:y val="-2.33768871534110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201612338479032E-2"/>
                      <c:h val="3.70391984380699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2A9D-446E-B46D-AAA2B51203E9}"/>
                </c:ext>
              </c:extLst>
            </c:dLbl>
            <c:dLbl>
              <c:idx val="22"/>
              <c:layout>
                <c:manualLayout>
                  <c:x val="-2.4134608611496605E-2"/>
                  <c:y val="-2.7602108319566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A9D-446E-B46D-AAA2B51203E9}"/>
                </c:ext>
              </c:extLst>
            </c:dLbl>
            <c:dLbl>
              <c:idx val="23"/>
              <c:layout>
                <c:manualLayout>
                  <c:x val="-2.0672859299822176E-2"/>
                  <c:y val="3.052686534074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A9D-446E-B46D-AAA2B51203E9}"/>
                </c:ext>
              </c:extLst>
            </c:dLbl>
            <c:dLbl>
              <c:idx val="24"/>
              <c:layout>
                <c:manualLayout>
                  <c:x val="-1.7886603147768836E-2"/>
                  <c:y val="3.052686534074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A9D-446E-B46D-AAA2B51203E9}"/>
                </c:ext>
              </c:extLst>
            </c:dLbl>
            <c:dLbl>
              <c:idx val="25"/>
              <c:layout>
                <c:manualLayout>
                  <c:x val="-2.9111202231278933E-2"/>
                  <c:y val="-2.3969047465797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A9D-446E-B46D-AAA2B51203E9}"/>
                </c:ext>
              </c:extLst>
            </c:dLbl>
            <c:dLbl>
              <c:idx val="26"/>
              <c:layout>
                <c:manualLayout>
                  <c:x val="-2.0570176530156473E-2"/>
                  <c:y val="-2.3969047465797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45-47A2-BA65-A68496B03D77}"/>
                </c:ext>
              </c:extLst>
            </c:dLbl>
            <c:dLbl>
              <c:idx val="27"/>
              <c:layout>
                <c:manualLayout>
                  <c:x val="-2.1913988917710132E-2"/>
                  <c:y val="-4.2134351734643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48-4289-A3E3-B060B2DBC62B}"/>
                </c:ext>
              </c:extLst>
            </c:dLbl>
            <c:dLbl>
              <c:idx val="28"/>
              <c:layout>
                <c:manualLayout>
                  <c:x val="-2.6613932540714178E-2"/>
                  <c:y val="-2.3969047465797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57-4475-99F9-38F5443B2E52}"/>
                </c:ext>
              </c:extLst>
            </c:dLbl>
            <c:dLbl>
              <c:idx val="29"/>
              <c:layout>
                <c:manualLayout>
                  <c:x val="-1.2219568387600102E-3"/>
                  <c:y val="-2.3969047465797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2E-4A7A-B1BC-91559A5D21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2'!$B$23:$AE$24</c:f>
              <c:multiLvlStrCache>
                <c:ptCount val="3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'Figura 2'!$B$25:$AE$25</c:f>
              <c:numCache>
                <c:formatCode>#\ ##0.0</c:formatCode>
                <c:ptCount val="30"/>
                <c:pt idx="0">
                  <c:v>90.925213233797848</c:v>
                </c:pt>
                <c:pt idx="1">
                  <c:v>114.41147354263464</c:v>
                </c:pt>
                <c:pt idx="2">
                  <c:v>114.20579997969134</c:v>
                </c:pt>
                <c:pt idx="3">
                  <c:v>84.167356355788357</c:v>
                </c:pt>
                <c:pt idx="4">
                  <c:v>92.421884276527052</c:v>
                </c:pt>
                <c:pt idx="5">
                  <c:v>112.45124175218632</c:v>
                </c:pt>
                <c:pt idx="6">
                  <c:v>106.13290668113962</c:v>
                </c:pt>
                <c:pt idx="7">
                  <c:v>98.163759117159898</c:v>
                </c:pt>
                <c:pt idx="8">
                  <c:v>124.79747973247373</c:v>
                </c:pt>
                <c:pt idx="9">
                  <c:v>119.44752327758337</c:v>
                </c:pt>
                <c:pt idx="10">
                  <c:v>103.29810746017232</c:v>
                </c:pt>
                <c:pt idx="11">
                  <c:v>89.310814590947814</c:v>
                </c:pt>
                <c:pt idx="12">
                  <c:v>101.65548055101389</c:v>
                </c:pt>
                <c:pt idx="13">
                  <c:v>101.84864374682041</c:v>
                </c:pt>
                <c:pt idx="14">
                  <c:v>117.64360095679429</c:v>
                </c:pt>
                <c:pt idx="15">
                  <c:v>100.12867315249881</c:v>
                </c:pt>
                <c:pt idx="16">
                  <c:v>104.95231951698101</c:v>
                </c:pt>
                <c:pt idx="17">
                  <c:v>100.11263227721525</c:v>
                </c:pt>
                <c:pt idx="18">
                  <c:v>81.219091406345484</c:v>
                </c:pt>
                <c:pt idx="19">
                  <c:v>97.395817403540036</c:v>
                </c:pt>
                <c:pt idx="20">
                  <c:v>96.775293757579718</c:v>
                </c:pt>
                <c:pt idx="21" formatCode="0.0">
                  <c:v>110.41268252711565</c:v>
                </c:pt>
                <c:pt idx="22" formatCode="0.0">
                  <c:v>101.07685140675132</c:v>
                </c:pt>
                <c:pt idx="23" formatCode="0.0">
                  <c:v>98.231011775552389</c:v>
                </c:pt>
                <c:pt idx="24" formatCode="0.0">
                  <c:v>94.738709353020752</c:v>
                </c:pt>
                <c:pt idx="25" formatCode="0.0">
                  <c:v>107.53426152887265</c:v>
                </c:pt>
                <c:pt idx="26" formatCode="0.0">
                  <c:v>108.10569775638508</c:v>
                </c:pt>
                <c:pt idx="27" formatCode="0.0">
                  <c:v>82.37132224691446</c:v>
                </c:pt>
                <c:pt idx="28">
                  <c:v>106.1352271642845</c:v>
                </c:pt>
                <c:pt idx="29" formatCode="0.0">
                  <c:v>94.094090343677621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D8C-45EE-B332-341AC82C0A62}"/>
            </c:ext>
          </c:extLst>
        </c:ser>
        <c:ser>
          <c:idx val="1"/>
          <c:order val="1"/>
          <c:tx>
            <c:strRef>
              <c:f>'Figura 2'!$A$26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6350" cap="flat" cmpd="sng" algn="ctr">
                <a:solidFill>
                  <a:schemeClr val="accent5"/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1.8418201695077237E-2"/>
                  <c:y val="2.75698495434549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A-A467-4F44-B57D-57C60A5D0C66}"/>
                </c:ext>
              </c:extLst>
            </c:dLbl>
            <c:dLbl>
              <c:idx val="1"/>
              <c:layout>
                <c:manualLayout>
                  <c:x val="-1.2682096184884722E-2"/>
                  <c:y val="2.4119519120055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67-4F44-B57D-57C60A5D0C66}"/>
                </c:ext>
              </c:extLst>
            </c:dLbl>
            <c:dLbl>
              <c:idx val="2"/>
              <c:layout>
                <c:manualLayout>
                  <c:x val="-4.0328182029540839E-2"/>
                  <c:y val="-2.3995937837470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467-4F44-B57D-57C60A5D0C66}"/>
                </c:ext>
              </c:extLst>
            </c:dLbl>
            <c:dLbl>
              <c:idx val="3"/>
              <c:layout>
                <c:manualLayout>
                  <c:x val="-2.1732731647604933E-2"/>
                  <c:y val="-2.5019488367768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67-4F44-B57D-57C60A5D0C66}"/>
                </c:ext>
              </c:extLst>
            </c:dLbl>
            <c:dLbl>
              <c:idx val="4"/>
              <c:layout>
                <c:manualLayout>
                  <c:x val="-1.6865015672400608E-2"/>
                  <c:y val="-2.6931565434429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467-4F44-B57D-57C60A5D0C66}"/>
                </c:ext>
              </c:extLst>
            </c:dLbl>
            <c:dLbl>
              <c:idx val="5"/>
              <c:layout>
                <c:manualLayout>
                  <c:x val="-2.2986613254440045E-2"/>
                  <c:y val="-2.982542713495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467-4F44-B57D-57C60A5D0C66}"/>
                </c:ext>
              </c:extLst>
            </c:dLbl>
            <c:dLbl>
              <c:idx val="6"/>
              <c:layout>
                <c:manualLayout>
                  <c:x val="-2.9936572980886141E-2"/>
                  <c:y val="-3.3102333597946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467-4F44-B57D-57C60A5D0C66}"/>
                </c:ext>
              </c:extLst>
            </c:dLbl>
            <c:dLbl>
              <c:idx val="7"/>
              <c:layout>
                <c:manualLayout>
                  <c:x val="-2.5682853211020699E-2"/>
                  <c:y val="-2.8626143954227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467-4F44-B57D-57C60A5D0C66}"/>
                </c:ext>
              </c:extLst>
            </c:dLbl>
            <c:dLbl>
              <c:idx val="8"/>
              <c:layout>
                <c:manualLayout>
                  <c:x val="-2.2505251020697559E-2"/>
                  <c:y val="-2.938438250774215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2-A467-4F44-B57D-57C60A5D0C66}"/>
                </c:ext>
              </c:extLst>
            </c:dLbl>
            <c:dLbl>
              <c:idx val="9"/>
              <c:layout>
                <c:manualLayout>
                  <c:x val="-2.0040392496295488E-2"/>
                  <c:y val="-2.7536884864868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467-4F44-B57D-57C60A5D0C66}"/>
                </c:ext>
              </c:extLst>
            </c:dLbl>
            <c:dLbl>
              <c:idx val="10"/>
              <c:layout>
                <c:manualLayout>
                  <c:x val="-3.0093992043293306E-2"/>
                  <c:y val="3.04108648544272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4.8975214154240054E-2"/>
                      <c:h val="4.437855349825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E-2A9D-446E-B46D-AAA2B51203E9}"/>
                </c:ext>
              </c:extLst>
            </c:dLbl>
            <c:dLbl>
              <c:idx val="11"/>
              <c:layout>
                <c:manualLayout>
                  <c:x val="-3.6944477622910907E-2"/>
                  <c:y val="-3.52404042137784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2F-2A9D-446E-B46D-AAA2B51203E9}"/>
                </c:ext>
              </c:extLst>
            </c:dLbl>
            <c:dLbl>
              <c:idx val="12"/>
              <c:layout>
                <c:manualLayout>
                  <c:x val="-2.9082589880465699E-2"/>
                  <c:y val="-2.4529740321969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2A9D-446E-B46D-AAA2B51203E9}"/>
                </c:ext>
              </c:extLst>
            </c:dLbl>
            <c:dLbl>
              <c:idx val="13"/>
              <c:layout>
                <c:manualLayout>
                  <c:x val="-2.4691761837821614E-2"/>
                  <c:y val="3.1101575518318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2A9D-446E-B46D-AAA2B51203E9}"/>
                </c:ext>
              </c:extLst>
            </c:dLbl>
            <c:dLbl>
              <c:idx val="14"/>
              <c:layout>
                <c:manualLayout>
                  <c:x val="-9.7441715196486239E-3"/>
                  <c:y val="1.9251217576004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2A9D-446E-B46D-AAA2B51203E9}"/>
                </c:ext>
              </c:extLst>
            </c:dLbl>
            <c:dLbl>
              <c:idx val="15"/>
              <c:layout>
                <c:manualLayout>
                  <c:x val="-4.7228168824287861E-2"/>
                  <c:y val="-2.149742181409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2A9D-446E-B46D-AAA2B51203E9}"/>
                </c:ext>
              </c:extLst>
            </c:dLbl>
            <c:dLbl>
              <c:idx val="16"/>
              <c:layout>
                <c:manualLayout>
                  <c:x val="-2.9013497000156308E-2"/>
                  <c:y val="-2.8535261430195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2A9D-446E-B46D-AAA2B51203E9}"/>
                </c:ext>
              </c:extLst>
            </c:dLbl>
            <c:dLbl>
              <c:idx val="17"/>
              <c:layout>
                <c:manualLayout>
                  <c:x val="-6.6476749104334206E-3"/>
                  <c:y val="-9.878492708847361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2A9D-446E-B46D-AAA2B51203E9}"/>
                </c:ext>
              </c:extLst>
            </c:dLbl>
            <c:dLbl>
              <c:idx val="18"/>
              <c:layout>
                <c:manualLayout>
                  <c:x val="-3.7839499934153503E-2"/>
                  <c:y val="3.13132656783024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4.6284534603932247E-2"/>
                      <c:h val="5.35601850858560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6-2A9D-446E-B46D-AAA2B51203E9}"/>
                </c:ext>
              </c:extLst>
            </c:dLbl>
            <c:dLbl>
              <c:idx val="19"/>
              <c:layout>
                <c:manualLayout>
                  <c:x val="-7.3126664929956354E-3"/>
                  <c:y val="-6.475144285438434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2A9D-446E-B46D-AAA2B51203E9}"/>
                </c:ext>
              </c:extLst>
            </c:dLbl>
            <c:dLbl>
              <c:idx val="20"/>
              <c:layout>
                <c:manualLayout>
                  <c:x val="-1.8060560399611774E-2"/>
                  <c:y val="-2.7370393414719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2A9D-446E-B46D-AAA2B51203E9}"/>
                </c:ext>
              </c:extLst>
            </c:dLbl>
            <c:dLbl>
              <c:idx val="21"/>
              <c:layout>
                <c:manualLayout>
                  <c:x val="-2.5880612648039879E-2"/>
                  <c:y val="2.99557310104629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3.9778112005662211E-2"/>
                      <c:h val="5.15714418531470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9-2A9D-446E-B46D-AAA2B51203E9}"/>
                </c:ext>
              </c:extLst>
            </c:dLbl>
            <c:dLbl>
              <c:idx val="22"/>
              <c:layout>
                <c:manualLayout>
                  <c:x val="-2.222867415785407E-2"/>
                  <c:y val="3.4159926194511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2A9D-446E-B46D-AAA2B51203E9}"/>
                </c:ext>
              </c:extLst>
            </c:dLbl>
            <c:dLbl>
              <c:idx val="23"/>
              <c:layout>
                <c:manualLayout>
                  <c:x val="-2.4134608611496376E-2"/>
                  <c:y val="-2.3969047465797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2A9D-446E-B46D-AAA2B51203E9}"/>
                </c:ext>
              </c:extLst>
            </c:dLbl>
            <c:dLbl>
              <c:idx val="24"/>
              <c:layout>
                <c:manualLayout>
                  <c:x val="-2.5058174612654281E-2"/>
                  <c:y val="-3.123516917333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2A9D-446E-B46D-AAA2B51203E9}"/>
                </c:ext>
              </c:extLst>
            </c:dLbl>
            <c:dLbl>
              <c:idx val="25"/>
              <c:layout>
                <c:manualLayout>
                  <c:x val="-2.4907982456924466E-2"/>
                  <c:y val="2.6893804486973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2A9D-446E-B46D-AAA2B51203E9}"/>
                </c:ext>
              </c:extLst>
            </c:dLbl>
            <c:dLbl>
              <c:idx val="26"/>
              <c:layout>
                <c:manualLayout>
                  <c:x val="-2.551845267967795E-2"/>
                  <c:y val="3.0527008374634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103119330075079E-2"/>
                      <c:h val="5.15714418531470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ED45-47A2-BA65-A68496B03D77}"/>
                </c:ext>
              </c:extLst>
            </c:dLbl>
            <c:dLbl>
              <c:idx val="27"/>
              <c:layout>
                <c:manualLayout>
                  <c:x val="-2.337026921821404E-2"/>
                  <c:y val="3.052700837463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103119330075079E-2"/>
                      <c:h val="4.43053201456084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F748-4289-A3E3-B060B2DBC62B}"/>
                </c:ext>
              </c:extLst>
            </c:dLbl>
            <c:dLbl>
              <c:idx val="28"/>
              <c:layout>
                <c:manualLayout>
                  <c:x val="-2.0925996018337546E-2"/>
                  <c:y val="3.052686534074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D7-4FC2-99FE-11B7B13BF1D9}"/>
                </c:ext>
              </c:extLst>
            </c:dLbl>
            <c:dLbl>
              <c:idx val="29"/>
              <c:layout>
                <c:manualLayout>
                  <c:x val="-4.2385477323847931E-3"/>
                  <c:y val="3.052686534074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2E-4A7A-B1BC-91559A5D21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2'!$B$23:$AE$24</c:f>
              <c:multiLvlStrCache>
                <c:ptCount val="3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'Figura 2'!$B$26:$AE$26</c:f>
              <c:numCache>
                <c:formatCode>#\ ##0.0</c:formatCode>
                <c:ptCount val="30"/>
                <c:pt idx="0">
                  <c:v>90.415711128050958</c:v>
                </c:pt>
                <c:pt idx="1">
                  <c:v>92.544788099159774</c:v>
                </c:pt>
                <c:pt idx="2">
                  <c:v>123.33461185332185</c:v>
                </c:pt>
                <c:pt idx="3">
                  <c:v>145.62616468779689</c:v>
                </c:pt>
                <c:pt idx="4">
                  <c:v>129.53315145310887</c:v>
                </c:pt>
                <c:pt idx="5">
                  <c:v>119.63933960141166</c:v>
                </c:pt>
                <c:pt idx="6">
                  <c:v>125.94594158412818</c:v>
                </c:pt>
                <c:pt idx="7">
                  <c:v>144.1652577242715</c:v>
                </c:pt>
                <c:pt idx="8">
                  <c:v>138.93267521074247</c:v>
                </c:pt>
                <c:pt idx="9">
                  <c:v>141.26446794210585</c:v>
                </c:pt>
                <c:pt idx="10">
                  <c:v>138.86123791492062</c:v>
                </c:pt>
                <c:pt idx="11">
                  <c:v>148.90368550768355</c:v>
                </c:pt>
                <c:pt idx="12">
                  <c:v>166.47364542706634</c:v>
                </c:pt>
                <c:pt idx="13" formatCode="0.0">
                  <c:v>148.19932435921535</c:v>
                </c:pt>
                <c:pt idx="14" formatCode="0.0">
                  <c:v>152.66039185472528</c:v>
                </c:pt>
                <c:pt idx="15" formatCode="0.0">
                  <c:v>181.61058088529293</c:v>
                </c:pt>
                <c:pt idx="16" formatCode="0.0">
                  <c:v>206.23310011413275</c:v>
                </c:pt>
                <c:pt idx="17" formatCode="0.0">
                  <c:v>183.60436215205132</c:v>
                </c:pt>
                <c:pt idx="18" formatCode="0.0">
                  <c:v>140.50476839414773</c:v>
                </c:pt>
                <c:pt idx="19" formatCode="0.0">
                  <c:v>139.40559010693906</c:v>
                </c:pt>
                <c:pt idx="20" formatCode="0.0">
                  <c:v>108.10328031438013</c:v>
                </c:pt>
                <c:pt idx="21">
                  <c:v>99.926501964829413</c:v>
                </c:pt>
                <c:pt idx="22">
                  <c:v>97.777746747100537</c:v>
                </c:pt>
                <c:pt idx="23">
                  <c:v>107.54360528556772</c:v>
                </c:pt>
                <c:pt idx="24" formatCode="0.0">
                  <c:v>100.22420542342689</c:v>
                </c:pt>
                <c:pt idx="25">
                  <c:v>105.8191402559811</c:v>
                </c:pt>
                <c:pt idx="26" formatCode="0.0">
                  <c:v>97.239900027586913</c:v>
                </c:pt>
                <c:pt idx="27" formatCode="0.0">
                  <c:v>79.994859496749626</c:v>
                </c:pt>
                <c:pt idx="28" formatCode="0.0">
                  <c:v>80.896473977298172</c:v>
                </c:pt>
                <c:pt idx="29" formatCode="0.0">
                  <c:v>76.033163425643508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2D8C-45EE-B332-341AC82C0A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228928"/>
        <c:axId val="132373248"/>
      </c:lineChart>
      <c:catAx>
        <c:axId val="13522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2373248"/>
        <c:crossesAt val="30"/>
        <c:auto val="0"/>
        <c:lblAlgn val="ctr"/>
        <c:lblOffset val="100"/>
        <c:noMultiLvlLbl val="0"/>
      </c:catAx>
      <c:valAx>
        <c:axId val="132373248"/>
        <c:scaling>
          <c:orientation val="minMax"/>
          <c:max val="240"/>
          <c:min val="30"/>
        </c:scaling>
        <c:delete val="0"/>
        <c:axPos val="l"/>
        <c:numFmt formatCode="#\ ##0.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5228928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7.9311033036221973E-2"/>
          <c:y val="0.92998049555732143"/>
          <c:w val="0.90022613392334228"/>
          <c:h val="6.7859894706144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4224392622983"/>
          <c:y val="2.5787355527927429E-2"/>
          <c:w val="0.78731546487723514"/>
          <c:h val="0.744733158355205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3'!$B$23</c:f>
              <c:strCache>
                <c:ptCount val="1"/>
                <c:pt idx="0">
                  <c:v>Ianuarie-iunie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 3'!$A$24:$A$30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3'!$B$24:$B$30</c:f>
              <c:numCache>
                <c:formatCode>0.0</c:formatCode>
                <c:ptCount val="7"/>
                <c:pt idx="0">
                  <c:v>13.4</c:v>
                </c:pt>
                <c:pt idx="1">
                  <c:v>3</c:v>
                </c:pt>
                <c:pt idx="2">
                  <c:v>81.400000000000006</c:v>
                </c:pt>
                <c:pt idx="3">
                  <c:v>1.1000000000000001</c:v>
                </c:pt>
                <c:pt idx="4">
                  <c:v>0</c:v>
                </c:pt>
                <c:pt idx="5">
                  <c:v>1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2-423F-8D54-2DEAA91EB392}"/>
            </c:ext>
          </c:extLst>
        </c:ser>
        <c:ser>
          <c:idx val="1"/>
          <c:order val="1"/>
          <c:tx>
            <c:strRef>
              <c:f>'Figura 3'!$C$23</c:f>
              <c:strCache>
                <c:ptCount val="1"/>
                <c:pt idx="0">
                  <c:v>Ianuarie-iunie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'Figura 3'!$A$24:$A$30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3'!$C$24:$C$30</c:f>
              <c:numCache>
                <c:formatCode>0.0</c:formatCode>
                <c:ptCount val="7"/>
                <c:pt idx="0">
                  <c:v>16.600000000000001</c:v>
                </c:pt>
                <c:pt idx="1">
                  <c:v>9.5</c:v>
                </c:pt>
                <c:pt idx="2">
                  <c:v>73.099999999999994</c:v>
                </c:pt>
                <c:pt idx="3">
                  <c:v>0.7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D-49BF-AD38-66FEB4074930}"/>
            </c:ext>
          </c:extLst>
        </c:ser>
        <c:ser>
          <c:idx val="2"/>
          <c:order val="2"/>
          <c:tx>
            <c:strRef>
              <c:f>'Figura 3'!$D$23</c:f>
              <c:strCache>
                <c:ptCount val="1"/>
                <c:pt idx="0">
                  <c:v>Ianuarie-iunie 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'Figura 3'!$A$24:$A$30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3'!$D$24:$D$30</c:f>
              <c:numCache>
                <c:formatCode>0.0</c:formatCode>
                <c:ptCount val="7"/>
                <c:pt idx="0">
                  <c:v>6.1</c:v>
                </c:pt>
                <c:pt idx="1">
                  <c:v>0.7</c:v>
                </c:pt>
                <c:pt idx="2">
                  <c:v>92</c:v>
                </c:pt>
                <c:pt idx="3">
                  <c:v>1.1000000000000001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D-49BF-AD38-66FEB4074930}"/>
            </c:ext>
          </c:extLst>
        </c:ser>
        <c:ser>
          <c:idx val="3"/>
          <c:order val="3"/>
          <c:tx>
            <c:strRef>
              <c:f>'Figura 3'!$E$23</c:f>
              <c:strCache>
                <c:ptCount val="1"/>
                <c:pt idx="0">
                  <c:v>Ianuarie-iunie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'Figura 3'!$A$24:$A$30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3'!$E$24:$E$30</c:f>
              <c:numCache>
                <c:formatCode>0.0</c:formatCode>
                <c:ptCount val="7"/>
                <c:pt idx="0">
                  <c:v>9.5</c:v>
                </c:pt>
                <c:pt idx="1">
                  <c:v>4.3</c:v>
                </c:pt>
                <c:pt idx="2">
                  <c:v>85</c:v>
                </c:pt>
                <c:pt idx="3">
                  <c:v>1.1000000000000001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7D-49BF-AD38-66FEB4074930}"/>
            </c:ext>
          </c:extLst>
        </c:ser>
        <c:ser>
          <c:idx val="4"/>
          <c:order val="4"/>
          <c:tx>
            <c:strRef>
              <c:f>'Figura 3'!$F$23</c:f>
              <c:strCache>
                <c:ptCount val="1"/>
                <c:pt idx="0">
                  <c:v>Ianuarie-iunie 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'Figura 3'!$A$24:$A$30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3'!$F$24:$F$30</c:f>
              <c:numCache>
                <c:formatCode>0.0</c:formatCode>
                <c:ptCount val="7"/>
                <c:pt idx="0">
                  <c:v>7.4</c:v>
                </c:pt>
                <c:pt idx="1">
                  <c:v>4.3</c:v>
                </c:pt>
                <c:pt idx="2">
                  <c:v>86.6</c:v>
                </c:pt>
                <c:pt idx="3">
                  <c:v>1.6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7D-49BF-AD38-66FEB4074930}"/>
            </c:ext>
          </c:extLst>
        </c:ser>
        <c:ser>
          <c:idx val="5"/>
          <c:order val="5"/>
          <c:tx>
            <c:strRef>
              <c:f>'Figura 3'!$G$23</c:f>
              <c:strCache>
                <c:ptCount val="1"/>
                <c:pt idx="0">
                  <c:v>Ianuarie-iunie 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'Figura 3'!$A$24:$A$30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3'!$G$24:$G$30</c:f>
              <c:numCache>
                <c:formatCode>0.0</c:formatCode>
                <c:ptCount val="7"/>
                <c:pt idx="0">
                  <c:v>7.8</c:v>
                </c:pt>
                <c:pt idx="1">
                  <c:v>2.9</c:v>
                </c:pt>
                <c:pt idx="2">
                  <c:v>87</c:v>
                </c:pt>
                <c:pt idx="3">
                  <c:v>2.2000000000000002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7D-49BF-AD38-66FEB4074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3135616"/>
        <c:axId val="138077312"/>
      </c:barChart>
      <c:catAx>
        <c:axId val="153135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077312"/>
        <c:crossesAt val="0"/>
        <c:auto val="1"/>
        <c:lblAlgn val="ctr"/>
        <c:lblOffset val="100"/>
        <c:noMultiLvlLbl val="0"/>
      </c:catAx>
      <c:valAx>
        <c:axId val="138077312"/>
        <c:scaling>
          <c:orientation val="minMax"/>
        </c:scaling>
        <c:delete val="0"/>
        <c:axPos val="b"/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3135616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22915633622720236"/>
          <c:y val="0.91790928058487742"/>
          <c:w val="0.77084366377279767"/>
          <c:h val="8.209071941512265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526953361599E-2"/>
          <c:y val="7.9067734558931208E-2"/>
          <c:w val="0.91248006258833025"/>
          <c:h val="0.6669717143726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4'!$A$22</c:f>
              <c:strCache>
                <c:ptCount val="1"/>
                <c:pt idx="0">
                  <c:v>Ţările Uniunii Europene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4'!$B$21:$G$21</c:f>
              <c:strCache>
                <c:ptCount val="6"/>
                <c:pt idx="0">
                  <c:v>Ianuarie-iunie 2018</c:v>
                </c:pt>
                <c:pt idx="1">
                  <c:v>Ianuarie-iunie 2019</c:v>
                </c:pt>
                <c:pt idx="2">
                  <c:v>Ianuarie-iunie 2020</c:v>
                </c:pt>
                <c:pt idx="3">
                  <c:v>Ianuarie-iunie 2021</c:v>
                </c:pt>
                <c:pt idx="4">
                  <c:v>Ianuarie-iunie 2022</c:v>
                </c:pt>
                <c:pt idx="5">
                  <c:v>Ianuarie-iunie 2023</c:v>
                </c:pt>
              </c:strCache>
            </c:strRef>
          </c:cat>
          <c:val>
            <c:numRef>
              <c:f>'Figura 4'!$B$22:$G$22</c:f>
              <c:numCache>
                <c:formatCode>General</c:formatCode>
                <c:ptCount val="6"/>
                <c:pt idx="0">
                  <c:v>65.2</c:v>
                </c:pt>
                <c:pt idx="1">
                  <c:v>62.7</c:v>
                </c:pt>
                <c:pt idx="2" formatCode="0.0">
                  <c:v>63.4</c:v>
                </c:pt>
                <c:pt idx="3">
                  <c:v>64.5</c:v>
                </c:pt>
                <c:pt idx="4">
                  <c:v>61.6</c:v>
                </c:pt>
                <c:pt idx="5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9-4207-A2A3-2E8D24AB4E7A}"/>
            </c:ext>
          </c:extLst>
        </c:ser>
        <c:ser>
          <c:idx val="1"/>
          <c:order val="1"/>
          <c:tx>
            <c:strRef>
              <c:f>'Figura 4'!$A$23</c:f>
              <c:strCache>
                <c:ptCount val="1"/>
                <c:pt idx="0">
                  <c:v>Ţările CSI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4'!$B$21:$G$21</c:f>
              <c:strCache>
                <c:ptCount val="6"/>
                <c:pt idx="0">
                  <c:v>Ianuarie-iunie 2018</c:v>
                </c:pt>
                <c:pt idx="1">
                  <c:v>Ianuarie-iunie 2019</c:v>
                </c:pt>
                <c:pt idx="2">
                  <c:v>Ianuarie-iunie 2020</c:v>
                </c:pt>
                <c:pt idx="3">
                  <c:v>Ianuarie-iunie 2021</c:v>
                </c:pt>
                <c:pt idx="4">
                  <c:v>Ianuarie-iunie 2022</c:v>
                </c:pt>
                <c:pt idx="5">
                  <c:v>Ianuarie-iunie 2023</c:v>
                </c:pt>
              </c:strCache>
            </c:strRef>
          </c:cat>
          <c:val>
            <c:numRef>
              <c:f>'Figura 4'!$B$23:$G$23</c:f>
              <c:numCache>
                <c:formatCode>General</c:formatCode>
                <c:ptCount val="6"/>
                <c:pt idx="0">
                  <c:v>15.9</c:v>
                </c:pt>
                <c:pt idx="1">
                  <c:v>14.9</c:v>
                </c:pt>
                <c:pt idx="2" formatCode="0.0">
                  <c:v>16.600000000000001</c:v>
                </c:pt>
                <c:pt idx="3">
                  <c:v>15.7</c:v>
                </c:pt>
                <c:pt idx="4">
                  <c:v>17.899999999999999</c:v>
                </c:pt>
                <c:pt idx="5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9-4207-A2A3-2E8D24AB4E7A}"/>
            </c:ext>
          </c:extLst>
        </c:ser>
        <c:ser>
          <c:idx val="2"/>
          <c:order val="2"/>
          <c:tx>
            <c:strRef>
              <c:f>'Figura 4'!$A$24</c:f>
              <c:strCache>
                <c:ptCount val="1"/>
                <c:pt idx="0">
                  <c:v>Celelalte ţări ale lumii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4'!$B$21:$G$21</c:f>
              <c:strCache>
                <c:ptCount val="6"/>
                <c:pt idx="0">
                  <c:v>Ianuarie-iunie 2018</c:v>
                </c:pt>
                <c:pt idx="1">
                  <c:v>Ianuarie-iunie 2019</c:v>
                </c:pt>
                <c:pt idx="2">
                  <c:v>Ianuarie-iunie 2020</c:v>
                </c:pt>
                <c:pt idx="3">
                  <c:v>Ianuarie-iunie 2021</c:v>
                </c:pt>
                <c:pt idx="4">
                  <c:v>Ianuarie-iunie 2022</c:v>
                </c:pt>
                <c:pt idx="5">
                  <c:v>Ianuarie-iunie 2023</c:v>
                </c:pt>
              </c:strCache>
            </c:strRef>
          </c:cat>
          <c:val>
            <c:numRef>
              <c:f>'Figura 4'!$B$24:$G$24</c:f>
              <c:numCache>
                <c:formatCode>General</c:formatCode>
                <c:ptCount val="6"/>
                <c:pt idx="0">
                  <c:v>18.899999999999999</c:v>
                </c:pt>
                <c:pt idx="1">
                  <c:v>22.4</c:v>
                </c:pt>
                <c:pt idx="2" formatCode="0.0">
                  <c:v>20</c:v>
                </c:pt>
                <c:pt idx="3">
                  <c:v>19.8</c:v>
                </c:pt>
                <c:pt idx="4">
                  <c:v>20.5</c:v>
                </c:pt>
                <c:pt idx="5">
                  <c:v>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9-4207-A2A3-2E8D24AB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530240"/>
        <c:axId val="138080192"/>
      </c:barChart>
      <c:catAx>
        <c:axId val="1555302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8080192"/>
        <c:crosses val="autoZero"/>
        <c:auto val="1"/>
        <c:lblAlgn val="ctr"/>
        <c:lblOffset val="100"/>
        <c:noMultiLvlLbl val="0"/>
      </c:catAx>
      <c:valAx>
        <c:axId val="138080192"/>
        <c:scaling>
          <c:orientation val="minMax"/>
          <c:max val="100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5530240"/>
        <c:crosses val="autoZero"/>
        <c:crossBetween val="between"/>
        <c:majorUnit val="10"/>
      </c:valAx>
      <c:spPr>
        <a:noFill/>
        <a:ln w="31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6790182943549965"/>
          <c:w val="1"/>
          <c:h val="9.22971755396247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41699880107581E-2"/>
          <c:y val="2.2640470912009786E-2"/>
          <c:w val="0.94076377536801559"/>
          <c:h val="0.61438598116411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5'!$B$25</c:f>
              <c:strCache>
                <c:ptCount val="1"/>
                <c:pt idx="0">
                  <c:v>Ianuarie-iunie 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'Figura 5'!$A$26:$A$46</c:f>
              <c:strCache>
                <c:ptCount val="21"/>
                <c:pt idx="0">
                  <c:v>România</c:v>
                </c:pt>
                <c:pt idx="1">
                  <c:v>Ucraina</c:v>
                </c:pt>
                <c:pt idx="2">
                  <c:v>Italia</c:v>
                </c:pt>
                <c:pt idx="3">
                  <c:v>Germania</c:v>
                </c:pt>
                <c:pt idx="4">
                  <c:v>Federația Rusă</c:v>
                </c:pt>
                <c:pt idx="5">
                  <c:v>Turcia</c:v>
                </c:pt>
                <c:pt idx="6">
                  <c:v>Cehia</c:v>
                </c:pt>
                <c:pt idx="7">
                  <c:v>Polonia</c:v>
                </c:pt>
                <c:pt idx="8">
                  <c:v>Belarus</c:v>
                </c:pt>
                <c:pt idx="9">
                  <c:v>Spania</c:v>
                </c:pt>
                <c:pt idx="10">
                  <c:v>S.U.A.</c:v>
                </c:pt>
                <c:pt idx="11">
                  <c:v>Bulgaria</c:v>
                </c:pt>
                <c:pt idx="12">
                  <c:v>Ungaria</c:v>
                </c:pt>
                <c:pt idx="13">
                  <c:v>Liban</c:v>
                </c:pt>
                <c:pt idx="14">
                  <c:v>Franța</c:v>
                </c:pt>
                <c:pt idx="15">
                  <c:v>Cipru</c:v>
                </c:pt>
                <c:pt idx="16">
                  <c:v>Kazahstan</c:v>
                </c:pt>
                <c:pt idx="17">
                  <c:v>Regatul Unit</c:v>
                </c:pt>
                <c:pt idx="18">
                  <c:v>Netherlands</c:v>
                </c:pt>
                <c:pt idx="19">
                  <c:v>Grecia</c:v>
                </c:pt>
                <c:pt idx="20">
                  <c:v>Elveția</c:v>
                </c:pt>
              </c:strCache>
            </c:strRef>
          </c:cat>
          <c:val>
            <c:numRef>
              <c:f>'Figura 5'!$B$26:$B$46</c:f>
              <c:numCache>
                <c:formatCode>#\ ##0.0</c:formatCode>
                <c:ptCount val="21"/>
                <c:pt idx="0">
                  <c:v>26.34514039399679</c:v>
                </c:pt>
                <c:pt idx="1">
                  <c:v>2.9377102384110194</c:v>
                </c:pt>
                <c:pt idx="2">
                  <c:v>11.208831829102861</c:v>
                </c:pt>
                <c:pt idx="3">
                  <c:v>8.6151322959585031</c:v>
                </c:pt>
                <c:pt idx="4">
                  <c:v>8.1724110057205746</c:v>
                </c:pt>
                <c:pt idx="5">
                  <c:v>3.8423150688076682</c:v>
                </c:pt>
                <c:pt idx="6">
                  <c:v>1.5784591410721982</c:v>
                </c:pt>
                <c:pt idx="7">
                  <c:v>3.5081966858443185</c:v>
                </c:pt>
                <c:pt idx="8">
                  <c:v>3.7285161204639974</c:v>
                </c:pt>
                <c:pt idx="9">
                  <c:v>1.3352143524334812</c:v>
                </c:pt>
                <c:pt idx="10">
                  <c:v>0.84571318752491054</c:v>
                </c:pt>
                <c:pt idx="11">
                  <c:v>2.2402315740802838</c:v>
                </c:pt>
                <c:pt idx="12">
                  <c:v>0.29238227420584578</c:v>
                </c:pt>
                <c:pt idx="13">
                  <c:v>0.64591695000578886</c:v>
                </c:pt>
                <c:pt idx="14">
                  <c:v>2.0529877855390901</c:v>
                </c:pt>
                <c:pt idx="15">
                  <c:v>0.359981434149584</c:v>
                </c:pt>
                <c:pt idx="16">
                  <c:v>0.59954670646452402</c:v>
                </c:pt>
                <c:pt idx="17">
                  <c:v>3.2543883879133122</c:v>
                </c:pt>
                <c:pt idx="18">
                  <c:v>1.4593585110599621</c:v>
                </c:pt>
                <c:pt idx="19">
                  <c:v>1.350868680510743</c:v>
                </c:pt>
                <c:pt idx="20">
                  <c:v>2.2123816200239084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D-42D8-B371-6A71C526E757}"/>
            </c:ext>
          </c:extLst>
        </c:ser>
        <c:ser>
          <c:idx val="1"/>
          <c:order val="1"/>
          <c:tx>
            <c:strRef>
              <c:f>'Figura 5'!$C$25</c:f>
              <c:strCache>
                <c:ptCount val="1"/>
                <c:pt idx="0">
                  <c:v>Ianuarie-iunie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'Figura 5'!$A$26:$A$46</c:f>
              <c:strCache>
                <c:ptCount val="21"/>
                <c:pt idx="0">
                  <c:v>România</c:v>
                </c:pt>
                <c:pt idx="1">
                  <c:v>Ucraina</c:v>
                </c:pt>
                <c:pt idx="2">
                  <c:v>Italia</c:v>
                </c:pt>
                <c:pt idx="3">
                  <c:v>Germania</c:v>
                </c:pt>
                <c:pt idx="4">
                  <c:v>Federația Rusă</c:v>
                </c:pt>
                <c:pt idx="5">
                  <c:v>Turcia</c:v>
                </c:pt>
                <c:pt idx="6">
                  <c:v>Cehia</c:v>
                </c:pt>
                <c:pt idx="7">
                  <c:v>Polonia</c:v>
                </c:pt>
                <c:pt idx="8">
                  <c:v>Belarus</c:v>
                </c:pt>
                <c:pt idx="9">
                  <c:v>Spania</c:v>
                </c:pt>
                <c:pt idx="10">
                  <c:v>S.U.A.</c:v>
                </c:pt>
                <c:pt idx="11">
                  <c:v>Bulgaria</c:v>
                </c:pt>
                <c:pt idx="12">
                  <c:v>Ungaria</c:v>
                </c:pt>
                <c:pt idx="13">
                  <c:v>Liban</c:v>
                </c:pt>
                <c:pt idx="14">
                  <c:v>Franța</c:v>
                </c:pt>
                <c:pt idx="15">
                  <c:v>Cipru</c:v>
                </c:pt>
                <c:pt idx="16">
                  <c:v>Kazahstan</c:v>
                </c:pt>
                <c:pt idx="17">
                  <c:v>Regatul Unit</c:v>
                </c:pt>
                <c:pt idx="18">
                  <c:v>Netherlands</c:v>
                </c:pt>
                <c:pt idx="19">
                  <c:v>Grecia</c:v>
                </c:pt>
                <c:pt idx="20">
                  <c:v>Elveția</c:v>
                </c:pt>
              </c:strCache>
            </c:strRef>
          </c:cat>
          <c:val>
            <c:numRef>
              <c:f>'Figura 5'!$C$26:$C$46</c:f>
              <c:numCache>
                <c:formatCode>#\ ##0.0</c:formatCode>
                <c:ptCount val="21"/>
                <c:pt idx="0">
                  <c:v>27.950415127956578</c:v>
                </c:pt>
                <c:pt idx="1">
                  <c:v>2.7038597222645273</c:v>
                </c:pt>
                <c:pt idx="2">
                  <c:v>9.9765345873948732</c:v>
                </c:pt>
                <c:pt idx="3">
                  <c:v>9.160723217525879</c:v>
                </c:pt>
                <c:pt idx="4">
                  <c:v>8.4064039231951728</c:v>
                </c:pt>
                <c:pt idx="5">
                  <c:v>8.9327299812967862</c:v>
                </c:pt>
                <c:pt idx="6">
                  <c:v>1.8097061388192031</c:v>
                </c:pt>
                <c:pt idx="7">
                  <c:v>3.8312638341394432</c:v>
                </c:pt>
                <c:pt idx="8">
                  <c:v>3.0711799847789547</c:v>
                </c:pt>
                <c:pt idx="9">
                  <c:v>1.4644868453965914</c:v>
                </c:pt>
                <c:pt idx="10">
                  <c:v>0.81606187135576758</c:v>
                </c:pt>
                <c:pt idx="11">
                  <c:v>1.4781274648166591</c:v>
                </c:pt>
                <c:pt idx="12">
                  <c:v>0.30815359004600767</c:v>
                </c:pt>
                <c:pt idx="13">
                  <c:v>0.57272262339461777</c:v>
                </c:pt>
                <c:pt idx="14">
                  <c:v>1.3169638820433149</c:v>
                </c:pt>
                <c:pt idx="15">
                  <c:v>0.35232228950497335</c:v>
                </c:pt>
                <c:pt idx="16">
                  <c:v>0.30939879002944587</c:v>
                </c:pt>
                <c:pt idx="17">
                  <c:v>1.9207642465051764</c:v>
                </c:pt>
                <c:pt idx="18">
                  <c:v>1.3686558525887722</c:v>
                </c:pt>
                <c:pt idx="19">
                  <c:v>0.78209847343595051</c:v>
                </c:pt>
                <c:pt idx="20">
                  <c:v>2.467055680680001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D-42D8-B371-6A71C526E757}"/>
            </c:ext>
          </c:extLst>
        </c:ser>
        <c:ser>
          <c:idx val="2"/>
          <c:order val="2"/>
          <c:tx>
            <c:strRef>
              <c:f>'Figura 5'!$D$25</c:f>
              <c:strCache>
                <c:ptCount val="1"/>
                <c:pt idx="0">
                  <c:v>Ianuarie-iunie 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'Figura 5'!$A$26:$A$46</c:f>
              <c:strCache>
                <c:ptCount val="21"/>
                <c:pt idx="0">
                  <c:v>România</c:v>
                </c:pt>
                <c:pt idx="1">
                  <c:v>Ucraina</c:v>
                </c:pt>
                <c:pt idx="2">
                  <c:v>Italia</c:v>
                </c:pt>
                <c:pt idx="3">
                  <c:v>Germania</c:v>
                </c:pt>
                <c:pt idx="4">
                  <c:v>Federația Rusă</c:v>
                </c:pt>
                <c:pt idx="5">
                  <c:v>Turcia</c:v>
                </c:pt>
                <c:pt idx="6">
                  <c:v>Cehia</c:v>
                </c:pt>
                <c:pt idx="7">
                  <c:v>Polonia</c:v>
                </c:pt>
                <c:pt idx="8">
                  <c:v>Belarus</c:v>
                </c:pt>
                <c:pt idx="9">
                  <c:v>Spania</c:v>
                </c:pt>
                <c:pt idx="10">
                  <c:v>S.U.A.</c:v>
                </c:pt>
                <c:pt idx="11">
                  <c:v>Bulgaria</c:v>
                </c:pt>
                <c:pt idx="12">
                  <c:v>Ungaria</c:v>
                </c:pt>
                <c:pt idx="13">
                  <c:v>Liban</c:v>
                </c:pt>
                <c:pt idx="14">
                  <c:v>Franța</c:v>
                </c:pt>
                <c:pt idx="15">
                  <c:v>Cipru</c:v>
                </c:pt>
                <c:pt idx="16">
                  <c:v>Kazahstan</c:v>
                </c:pt>
                <c:pt idx="17">
                  <c:v>Regatul Unit</c:v>
                </c:pt>
                <c:pt idx="18">
                  <c:v>Netherlands</c:v>
                </c:pt>
                <c:pt idx="19">
                  <c:v>Grecia</c:v>
                </c:pt>
                <c:pt idx="20">
                  <c:v>Elveția</c:v>
                </c:pt>
              </c:strCache>
            </c:strRef>
          </c:cat>
          <c:val>
            <c:numRef>
              <c:f>'Figura 5'!$D$26:$D$46</c:f>
              <c:numCache>
                <c:formatCode>#\ ##0.0</c:formatCode>
                <c:ptCount val="21"/>
                <c:pt idx="0">
                  <c:v>25.13325321361145</c:v>
                </c:pt>
                <c:pt idx="1">
                  <c:v>2.3437733351542649</c:v>
                </c:pt>
                <c:pt idx="2">
                  <c:v>9.0715248542585911</c:v>
                </c:pt>
                <c:pt idx="3">
                  <c:v>8.8504403341887876</c:v>
                </c:pt>
                <c:pt idx="4">
                  <c:v>10.579742003328773</c:v>
                </c:pt>
                <c:pt idx="5">
                  <c:v>7.289897422224902</c:v>
                </c:pt>
                <c:pt idx="6">
                  <c:v>3.3524445980298099</c:v>
                </c:pt>
                <c:pt idx="7">
                  <c:v>3.9991225037181581</c:v>
                </c:pt>
                <c:pt idx="8">
                  <c:v>2.786895367398126</c:v>
                </c:pt>
                <c:pt idx="9">
                  <c:v>1.8581973077699394</c:v>
                </c:pt>
                <c:pt idx="10">
                  <c:v>1.0572447115991079</c:v>
                </c:pt>
                <c:pt idx="11">
                  <c:v>1.5960807378370714</c:v>
                </c:pt>
                <c:pt idx="12">
                  <c:v>0.73834581359906759</c:v>
                </c:pt>
                <c:pt idx="13">
                  <c:v>0.70668414047546935</c:v>
                </c:pt>
                <c:pt idx="14">
                  <c:v>1.5711171284282912</c:v>
                </c:pt>
                <c:pt idx="15">
                  <c:v>0.68103065139920071</c:v>
                </c:pt>
                <c:pt idx="16">
                  <c:v>0.53910229375422591</c:v>
                </c:pt>
                <c:pt idx="17">
                  <c:v>1.5910005616295826</c:v>
                </c:pt>
                <c:pt idx="18">
                  <c:v>1.4738076990946971</c:v>
                </c:pt>
                <c:pt idx="19">
                  <c:v>1.7599074144088451</c:v>
                </c:pt>
                <c:pt idx="20">
                  <c:v>3.4460316411561847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D-42D8-B371-6A71C526E757}"/>
            </c:ext>
          </c:extLst>
        </c:ser>
        <c:ser>
          <c:idx val="3"/>
          <c:order val="3"/>
          <c:tx>
            <c:strRef>
              <c:f>'Figura 5'!$E$25</c:f>
              <c:strCache>
                <c:ptCount val="1"/>
                <c:pt idx="0">
                  <c:v>Ianuarie-iunie 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'Figura 5'!$A$26:$A$46</c:f>
              <c:strCache>
                <c:ptCount val="21"/>
                <c:pt idx="0">
                  <c:v>România</c:v>
                </c:pt>
                <c:pt idx="1">
                  <c:v>Ucraina</c:v>
                </c:pt>
                <c:pt idx="2">
                  <c:v>Italia</c:v>
                </c:pt>
                <c:pt idx="3">
                  <c:v>Germania</c:v>
                </c:pt>
                <c:pt idx="4">
                  <c:v>Federația Rusă</c:v>
                </c:pt>
                <c:pt idx="5">
                  <c:v>Turcia</c:v>
                </c:pt>
                <c:pt idx="6">
                  <c:v>Cehia</c:v>
                </c:pt>
                <c:pt idx="7">
                  <c:v>Polonia</c:v>
                </c:pt>
                <c:pt idx="8">
                  <c:v>Belarus</c:v>
                </c:pt>
                <c:pt idx="9">
                  <c:v>Spania</c:v>
                </c:pt>
                <c:pt idx="10">
                  <c:v>S.U.A.</c:v>
                </c:pt>
                <c:pt idx="11">
                  <c:v>Bulgaria</c:v>
                </c:pt>
                <c:pt idx="12">
                  <c:v>Ungaria</c:v>
                </c:pt>
                <c:pt idx="13">
                  <c:v>Liban</c:v>
                </c:pt>
                <c:pt idx="14">
                  <c:v>Franța</c:v>
                </c:pt>
                <c:pt idx="15">
                  <c:v>Cipru</c:v>
                </c:pt>
                <c:pt idx="16">
                  <c:v>Kazahstan</c:v>
                </c:pt>
                <c:pt idx="17">
                  <c:v>Regatul Unit</c:v>
                </c:pt>
                <c:pt idx="18">
                  <c:v>Netherlands</c:v>
                </c:pt>
                <c:pt idx="19">
                  <c:v>Grecia</c:v>
                </c:pt>
                <c:pt idx="20">
                  <c:v>Elveția</c:v>
                </c:pt>
              </c:strCache>
            </c:strRef>
          </c:cat>
          <c:val>
            <c:numRef>
              <c:f>'Figura 5'!$E$26:$E$46</c:f>
              <c:numCache>
                <c:formatCode>#\ ##0.0</c:formatCode>
                <c:ptCount val="21"/>
                <c:pt idx="0">
                  <c:v>27.998286917499144</c:v>
                </c:pt>
                <c:pt idx="1">
                  <c:v>2.7784198656254522</c:v>
                </c:pt>
                <c:pt idx="2">
                  <c:v>7.0793865040003876</c:v>
                </c:pt>
                <c:pt idx="3">
                  <c:v>10.111839304167276</c:v>
                </c:pt>
                <c:pt idx="4">
                  <c:v>9.6521564615520123</c:v>
                </c:pt>
                <c:pt idx="5">
                  <c:v>8.6332022837369671</c:v>
                </c:pt>
                <c:pt idx="6">
                  <c:v>3.1954097731589366</c:v>
                </c:pt>
                <c:pt idx="7">
                  <c:v>3.8889345576490895</c:v>
                </c:pt>
                <c:pt idx="8">
                  <c:v>2.3003011598152643</c:v>
                </c:pt>
                <c:pt idx="9">
                  <c:v>1.3973617393599889</c:v>
                </c:pt>
                <c:pt idx="10">
                  <c:v>0.86423493874454305</c:v>
                </c:pt>
                <c:pt idx="11">
                  <c:v>1.2364647049169104</c:v>
                </c:pt>
                <c:pt idx="12">
                  <c:v>1.4433529645500158</c:v>
                </c:pt>
                <c:pt idx="13">
                  <c:v>1.0714227404721364</c:v>
                </c:pt>
                <c:pt idx="14">
                  <c:v>1.3399144359252682</c:v>
                </c:pt>
                <c:pt idx="15">
                  <c:v>0.31755033019598844</c:v>
                </c:pt>
                <c:pt idx="16">
                  <c:v>0.44238120874434839</c:v>
                </c:pt>
                <c:pt idx="17">
                  <c:v>1.9473931974507592</c:v>
                </c:pt>
                <c:pt idx="18">
                  <c:v>1.4117914203378279</c:v>
                </c:pt>
                <c:pt idx="19">
                  <c:v>1.0218705917640165</c:v>
                </c:pt>
                <c:pt idx="20">
                  <c:v>1.1823737695957297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DD-42D8-B371-6A71C526E757}"/>
            </c:ext>
          </c:extLst>
        </c:ser>
        <c:ser>
          <c:idx val="4"/>
          <c:order val="4"/>
          <c:tx>
            <c:strRef>
              <c:f>'Figura 5'!$F$25</c:f>
              <c:strCache>
                <c:ptCount val="1"/>
                <c:pt idx="0">
                  <c:v>Ianuarie-iunie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'Figura 5'!$A$26:$A$46</c:f>
              <c:strCache>
                <c:ptCount val="21"/>
                <c:pt idx="0">
                  <c:v>România</c:v>
                </c:pt>
                <c:pt idx="1">
                  <c:v>Ucraina</c:v>
                </c:pt>
                <c:pt idx="2">
                  <c:v>Italia</c:v>
                </c:pt>
                <c:pt idx="3">
                  <c:v>Germania</c:v>
                </c:pt>
                <c:pt idx="4">
                  <c:v>Federația Rusă</c:v>
                </c:pt>
                <c:pt idx="5">
                  <c:v>Turcia</c:v>
                </c:pt>
                <c:pt idx="6">
                  <c:v>Cehia</c:v>
                </c:pt>
                <c:pt idx="7">
                  <c:v>Polonia</c:v>
                </c:pt>
                <c:pt idx="8">
                  <c:v>Belarus</c:v>
                </c:pt>
                <c:pt idx="9">
                  <c:v>Spania</c:v>
                </c:pt>
                <c:pt idx="10">
                  <c:v>S.U.A.</c:v>
                </c:pt>
                <c:pt idx="11">
                  <c:v>Bulgaria</c:v>
                </c:pt>
                <c:pt idx="12">
                  <c:v>Ungaria</c:v>
                </c:pt>
                <c:pt idx="13">
                  <c:v>Liban</c:v>
                </c:pt>
                <c:pt idx="14">
                  <c:v>Franța</c:v>
                </c:pt>
                <c:pt idx="15">
                  <c:v>Cipru</c:v>
                </c:pt>
                <c:pt idx="16">
                  <c:v>Kazahstan</c:v>
                </c:pt>
                <c:pt idx="17">
                  <c:v>Regatul Unit</c:v>
                </c:pt>
                <c:pt idx="18">
                  <c:v>Netherlands</c:v>
                </c:pt>
                <c:pt idx="19">
                  <c:v>Grecia</c:v>
                </c:pt>
                <c:pt idx="20">
                  <c:v>Elveția</c:v>
                </c:pt>
              </c:strCache>
            </c:strRef>
          </c:cat>
          <c:val>
            <c:numRef>
              <c:f>'Figura 5'!$F$26:$F$46</c:f>
              <c:numCache>
                <c:formatCode>#\ ##0.0</c:formatCode>
                <c:ptCount val="21"/>
                <c:pt idx="0">
                  <c:v>28.982097231478754</c:v>
                </c:pt>
                <c:pt idx="1">
                  <c:v>10.885064495572438</c:v>
                </c:pt>
                <c:pt idx="2">
                  <c:v>8.5048457312041936</c:v>
                </c:pt>
                <c:pt idx="3">
                  <c:v>5.6260589798680076</c:v>
                </c:pt>
                <c:pt idx="4">
                  <c:v>5.1015854913274836</c:v>
                </c:pt>
                <c:pt idx="5">
                  <c:v>9.2357297465770323</c:v>
                </c:pt>
                <c:pt idx="6">
                  <c:v>2.1923129949881002</c:v>
                </c:pt>
                <c:pt idx="7">
                  <c:v>2.7499547495889645</c:v>
                </c:pt>
                <c:pt idx="8">
                  <c:v>1.3602148256004671</c:v>
                </c:pt>
                <c:pt idx="9">
                  <c:v>0.64141958349716566</c:v>
                </c:pt>
                <c:pt idx="10">
                  <c:v>0.93664336771714718</c:v>
                </c:pt>
                <c:pt idx="11">
                  <c:v>4.8628227606895598</c:v>
                </c:pt>
                <c:pt idx="12">
                  <c:v>1.1955373365781179</c:v>
                </c:pt>
                <c:pt idx="13">
                  <c:v>0.67201158239684644</c:v>
                </c:pt>
                <c:pt idx="14">
                  <c:v>1.0192904295973431</c:v>
                </c:pt>
                <c:pt idx="15">
                  <c:v>0.5139949486908173</c:v>
                </c:pt>
                <c:pt idx="16">
                  <c:v>0.23836084163682139</c:v>
                </c:pt>
                <c:pt idx="17">
                  <c:v>1.6425679020689377</c:v>
                </c:pt>
                <c:pt idx="18">
                  <c:v>1.9628242539864795</c:v>
                </c:pt>
                <c:pt idx="19">
                  <c:v>0.85907149143791206</c:v>
                </c:pt>
                <c:pt idx="20">
                  <c:v>2.4007401476235324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DD-42D8-B371-6A71C526E757}"/>
            </c:ext>
          </c:extLst>
        </c:ser>
        <c:ser>
          <c:idx val="5"/>
          <c:order val="5"/>
          <c:tx>
            <c:strRef>
              <c:f>'Figura 5'!$G$25</c:f>
              <c:strCache>
                <c:ptCount val="1"/>
                <c:pt idx="0">
                  <c:v>Ianuarie-iunie 2023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'Figura 5'!$A$26:$A$46</c:f>
              <c:strCache>
                <c:ptCount val="21"/>
                <c:pt idx="0">
                  <c:v>România</c:v>
                </c:pt>
                <c:pt idx="1">
                  <c:v>Ucraina</c:v>
                </c:pt>
                <c:pt idx="2">
                  <c:v>Italia</c:v>
                </c:pt>
                <c:pt idx="3">
                  <c:v>Germania</c:v>
                </c:pt>
                <c:pt idx="4">
                  <c:v>Federația Rusă</c:v>
                </c:pt>
                <c:pt idx="5">
                  <c:v>Turcia</c:v>
                </c:pt>
                <c:pt idx="6">
                  <c:v>Cehia</c:v>
                </c:pt>
                <c:pt idx="7">
                  <c:v>Polonia</c:v>
                </c:pt>
                <c:pt idx="8">
                  <c:v>Belarus</c:v>
                </c:pt>
                <c:pt idx="9">
                  <c:v>Spania</c:v>
                </c:pt>
                <c:pt idx="10">
                  <c:v>S.U.A.</c:v>
                </c:pt>
                <c:pt idx="11">
                  <c:v>Bulgaria</c:v>
                </c:pt>
                <c:pt idx="12">
                  <c:v>Ungaria</c:v>
                </c:pt>
                <c:pt idx="13">
                  <c:v>Liban</c:v>
                </c:pt>
                <c:pt idx="14">
                  <c:v>Franța</c:v>
                </c:pt>
                <c:pt idx="15">
                  <c:v>Cipru</c:v>
                </c:pt>
                <c:pt idx="16">
                  <c:v>Kazahstan</c:v>
                </c:pt>
                <c:pt idx="17">
                  <c:v>Regatul Unit</c:v>
                </c:pt>
                <c:pt idx="18">
                  <c:v>Netherlands</c:v>
                </c:pt>
                <c:pt idx="19">
                  <c:v>Grecia</c:v>
                </c:pt>
                <c:pt idx="20">
                  <c:v>Elveția</c:v>
                </c:pt>
              </c:strCache>
            </c:strRef>
          </c:cat>
          <c:val>
            <c:numRef>
              <c:f>'Figura 5'!$G$26:$G$46</c:f>
              <c:numCache>
                <c:formatCode>#\ ##0.0</c:formatCode>
                <c:ptCount val="21"/>
                <c:pt idx="0">
                  <c:v>31.580716376495737</c:v>
                </c:pt>
                <c:pt idx="1">
                  <c:v>17.592076162400669</c:v>
                </c:pt>
                <c:pt idx="2">
                  <c:v>6.7982540029459599</c:v>
                </c:pt>
                <c:pt idx="3">
                  <c:v>5.4828472840626246</c:v>
                </c:pt>
                <c:pt idx="4">
                  <c:v>3.9608971528390393</c:v>
                </c:pt>
                <c:pt idx="5">
                  <c:v>3.9111109094631016</c:v>
                </c:pt>
                <c:pt idx="6">
                  <c:v>3.8994910642106424</c:v>
                </c:pt>
                <c:pt idx="7">
                  <c:v>2.8026219548578797</c:v>
                </c:pt>
                <c:pt idx="8">
                  <c:v>2.3251968420560725</c:v>
                </c:pt>
                <c:pt idx="9">
                  <c:v>1.8869334607507497</c:v>
                </c:pt>
                <c:pt idx="10">
                  <c:v>1.3569762709033517</c:v>
                </c:pt>
                <c:pt idx="11">
                  <c:v>1.3130859460521762</c:v>
                </c:pt>
                <c:pt idx="12">
                  <c:v>1.2402658273667497</c:v>
                </c:pt>
                <c:pt idx="13">
                  <c:v>1.2347030699279642</c:v>
                </c:pt>
                <c:pt idx="14">
                  <c:v>1.1624242999360341</c:v>
                </c:pt>
                <c:pt idx="15">
                  <c:v>1.0659425975302697</c:v>
                </c:pt>
                <c:pt idx="16">
                  <c:v>1.0576651288449463</c:v>
                </c:pt>
                <c:pt idx="17">
                  <c:v>1.0202533619549492</c:v>
                </c:pt>
                <c:pt idx="18">
                  <c:v>0.94706019628072646</c:v>
                </c:pt>
                <c:pt idx="19">
                  <c:v>0.84541947739389256</c:v>
                </c:pt>
                <c:pt idx="20">
                  <c:v>0.84127837455643695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DD-42D8-B371-6A71C526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061184"/>
        <c:axId val="156076864"/>
      </c:barChart>
      <c:catAx>
        <c:axId val="16406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6076864"/>
        <c:crosses val="autoZero"/>
        <c:auto val="1"/>
        <c:lblAlgn val="ctr"/>
        <c:lblOffset val="100"/>
        <c:noMultiLvlLbl val="0"/>
      </c:catAx>
      <c:valAx>
        <c:axId val="156076864"/>
        <c:scaling>
          <c:orientation val="minMax"/>
          <c:max val="35"/>
        </c:scaling>
        <c:delete val="0"/>
        <c:axPos val="l"/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4061184"/>
        <c:crosses val="autoZero"/>
        <c:crossBetween val="between"/>
        <c:majorUnit val="5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23459331734477"/>
          <c:y val="0.88790627734033245"/>
          <c:w val="0.79450276262636998"/>
          <c:h val="8.1852478720533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 </a:t>
            </a:r>
            <a:r>
              <a:rPr lang="en-US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</a:t>
            </a:r>
            <a:r>
              <a:rPr lang="ro-RO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unie 2023</a:t>
            </a:r>
            <a:endParaRPr lang="en-US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8272511463091963"/>
          <c:y val="1.278261269972831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846317646239979"/>
          <c:y val="0.11884330248192661"/>
          <c:w val="0.55189577312208316"/>
          <c:h val="0.73247187254043444"/>
        </c:manualLayout>
      </c:layout>
      <c:pieChart>
        <c:varyColors val="1"/>
        <c:ser>
          <c:idx val="0"/>
          <c:order val="0"/>
          <c:tx>
            <c:strRef>
              <c:f>'Figura 6'!$B$45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softEdge rad="0"/>
            </a:effectLst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1-4378-4F5F-8973-1809C55EF1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3-4378-4F5F-8973-1809C55EF1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5-4378-4F5F-8973-1809C55EF1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7-4378-4F5F-8973-1809C55EF1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9-4378-4F5F-8973-1809C55EF1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B-4378-4F5F-8973-1809C55EF1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D-4378-4F5F-8973-1809C55EF1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17-4C1F-4FBA-8D74-9AD92DA2B96A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softEdge rad="0"/>
              </a:effectLst>
            </c:spPr>
            <c:extLst>
              <c:ext xmlns:c16="http://schemas.microsoft.com/office/drawing/2014/chart" uri="{C3380CC4-5D6E-409C-BE32-E72D297353CC}">
                <c16:uniqueId val="{00000018-BE68-4648-9E21-F0C123FEF414}"/>
              </c:ext>
            </c:extLst>
          </c:dPt>
          <c:dLbls>
            <c:dLbl>
              <c:idx val="0"/>
              <c:layout>
                <c:manualLayout>
                  <c:x val="-6.5235414270095174E-2"/>
                  <c:y val="3.620403053066640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48496359266"/>
                      <c:h val="0.1417942932572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378-4F5F-8973-1809C55EF17F}"/>
                </c:ext>
              </c:extLst>
            </c:dLbl>
            <c:dLbl>
              <c:idx val="1"/>
              <c:layout>
                <c:manualLayout>
                  <c:x val="-3.2617771343258897E-2"/>
                  <c:y val="-7.88327752134431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78-4F5F-8973-1809C55EF17F}"/>
                </c:ext>
              </c:extLst>
            </c:dLbl>
            <c:dLbl>
              <c:idx val="2"/>
              <c:layout>
                <c:manualLayout>
                  <c:x val="3.2617771343258897E-2"/>
                  <c:y val="-0.170187950644100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78-4F5F-8973-1809C55EF17F}"/>
                </c:ext>
              </c:extLst>
            </c:dLbl>
            <c:dLbl>
              <c:idx val="3"/>
              <c:layout>
                <c:manualLayout>
                  <c:x val="0.10437686829842846"/>
                  <c:y val="-0.126945123238905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78-4F5F-8973-1809C55EF17F}"/>
                </c:ext>
              </c:extLst>
            </c:dLbl>
            <c:dLbl>
              <c:idx val="4"/>
              <c:layout>
                <c:manualLayout>
                  <c:x val="0.20549195946253104"/>
                  <c:y val="-2.09768606510393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78-4F5F-8973-1809C55EF17F}"/>
                </c:ext>
              </c:extLst>
            </c:dLbl>
            <c:dLbl>
              <c:idx val="5"/>
              <c:layout>
                <c:manualLayout>
                  <c:x val="0.25768039361174522"/>
                  <c:y val="2.919540229885057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205621916882214"/>
                      <c:h val="0.170823905632485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378-4F5F-8973-1809C55EF17F}"/>
                </c:ext>
              </c:extLst>
            </c:dLbl>
            <c:dLbl>
              <c:idx val="6"/>
              <c:layout>
                <c:manualLayout>
                  <c:x val="0.17939774238792386"/>
                  <c:y val="9.88822517874920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378-4F5F-8973-1809C55EF17F}"/>
                </c:ext>
              </c:extLst>
            </c:dLbl>
            <c:dLbl>
              <c:idx val="7"/>
              <c:layout>
                <c:manualLayout>
                  <c:x val="8.1544428358147236E-2"/>
                  <c:y val="0.130487223579811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8"/>
              <c:layout>
                <c:manualLayout>
                  <c:x val="1.9570662805955336E-2"/>
                  <c:y val="9.85850906567712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dLbl>
              <c:idx val="9"/>
              <c:layout>
                <c:manualLayout>
                  <c:x val="-3.2617771343258894E-3"/>
                  <c:y val="2.71762150420852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10"/>
              <c:layout>
                <c:manualLayout>
                  <c:x val="4.0772085762651025E-2"/>
                  <c:y val="-0.1038600778350982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33528834495112"/>
                      <c:h val="0.1976438290041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dLbl>
              <c:idx val="11"/>
              <c:layout>
                <c:manualLayout>
                  <c:x val="9.7853314029776692E-2"/>
                  <c:y val="-0.1999906477207590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C1F-4FBA-8D74-9AD92DA2B96A}"/>
                </c:ext>
              </c:extLst>
            </c:dLbl>
            <c:dLbl>
              <c:idx val="12"/>
              <c:layout>
                <c:manualLayout>
                  <c:x val="0.16308885671629442"/>
                  <c:y val="-5.06447038947717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E68-4648-9E21-F0C123FEF41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6'!$A$46:$A$58</c:f>
              <c:strCache>
                <c:ptCount val="13"/>
                <c:pt idx="0">
                  <c:v>Maşini şi aparate electrice </c:v>
                </c:pt>
                <c:pt idx="1">
                  <c:v>Petrol, produse petroliere</c:v>
                </c:pt>
                <c:pt idx="2">
                  <c:v>Cereale şi preparate pe bază de cereale</c:v>
                </c:pt>
                <c:pt idx="3">
                  <c:v>Legume şi fructe</c:v>
                </c:pt>
                <c:pt idx="4">
                  <c:v>Îmbrăcăminte şi accesorii</c:v>
                </c:pt>
                <c:pt idx="5">
                  <c:v>Grăsimi şi uleiuri vegetale </c:v>
                </c:pt>
                <c:pt idx="6">
                  <c:v>Băuturi alcoolice şi nealcoolice</c:v>
                </c:pt>
                <c:pt idx="7">
                  <c:v>Seminţe şi fructe oleaginoase</c:v>
                </c:pt>
                <c:pt idx="8">
                  <c:v>Mobilă şi părţile ei</c:v>
                </c:pt>
                <c:pt idx="9">
                  <c:v>Articole din minerale nemetalice</c:v>
                </c:pt>
                <c:pt idx="10">
                  <c:v>Fire, tesături, articole textile </c:v>
                </c:pt>
                <c:pt idx="11">
                  <c:v>Vehicule rutiere </c:v>
                </c:pt>
                <c:pt idx="12">
                  <c:v>Alte mărfuri</c:v>
                </c:pt>
              </c:strCache>
            </c:strRef>
          </c:cat>
          <c:val>
            <c:numRef>
              <c:f>'Figura 6'!$B$46:$B$58</c:f>
              <c:numCache>
                <c:formatCode>0.0</c:formatCode>
                <c:ptCount val="13"/>
                <c:pt idx="0">
                  <c:v>15.9</c:v>
                </c:pt>
                <c:pt idx="1">
                  <c:v>13.1</c:v>
                </c:pt>
                <c:pt idx="2">
                  <c:v>9.3000000000000007</c:v>
                </c:pt>
                <c:pt idx="3">
                  <c:v>7.8</c:v>
                </c:pt>
                <c:pt idx="4">
                  <c:v>7.2</c:v>
                </c:pt>
                <c:pt idx="5">
                  <c:v>6.9</c:v>
                </c:pt>
                <c:pt idx="6">
                  <c:v>4.9000000000000004</c:v>
                </c:pt>
                <c:pt idx="7">
                  <c:v>4.5</c:v>
                </c:pt>
                <c:pt idx="8">
                  <c:v>3.5</c:v>
                </c:pt>
                <c:pt idx="9">
                  <c:v>2.9</c:v>
                </c:pt>
                <c:pt idx="10">
                  <c:v>2.1</c:v>
                </c:pt>
                <c:pt idx="11">
                  <c:v>2</c:v>
                </c:pt>
                <c:pt idx="12" formatCode="#\ ##0.0">
                  <c:v>19.899999999999999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378-4F5F-8973-1809C55EF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 iunie 2022</a:t>
            </a:r>
            <a:endParaRPr lang="en-US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206091097678061"/>
          <c:y val="9.075430788542735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15791990763214"/>
          <c:y val="0.10784875031584466"/>
          <c:w val="0.55947082473274778"/>
          <c:h val="0.7274913612149243"/>
        </c:manualLayout>
      </c:layout>
      <c:pieChart>
        <c:varyColors val="1"/>
        <c:ser>
          <c:idx val="0"/>
          <c:order val="0"/>
          <c:tx>
            <c:strRef>
              <c:f>'Figura 6'!$B$30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explosion val="1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13-4F53-9AAE-2AE28035AC4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13-4F53-9AAE-2AE28035AC4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213-4F53-9AAE-2AE28035AC4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213-4F53-9AAE-2AE28035AC4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213-4F53-9AAE-2AE28035AC4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213-4F53-9AAE-2AE28035AC44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213-4F53-9AAE-2AE28035AC44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213-4F53-9AAE-2AE28035AC44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213-4F53-9AAE-2AE28035AC44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213-4F53-9AAE-2AE28035AC44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213-4F53-9AAE-2AE28035AC44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213-4F53-9AAE-2AE28035AC44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213-4F53-9AAE-2AE28035AC44}"/>
              </c:ext>
            </c:extLst>
          </c:dPt>
          <c:dLbls>
            <c:dLbl>
              <c:idx val="0"/>
              <c:layout>
                <c:manualLayout>
                  <c:x val="-1.9655895749810276E-2"/>
                  <c:y val="6.25816120810985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86888760829512"/>
                      <c:h val="0.155087862124475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213-4F53-9AAE-2AE28035AC44}"/>
                </c:ext>
              </c:extLst>
            </c:dLbl>
            <c:dLbl>
              <c:idx val="1"/>
              <c:layout>
                <c:manualLayout>
                  <c:x val="-2.620803296846742E-2"/>
                  <c:y val="4.40731865038605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13-4F53-9AAE-2AE28035AC44}"/>
                </c:ext>
              </c:extLst>
            </c:dLbl>
            <c:dLbl>
              <c:idx val="2"/>
              <c:layout>
                <c:manualLayout>
                  <c:x val="-1.6380149581832263E-2"/>
                  <c:y val="-7.3531591159800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452912470844849"/>
                      <c:h val="0.19093613298337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213-4F53-9AAE-2AE28035AC44}"/>
                </c:ext>
              </c:extLst>
            </c:dLbl>
            <c:dLbl>
              <c:idx val="3"/>
              <c:layout>
                <c:manualLayout>
                  <c:x val="8.517610714751872E-2"/>
                  <c:y val="-0.1459107611548556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058958787868156"/>
                      <c:h val="0.137526722203202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213-4F53-9AAE-2AE28035AC44}"/>
                </c:ext>
              </c:extLst>
            </c:dLbl>
            <c:dLbl>
              <c:idx val="4"/>
              <c:layout>
                <c:manualLayout>
                  <c:x val="0.13431616896339491"/>
                  <c:y val="-5.06484080794249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13-4F53-9AAE-2AE28035AC44}"/>
                </c:ext>
              </c:extLst>
            </c:dLbl>
            <c:dLbl>
              <c:idx val="5"/>
              <c:layout>
                <c:manualLayout>
                  <c:x val="0.26911058293784829"/>
                  <c:y val="2.556156567385598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99595271616856"/>
                      <c:h val="0.1708376887671649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213-4F53-9AAE-2AE28035AC44}"/>
                </c:ext>
              </c:extLst>
            </c:dLbl>
            <c:dLbl>
              <c:idx val="6"/>
              <c:layout>
                <c:manualLayout>
                  <c:x val="0.19428252156358775"/>
                  <c:y val="0.100059891654737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213-4F53-9AAE-2AE28035AC44}"/>
                </c:ext>
              </c:extLst>
            </c:dLbl>
            <c:dLbl>
              <c:idx val="7"/>
              <c:layout>
                <c:manualLayout>
                  <c:x val="0.10483213187386919"/>
                  <c:y val="0.1928053558522576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67162727637145"/>
                      <c:h val="0.189166752199192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213-4F53-9AAE-2AE28035AC44}"/>
                </c:ext>
              </c:extLst>
            </c:dLbl>
            <c:dLbl>
              <c:idx val="8"/>
              <c:layout>
                <c:manualLayout>
                  <c:x val="3.6036045331642536E-2"/>
                  <c:y val="0.258687055422419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213-4F53-9AAE-2AE28035AC44}"/>
                </c:ext>
              </c:extLst>
            </c:dLbl>
            <c:dLbl>
              <c:idx val="9"/>
              <c:layout>
                <c:manualLayout>
                  <c:x val="0"/>
                  <c:y val="0.17530313058693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213-4F53-9AAE-2AE28035AC44}"/>
                </c:ext>
              </c:extLst>
            </c:dLbl>
            <c:dLbl>
              <c:idx val="10"/>
              <c:layout>
                <c:manualLayout>
                  <c:x val="0"/>
                  <c:y val="4.102035071702989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007362496820727"/>
                      <c:h val="0.214821408193541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6213-4F53-9AAE-2AE28035AC44}"/>
                </c:ext>
              </c:extLst>
            </c:dLbl>
            <c:dLbl>
              <c:idx val="11"/>
              <c:layout>
                <c:manualLayout>
                  <c:x val="5.2416065936934583E-2"/>
                  <c:y val="-7.76336870934611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213-4F53-9AAE-2AE28035AC44}"/>
                </c:ext>
              </c:extLst>
            </c:dLbl>
            <c:dLbl>
              <c:idx val="12"/>
              <c:layout>
                <c:manualLayout>
                  <c:x val="0.10155612775281075"/>
                  <c:y val="-1.93236714975845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213-4F53-9AAE-2AE28035AC4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6'!$A$31:$A$43</c:f>
              <c:strCache>
                <c:ptCount val="13"/>
                <c:pt idx="0">
                  <c:v>Maşini şi aparate electrice </c:v>
                </c:pt>
                <c:pt idx="1">
                  <c:v>Petrol, produse petroliere</c:v>
                </c:pt>
                <c:pt idx="2">
                  <c:v>Cereale şi preparate pe bază de cereale</c:v>
                </c:pt>
                <c:pt idx="3">
                  <c:v>Legume şi fructe</c:v>
                </c:pt>
                <c:pt idx="4">
                  <c:v>Îmbrăcăminte şi accesorii</c:v>
                </c:pt>
                <c:pt idx="5">
                  <c:v>Grăsimi şi uleiuri vegetale </c:v>
                </c:pt>
                <c:pt idx="6">
                  <c:v>Băuturi alcoolice şi nealcoolice</c:v>
                </c:pt>
                <c:pt idx="7">
                  <c:v>Seminţe şi fructe oleaginoase</c:v>
                </c:pt>
                <c:pt idx="8">
                  <c:v>Mobilă şi părţile ei</c:v>
                </c:pt>
                <c:pt idx="9">
                  <c:v>Articole din minerale nemetalice</c:v>
                </c:pt>
                <c:pt idx="10">
                  <c:v>Fire, tesături, articole textile </c:v>
                </c:pt>
                <c:pt idx="11">
                  <c:v>Vehicule rutiere </c:v>
                </c:pt>
                <c:pt idx="12">
                  <c:v>Alte mărfuri</c:v>
                </c:pt>
              </c:strCache>
            </c:strRef>
          </c:cat>
          <c:val>
            <c:numRef>
              <c:f>'Figura 6'!$B$31:$B$43</c:f>
              <c:numCache>
                <c:formatCode>0.0</c:formatCode>
                <c:ptCount val="13"/>
                <c:pt idx="0">
                  <c:v>12.3</c:v>
                </c:pt>
                <c:pt idx="1">
                  <c:v>8.6999999999999993</c:v>
                </c:pt>
                <c:pt idx="2">
                  <c:v>14.6</c:v>
                </c:pt>
                <c:pt idx="3">
                  <c:v>8.3000000000000007</c:v>
                </c:pt>
                <c:pt idx="4">
                  <c:v>6.4</c:v>
                </c:pt>
                <c:pt idx="5">
                  <c:v>10</c:v>
                </c:pt>
                <c:pt idx="6">
                  <c:v>3.2</c:v>
                </c:pt>
                <c:pt idx="7">
                  <c:v>11.2</c:v>
                </c:pt>
                <c:pt idx="8">
                  <c:v>3.3</c:v>
                </c:pt>
                <c:pt idx="9">
                  <c:v>1.8</c:v>
                </c:pt>
                <c:pt idx="10">
                  <c:v>2</c:v>
                </c:pt>
                <c:pt idx="11">
                  <c:v>2</c:v>
                </c:pt>
                <c:pt idx="12" formatCode="#\ ##0.0">
                  <c:v>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213-4F53-9AAE-2AE28035A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15800362667183E-2"/>
          <c:y val="8.2824526452265762E-2"/>
          <c:w val="0.94068416183226722"/>
          <c:h val="0.711200158199403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7'!$B$22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7'!$B$23:$B$28</c:f>
              <c:numCache>
                <c:formatCode>#\ ##0.0</c:formatCode>
                <c:ptCount val="6"/>
                <c:pt idx="0">
                  <c:v>374.3</c:v>
                </c:pt>
                <c:pt idx="1">
                  <c:v>372.6</c:v>
                </c:pt>
                <c:pt idx="2">
                  <c:v>379.8</c:v>
                </c:pt>
                <c:pt idx="3">
                  <c:v>399.4</c:v>
                </c:pt>
                <c:pt idx="4">
                  <c:v>621.70000000000005</c:v>
                </c:pt>
                <c:pt idx="5">
                  <c:v>733.3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5-4F6B-A686-03D9A8D64A69}"/>
            </c:ext>
          </c:extLst>
        </c:ser>
        <c:ser>
          <c:idx val="2"/>
          <c:order val="1"/>
          <c:tx>
            <c:strRef>
              <c:f>'Figura 7'!$C$22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7'!$C$23:$C$28</c:f>
              <c:numCache>
                <c:formatCode>#\ ##0.0</c:formatCode>
                <c:ptCount val="6"/>
                <c:pt idx="0">
                  <c:v>427.6</c:v>
                </c:pt>
                <c:pt idx="1">
                  <c:v>459.3</c:v>
                </c:pt>
                <c:pt idx="2">
                  <c:v>484.8</c:v>
                </c:pt>
                <c:pt idx="3">
                  <c:v>521.4</c:v>
                </c:pt>
                <c:pt idx="4">
                  <c:v>669.1</c:v>
                </c:pt>
                <c:pt idx="5">
                  <c:v>752.5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5-4F6B-A686-03D9A8D64A69}"/>
            </c:ext>
          </c:extLst>
        </c:ser>
        <c:ser>
          <c:idx val="3"/>
          <c:order val="2"/>
          <c:tx>
            <c:strRef>
              <c:f>'Figura 7'!$D$22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7'!$D$23:$D$28</c:f>
              <c:numCache>
                <c:formatCode>#\ ##0.0</c:formatCode>
                <c:ptCount val="6"/>
                <c:pt idx="0">
                  <c:v>524.1</c:v>
                </c:pt>
                <c:pt idx="1">
                  <c:v>533.79999999999995</c:v>
                </c:pt>
                <c:pt idx="2">
                  <c:v>500.5</c:v>
                </c:pt>
                <c:pt idx="3">
                  <c:v>630.1</c:v>
                </c:pt>
                <c:pt idx="4">
                  <c:v>748.3</c:v>
                </c:pt>
                <c:pt idx="5">
                  <c:v>821.1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85-4F6B-A686-03D9A8D64A69}"/>
            </c:ext>
          </c:extLst>
        </c:ser>
        <c:ser>
          <c:idx val="4"/>
          <c:order val="3"/>
          <c:tx>
            <c:strRef>
              <c:f>'Figura 7'!$E$22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7'!$E$23:$E$28</c:f>
              <c:numCache>
                <c:formatCode>#\ ##0.0</c:formatCode>
                <c:ptCount val="6"/>
                <c:pt idx="0">
                  <c:v>444.6</c:v>
                </c:pt>
                <c:pt idx="1">
                  <c:v>515.6</c:v>
                </c:pt>
                <c:pt idx="2">
                  <c:v>285.60000000000002</c:v>
                </c:pt>
                <c:pt idx="3">
                  <c:v>562.20000000000005</c:v>
                </c:pt>
                <c:pt idx="4">
                  <c:v>770.4</c:v>
                </c:pt>
                <c:pt idx="5">
                  <c:v>690.4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5-4F6B-A686-03D9A8D64A69}"/>
            </c:ext>
          </c:extLst>
        </c:ser>
        <c:ser>
          <c:idx val="5"/>
          <c:order val="4"/>
          <c:tx>
            <c:strRef>
              <c:f>'Figura 7'!$F$22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7'!$F$23:$F$28</c:f>
              <c:numCache>
                <c:formatCode>#\ ##0.0</c:formatCode>
                <c:ptCount val="6"/>
                <c:pt idx="0">
                  <c:v>505.6</c:v>
                </c:pt>
                <c:pt idx="1">
                  <c:v>481.6</c:v>
                </c:pt>
                <c:pt idx="2">
                  <c:v>329.4</c:v>
                </c:pt>
                <c:pt idx="3">
                  <c:v>563.4</c:v>
                </c:pt>
                <c:pt idx="4">
                  <c:v>772.7</c:v>
                </c:pt>
                <c:pt idx="5">
                  <c:v>709.2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85-4F6B-A686-03D9A8D64A69}"/>
            </c:ext>
          </c:extLst>
        </c:ser>
        <c:ser>
          <c:idx val="6"/>
          <c:order val="5"/>
          <c:tx>
            <c:strRef>
              <c:f>'Figura 7'!$G$22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7'!$G$23:$G$28</c:f>
              <c:numCache>
                <c:formatCode>#\ ##0.0</c:formatCode>
                <c:ptCount val="6"/>
                <c:pt idx="0">
                  <c:v>458.7</c:v>
                </c:pt>
                <c:pt idx="1">
                  <c:v>445.4</c:v>
                </c:pt>
                <c:pt idx="2">
                  <c:v>413.5</c:v>
                </c:pt>
                <c:pt idx="3">
                  <c:v>589.6</c:v>
                </c:pt>
                <c:pt idx="4">
                  <c:v>768.4</c:v>
                </c:pt>
                <c:pt idx="5">
                  <c:v>665.2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5-4F6B-A686-03D9A8D64A69}"/>
            </c:ext>
          </c:extLst>
        </c:ser>
        <c:ser>
          <c:idx val="7"/>
          <c:order val="6"/>
          <c:tx>
            <c:strRef>
              <c:f>'Figura 7'!$H$22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7'!$H$23:$H$28</c:f>
              <c:numCache>
                <c:formatCode>#\ ##0.0</c:formatCode>
                <c:ptCount val="6"/>
                <c:pt idx="0">
                  <c:v>488</c:v>
                </c:pt>
                <c:pt idx="1">
                  <c:v>499.1</c:v>
                </c:pt>
                <c:pt idx="2">
                  <c:v>496.6</c:v>
                </c:pt>
                <c:pt idx="3">
                  <c:v>562</c:v>
                </c:pt>
                <c:pt idx="4">
                  <c:v>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85-4F6B-A686-03D9A8D64A69}"/>
            </c:ext>
          </c:extLst>
        </c:ser>
        <c:ser>
          <c:idx val="8"/>
          <c:order val="7"/>
          <c:tx>
            <c:strRef>
              <c:f>'Figura 7'!$I$22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7'!$I$23:$I$28</c:f>
              <c:numCache>
                <c:formatCode>#\ ##0.0</c:formatCode>
                <c:ptCount val="6"/>
                <c:pt idx="0">
                  <c:v>480.7</c:v>
                </c:pt>
                <c:pt idx="1">
                  <c:v>464.3</c:v>
                </c:pt>
                <c:pt idx="2">
                  <c:v>433.6</c:v>
                </c:pt>
                <c:pt idx="3">
                  <c:v>574.9</c:v>
                </c:pt>
                <c:pt idx="4">
                  <c:v>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85-4F6B-A686-03D9A8D64A69}"/>
            </c:ext>
          </c:extLst>
        </c:ser>
        <c:ser>
          <c:idx val="9"/>
          <c:order val="8"/>
          <c:tx>
            <c:strRef>
              <c:f>'Figura 7'!$J$22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7'!$J$23:$J$28</c:f>
              <c:numCache>
                <c:formatCode>#\ ##0.0</c:formatCode>
                <c:ptCount val="6"/>
                <c:pt idx="0">
                  <c:v>474</c:v>
                </c:pt>
                <c:pt idx="1">
                  <c:v>501.7</c:v>
                </c:pt>
                <c:pt idx="2">
                  <c:v>508.3</c:v>
                </c:pt>
                <c:pt idx="3">
                  <c:v>671.2</c:v>
                </c:pt>
                <c:pt idx="4">
                  <c:v>844.1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85-4F6B-A686-03D9A8D64A69}"/>
            </c:ext>
          </c:extLst>
        </c:ser>
        <c:ser>
          <c:idx val="10"/>
          <c:order val="9"/>
          <c:tx>
            <c:strRef>
              <c:f>'Figura 7'!$K$22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7'!$K$23:$K$28</c:f>
              <c:numCache>
                <c:formatCode>#\ ##0.0</c:formatCode>
                <c:ptCount val="6"/>
                <c:pt idx="0">
                  <c:v>540.6</c:v>
                </c:pt>
                <c:pt idx="1">
                  <c:v>525.29999999999995</c:v>
                </c:pt>
                <c:pt idx="2">
                  <c:v>493.6</c:v>
                </c:pt>
                <c:pt idx="3">
                  <c:v>646.79999999999995</c:v>
                </c:pt>
                <c:pt idx="4">
                  <c:v>751.2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85-4F6B-A686-03D9A8D64A69}"/>
            </c:ext>
          </c:extLst>
        </c:ser>
        <c:ser>
          <c:idx val="11"/>
          <c:order val="10"/>
          <c:tx>
            <c:strRef>
              <c:f>'Figura 7'!$L$22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7'!$L$23:$L$28</c:f>
              <c:numCache>
                <c:formatCode>#\ ##0.0</c:formatCode>
                <c:ptCount val="6"/>
                <c:pt idx="0">
                  <c:v>522.6</c:v>
                </c:pt>
                <c:pt idx="1">
                  <c:v>504.1</c:v>
                </c:pt>
                <c:pt idx="2">
                  <c:v>522.9</c:v>
                </c:pt>
                <c:pt idx="3">
                  <c:v>701.5</c:v>
                </c:pt>
                <c:pt idx="4">
                  <c:v>858.3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85-4F6B-A686-03D9A8D64A69}"/>
            </c:ext>
          </c:extLst>
        </c:ser>
        <c:ser>
          <c:idx val="12"/>
          <c:order val="11"/>
          <c:tx>
            <c:strRef>
              <c:f>'Figura 7'!$M$22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7'!$A$23:$A$28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 7'!$M$23:$M$28</c:f>
              <c:numCache>
                <c:formatCode>#\ ##0.0</c:formatCode>
                <c:ptCount val="6"/>
                <c:pt idx="0">
                  <c:v>519.29999999999995</c:v>
                </c:pt>
                <c:pt idx="1">
                  <c:v>539.70000000000005</c:v>
                </c:pt>
                <c:pt idx="2">
                  <c:v>567.29999999999995</c:v>
                </c:pt>
                <c:pt idx="3">
                  <c:v>754.2</c:v>
                </c:pt>
                <c:pt idx="4">
                  <c:v>873.8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F-4049-8950-86FE86034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4887552"/>
        <c:axId val="156078016"/>
      </c:barChart>
      <c:catAx>
        <c:axId val="164887552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6078016"/>
        <c:crosses val="autoZero"/>
        <c:auto val="0"/>
        <c:lblAlgn val="ctr"/>
        <c:lblOffset val="100"/>
        <c:tickLblSkip val="1"/>
        <c:noMultiLvlLbl val="0"/>
      </c:catAx>
      <c:valAx>
        <c:axId val="15607801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488755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322762736849671"/>
          <c:w val="1"/>
          <c:h val="7.8507415488726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57932448224996E-2"/>
          <c:y val="5.4497403713046011E-2"/>
          <c:w val="0.92549986359231973"/>
          <c:h val="0.72637556698672245"/>
        </c:manualLayout>
      </c:layout>
      <c:lineChart>
        <c:grouping val="standard"/>
        <c:varyColors val="0"/>
        <c:ser>
          <c:idx val="0"/>
          <c:order val="0"/>
          <c:tx>
            <c:strRef>
              <c:f>'Figura 8'!$A$25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8026992920953038E-2"/>
                  <c:y val="3.6586717078588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B6-4474-912E-EE374058F04A}"/>
                </c:ext>
              </c:extLst>
            </c:dLbl>
            <c:dLbl>
              <c:idx val="1"/>
              <c:layout>
                <c:manualLayout>
                  <c:x val="-2.5920869518839741E-2"/>
                  <c:y val="-3.3577664271918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B6-4474-912E-EE374058F04A}"/>
                </c:ext>
              </c:extLst>
            </c:dLbl>
            <c:dLbl>
              <c:idx val="2"/>
              <c:layout>
                <c:manualLayout>
                  <c:x val="-2.7600746048223046E-2"/>
                  <c:y val="3.5658250392589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B6-4474-912E-EE374058F04A}"/>
                </c:ext>
              </c:extLst>
            </c:dLbl>
            <c:dLbl>
              <c:idx val="3"/>
              <c:layout>
                <c:manualLayout>
                  <c:x val="-1.9572486356910244E-2"/>
                  <c:y val="3.3899464327728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B6-4474-912E-EE374058F04A}"/>
                </c:ext>
              </c:extLst>
            </c:dLbl>
            <c:dLbl>
              <c:idx val="4"/>
              <c:layout>
                <c:manualLayout>
                  <c:x val="-3.1744157714715712E-2"/>
                  <c:y val="-3.2421783093767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B6-4474-912E-EE374058F04A}"/>
                </c:ext>
              </c:extLst>
            </c:dLbl>
            <c:dLbl>
              <c:idx val="5"/>
              <c:layout>
                <c:manualLayout>
                  <c:x val="-2.7229845388010401E-2"/>
                  <c:y val="-3.4658310580484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B6-4474-912E-EE374058F04A}"/>
                </c:ext>
              </c:extLst>
            </c:dLbl>
            <c:dLbl>
              <c:idx val="6"/>
              <c:layout>
                <c:manualLayout>
                  <c:x val="-2.138142250432562E-2"/>
                  <c:y val="3.5854203030186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B6-4474-912E-EE374058F04A}"/>
                </c:ext>
              </c:extLst>
            </c:dLbl>
            <c:dLbl>
              <c:idx val="7"/>
              <c:layout>
                <c:manualLayout>
                  <c:x val="-1.8666396603961483E-2"/>
                  <c:y val="3.1272741449215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B6-4474-912E-EE374058F04A}"/>
                </c:ext>
              </c:extLst>
            </c:dLbl>
            <c:dLbl>
              <c:idx val="8"/>
              <c:layout>
                <c:manualLayout>
                  <c:x val="-2.9729051201149798E-2"/>
                  <c:y val="-2.3720186473044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B6-4474-912E-EE374058F04A}"/>
                </c:ext>
              </c:extLst>
            </c:dLbl>
            <c:dLbl>
              <c:idx val="9"/>
              <c:layout>
                <c:manualLayout>
                  <c:x val="-1.8672168312981918E-2"/>
                  <c:y val="3.534182832824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B6-4474-912E-EE374058F04A}"/>
                </c:ext>
              </c:extLst>
            </c:dLbl>
            <c:dLbl>
              <c:idx val="10"/>
              <c:layout>
                <c:manualLayout>
                  <c:x val="-2.7665337367494162E-2"/>
                  <c:y val="-2.9812672014270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309466480373265E-2"/>
                      <c:h val="4.7087442145441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7DC5-4341-8624-B7AE9C654835}"/>
                </c:ext>
              </c:extLst>
            </c:dLbl>
            <c:dLbl>
              <c:idx val="11"/>
              <c:layout>
                <c:manualLayout>
                  <c:x val="-1.8706219862052127E-2"/>
                  <c:y val="-2.803695810375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C5-4341-8624-B7AE9C654835}"/>
                </c:ext>
              </c:extLst>
            </c:dLbl>
            <c:dLbl>
              <c:idx val="12"/>
              <c:layout>
                <c:manualLayout>
                  <c:x val="-1.9626356994764723E-2"/>
                  <c:y val="3.1272741449215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C5-4341-8624-B7AE9C654835}"/>
                </c:ext>
              </c:extLst>
            </c:dLbl>
            <c:dLbl>
              <c:idx val="13"/>
              <c:layout>
                <c:manualLayout>
                  <c:x val="-4.0782640542025329E-2"/>
                  <c:y val="-2.9729058716028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C5-4341-8624-B7AE9C654835}"/>
                </c:ext>
              </c:extLst>
            </c:dLbl>
            <c:dLbl>
              <c:idx val="14"/>
              <c:layout>
                <c:manualLayout>
                  <c:x val="-2.6432142515675553E-2"/>
                  <c:y val="2.7806807798162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C5-4341-8624-B7AE9C654835}"/>
                </c:ext>
              </c:extLst>
            </c:dLbl>
            <c:dLbl>
              <c:idx val="15"/>
              <c:layout>
                <c:manualLayout>
                  <c:x val="-1.8748214612708296E-2"/>
                  <c:y val="-2.431043822259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C5-4341-8624-B7AE9C654835}"/>
                </c:ext>
              </c:extLst>
            </c:dLbl>
            <c:dLbl>
              <c:idx val="16"/>
              <c:layout>
                <c:manualLayout>
                  <c:x val="-2.6679928816183522E-2"/>
                  <c:y val="3.8665080350840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687652789382035E-2"/>
                      <c:h val="6.59936337621264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7DC5-4341-8624-B7AE9C654835}"/>
                </c:ext>
              </c:extLst>
            </c:dLbl>
            <c:dLbl>
              <c:idx val="17"/>
              <c:layout>
                <c:manualLayout>
                  <c:x val="-1.7499355280314478E-2"/>
                  <c:y val="4.0836119303352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C5-4341-8624-B7AE9C654835}"/>
                </c:ext>
              </c:extLst>
            </c:dLbl>
            <c:dLbl>
              <c:idx val="18"/>
              <c:layout>
                <c:manualLayout>
                  <c:x val="-1.7315802622204654E-2"/>
                  <c:y val="3.2149911633225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C5-4341-8624-B7AE9C654835}"/>
                </c:ext>
              </c:extLst>
            </c:dLbl>
            <c:dLbl>
              <c:idx val="19"/>
              <c:layout>
                <c:manualLayout>
                  <c:x val="-1.7737155845873067E-2"/>
                  <c:y val="3.6493015468289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C5-4341-8624-B7AE9C654835}"/>
                </c:ext>
              </c:extLst>
            </c:dLbl>
            <c:dLbl>
              <c:idx val="20"/>
              <c:layout>
                <c:manualLayout>
                  <c:x val="-3.1066550764755691E-2"/>
                  <c:y val="-2.8653542057660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C5-4341-8624-B7AE9C654835}"/>
                </c:ext>
              </c:extLst>
            </c:dLbl>
            <c:dLbl>
              <c:idx val="21"/>
              <c:layout>
                <c:manualLayout>
                  <c:x val="-1.8843994865605302E-2"/>
                  <c:y val="4.0836119303352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C5-4341-8624-B7AE9C654835}"/>
                </c:ext>
              </c:extLst>
            </c:dLbl>
            <c:dLbl>
              <c:idx val="22"/>
              <c:layout>
                <c:manualLayout>
                  <c:x val="-2.4304770364339121E-2"/>
                  <c:y val="4.9522326973479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DC5-4341-8624-B7AE9C654835}"/>
                </c:ext>
              </c:extLst>
            </c:dLbl>
            <c:dLbl>
              <c:idx val="23"/>
              <c:layout>
                <c:manualLayout>
                  <c:x val="-7.0701444340610159E-3"/>
                  <c:y val="-6.938022882343607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C5-4341-8624-B7AE9C654835}"/>
                </c:ext>
              </c:extLst>
            </c:dLbl>
            <c:dLbl>
              <c:idx val="24"/>
              <c:layout>
                <c:manualLayout>
                  <c:x val="-2.0148150028407117E-2"/>
                  <c:y val="3.6493015468289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C5-4341-8624-B7AE9C654835}"/>
                </c:ext>
              </c:extLst>
            </c:dLbl>
            <c:dLbl>
              <c:idx val="25"/>
              <c:layout>
                <c:manualLayout>
                  <c:x val="-2.5763567131274666E-2"/>
                  <c:y val="4.0836119303352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C5-4341-8624-B7AE9C654835}"/>
                </c:ext>
              </c:extLst>
            </c:dLbl>
            <c:dLbl>
              <c:idx val="26"/>
              <c:layout>
                <c:manualLayout>
                  <c:x val="-2.6710125093614309E-2"/>
                  <c:y val="4.0836119303352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85-4BB1-AA39-4F2259CD6BED}"/>
                </c:ext>
              </c:extLst>
            </c:dLbl>
            <c:dLbl>
              <c:idx val="27"/>
              <c:layout>
                <c:manualLayout>
                  <c:x val="-2.0109837594739482E-2"/>
                  <c:y val="3.6493015468289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321494994148508E-2"/>
                      <c:h val="8.7709152937442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CA9-42EF-9314-3F5807FA0AAA}"/>
                </c:ext>
              </c:extLst>
            </c:dLbl>
            <c:dLbl>
              <c:idx val="28"/>
              <c:layout>
                <c:manualLayout>
                  <c:x val="-2.8145225239374894E-2"/>
                  <c:y val="-4.1682853562849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66-4F94-A10A-2056241F922A}"/>
                </c:ext>
              </c:extLst>
            </c:dLbl>
            <c:dLbl>
              <c:idx val="29"/>
              <c:layout>
                <c:manualLayout>
                  <c:x val="-4.5649544426334555E-3"/>
                  <c:y val="-3.7339749727786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FB-4017-9759-A88CF94724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8'!$B$23:$AE$24</c:f>
              <c:multiLvlStrCache>
                <c:ptCount val="3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'Figura 8'!$B$25:$AE$25</c:f>
              <c:numCache>
                <c:formatCode>#\ ##0.0</c:formatCode>
                <c:ptCount val="30"/>
                <c:pt idx="0">
                  <c:v>70.397914008513311</c:v>
                </c:pt>
                <c:pt idx="1">
                  <c:v>130.56565598353049</c:v>
                </c:pt>
                <c:pt idx="2">
                  <c:v>120.83026196604835</c:v>
                </c:pt>
                <c:pt idx="3">
                  <c:v>89.231037795592442</c:v>
                </c:pt>
                <c:pt idx="4">
                  <c:v>100.2114807539604</c:v>
                </c:pt>
                <c:pt idx="5">
                  <c:v>104.66057637383682</c:v>
                </c:pt>
                <c:pt idx="6">
                  <c:v>95.30942393156748</c:v>
                </c:pt>
                <c:pt idx="7">
                  <c:v>102.30310816744974</c:v>
                </c:pt>
                <c:pt idx="8">
                  <c:v>116.7433114933096</c:v>
                </c:pt>
                <c:pt idx="9">
                  <c:v>96.368466717330918</c:v>
                </c:pt>
                <c:pt idx="10">
                  <c:v>108.45193596997535</c:v>
                </c:pt>
                <c:pt idx="11">
                  <c:v>107.60757399325725</c:v>
                </c:pt>
                <c:pt idx="12">
                  <c:v>82.42810256467493</c:v>
                </c:pt>
                <c:pt idx="13">
                  <c:v>107.62832847463979</c:v>
                </c:pt>
                <c:pt idx="14">
                  <c:v>111.83649823538117</c:v>
                </c:pt>
                <c:pt idx="15">
                  <c:v>102.95945766976527</c:v>
                </c:pt>
                <c:pt idx="16">
                  <c:v>100.28989015201115</c:v>
                </c:pt>
                <c:pt idx="17">
                  <c:v>99.449492493428721</c:v>
                </c:pt>
                <c:pt idx="18">
                  <c:v>99.042771669685536</c:v>
                </c:pt>
                <c:pt idx="19">
                  <c:v>102.48436324688166</c:v>
                </c:pt>
                <c:pt idx="20">
                  <c:v>108.22806008303567</c:v>
                </c:pt>
                <c:pt idx="21" formatCode="0.0">
                  <c:v>88.988673647198652</c:v>
                </c:pt>
                <c:pt idx="22" formatCode="0.0">
                  <c:v>114.26056736134905</c:v>
                </c:pt>
                <c:pt idx="23" formatCode="0.0">
                  <c:v>101.80484196839581</c:v>
                </c:pt>
                <c:pt idx="24" formatCode="0.0">
                  <c:v>83.923113131090105</c:v>
                </c:pt>
                <c:pt idx="25" formatCode="0.0">
                  <c:v>102.61098940878497</c:v>
                </c:pt>
                <c:pt idx="26" formatCode="0.0">
                  <c:v>109.12064094346417</c:v>
                </c:pt>
                <c:pt idx="27" formatCode="0.0">
                  <c:v>84.078157654874644</c:v>
                </c:pt>
                <c:pt idx="28" formatCode="0.0">
                  <c:v>102.7218186786998</c:v>
                </c:pt>
                <c:pt idx="29" formatCode="0.0">
                  <c:v>93.799562886459725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DC5-4341-8624-B7AE9C654835}"/>
            </c:ext>
          </c:extLst>
        </c:ser>
        <c:ser>
          <c:idx val="1"/>
          <c:order val="1"/>
          <c:tx>
            <c:strRef>
              <c:f>'Figura 8'!$A$26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2109583568934912E-2"/>
                  <c:y val="-3.0394887311844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9B6-4474-912E-EE374058F04A}"/>
                </c:ext>
              </c:extLst>
            </c:dLbl>
            <c:dLbl>
              <c:idx val="1"/>
              <c:layout>
                <c:manualLayout>
                  <c:x val="-1.7371108354220996E-2"/>
                  <c:y val="3.669820147624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9B6-4474-912E-EE374058F04A}"/>
                </c:ext>
              </c:extLst>
            </c:dLbl>
            <c:dLbl>
              <c:idx val="2"/>
              <c:layout>
                <c:manualLayout>
                  <c:x val="-6.9016774832406664E-3"/>
                  <c:y val="-5.15119472972899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9B6-4474-912E-EE374058F04A}"/>
                </c:ext>
              </c:extLst>
            </c:dLbl>
            <c:dLbl>
              <c:idx val="3"/>
              <c:layout>
                <c:manualLayout>
                  <c:x val="-2.5269654797973405E-2"/>
                  <c:y val="-3.4842636010965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B6-4474-912E-EE374058F04A}"/>
                </c:ext>
              </c:extLst>
            </c:dLbl>
            <c:dLbl>
              <c:idx val="4"/>
              <c:layout>
                <c:manualLayout>
                  <c:x val="-1.2931502533244489E-2"/>
                  <c:y val="-2.8791700636350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9B6-4474-912E-EE374058F04A}"/>
                </c:ext>
              </c:extLst>
            </c:dLbl>
            <c:dLbl>
              <c:idx val="5"/>
              <c:layout>
                <c:manualLayout>
                  <c:x val="-1.1558008625127699E-2"/>
                  <c:y val="-2.5116135280502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9B6-4474-912E-EE374058F04A}"/>
                </c:ext>
              </c:extLst>
            </c:dLbl>
            <c:dLbl>
              <c:idx val="6"/>
              <c:layout>
                <c:manualLayout>
                  <c:x val="-3.3203964986610178E-2"/>
                  <c:y val="3.099381504756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60337285425529E-2"/>
                      <c:h val="5.12935409887644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A9B6-4474-912E-EE374058F04A}"/>
                </c:ext>
              </c:extLst>
            </c:dLbl>
            <c:dLbl>
              <c:idx val="7"/>
              <c:layout>
                <c:manualLayout>
                  <c:x val="-2.7485218871730339E-2"/>
                  <c:y val="-3.2255924404003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9B6-4474-912E-EE374058F04A}"/>
                </c:ext>
              </c:extLst>
            </c:dLbl>
            <c:dLbl>
              <c:idx val="8"/>
              <c:layout>
                <c:manualLayout>
                  <c:x val="-2.5129861117536571E-2"/>
                  <c:y val="-3.6435905362741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9B6-4474-912E-EE374058F04A}"/>
                </c:ext>
              </c:extLst>
            </c:dLbl>
            <c:dLbl>
              <c:idx val="9"/>
              <c:layout>
                <c:manualLayout>
                  <c:x val="-2.2712695578152614E-2"/>
                  <c:y val="3.1272741449215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9B6-4474-912E-EE374058F04A}"/>
                </c:ext>
              </c:extLst>
            </c:dLbl>
            <c:dLbl>
              <c:idx val="10"/>
              <c:layout>
                <c:manualLayout>
                  <c:x val="-2.0905443413830903E-2"/>
                  <c:y val="-3.6298772714091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4C-4954-B7BA-1B3D8193EA75}"/>
                </c:ext>
              </c:extLst>
            </c:dLbl>
            <c:dLbl>
              <c:idx val="11"/>
              <c:layout>
                <c:manualLayout>
                  <c:x val="-6.0340929769208329E-3"/>
                  <c:y val="5.62517440810676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DC5-4341-8624-B7AE9C654835}"/>
                </c:ext>
              </c:extLst>
            </c:dLbl>
            <c:dLbl>
              <c:idx val="12"/>
              <c:layout>
                <c:manualLayout>
                  <c:x val="-2.0865741654092492E-2"/>
                  <c:y val="-3.6161982042120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DC5-4341-8624-B7AE9C654835}"/>
                </c:ext>
              </c:extLst>
            </c:dLbl>
            <c:dLbl>
              <c:idx val="13"/>
              <c:layout>
                <c:manualLayout>
                  <c:x val="-1.9109955556378014E-2"/>
                  <c:y val="-4.0179524077894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DC5-4341-8624-B7AE9C654835}"/>
                </c:ext>
              </c:extLst>
            </c:dLbl>
            <c:dLbl>
              <c:idx val="14"/>
              <c:layout>
                <c:manualLayout>
                  <c:x val="-3.1485206534847071E-2"/>
                  <c:y val="-3.7339749727786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DC5-4341-8624-B7AE9C654835}"/>
                </c:ext>
              </c:extLst>
            </c:dLbl>
            <c:dLbl>
              <c:idx val="15"/>
              <c:layout>
                <c:manualLayout>
                  <c:x val="-3.0345401889393674E-2"/>
                  <c:y val="-2.8653542057660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DC5-4341-8624-B7AE9C654835}"/>
                </c:ext>
              </c:extLst>
            </c:dLbl>
            <c:dLbl>
              <c:idx val="16"/>
              <c:layout>
                <c:manualLayout>
                  <c:x val="-2.0413646636984958E-2"/>
                  <c:y val="-2.8653542057660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DC5-4341-8624-B7AE9C654835}"/>
                </c:ext>
              </c:extLst>
            </c:dLbl>
            <c:dLbl>
              <c:idx val="17"/>
              <c:layout>
                <c:manualLayout>
                  <c:x val="-2.2382124991500659E-2"/>
                  <c:y val="3.6493015468289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DC5-4341-8624-B7AE9C654835}"/>
                </c:ext>
              </c:extLst>
            </c:dLbl>
            <c:dLbl>
              <c:idx val="18"/>
              <c:layout>
                <c:manualLayout>
                  <c:x val="-2.489991781330364E-2"/>
                  <c:y val="-3.73397497277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7DC5-4341-8624-B7AE9C654835}"/>
                </c:ext>
              </c:extLst>
            </c:dLbl>
            <c:dLbl>
              <c:idx val="19"/>
              <c:layout>
                <c:manualLayout>
                  <c:x val="-2.2429908742846786E-2"/>
                  <c:y val="-3.7339749727786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DC5-4341-8624-B7AE9C654835}"/>
                </c:ext>
              </c:extLst>
            </c:dLbl>
            <c:dLbl>
              <c:idx val="20"/>
              <c:layout>
                <c:manualLayout>
                  <c:x val="-1.8404621140122125E-2"/>
                  <c:y val="-3.2996645892723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DC5-4341-8624-B7AE9C654835}"/>
                </c:ext>
              </c:extLst>
            </c:dLbl>
            <c:dLbl>
              <c:idx val="21"/>
              <c:layout>
                <c:manualLayout>
                  <c:x val="-3.0778877720670769E-2"/>
                  <c:y val="3.214956965654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809557969240976E-2"/>
                      <c:h val="5.29643222569366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E-7DC5-4341-8624-B7AE9C654835}"/>
                </c:ext>
              </c:extLst>
            </c:dLbl>
            <c:dLbl>
              <c:idx val="22"/>
              <c:layout>
                <c:manualLayout>
                  <c:x val="-2.7438338715298775E-2"/>
                  <c:y val="-4.1682853562849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DC5-4341-8624-B7AE9C654835}"/>
                </c:ext>
              </c:extLst>
            </c:dLbl>
            <c:dLbl>
              <c:idx val="23"/>
              <c:layout>
                <c:manualLayout>
                  <c:x val="-2.5871554539818833E-2"/>
                  <c:y val="-3.7339749727786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DC5-4341-8624-B7AE9C654835}"/>
                </c:ext>
              </c:extLst>
            </c:dLbl>
            <c:dLbl>
              <c:idx val="24"/>
              <c:layout>
                <c:manualLayout>
                  <c:x val="-2.6016944709173512E-2"/>
                  <c:y val="-3.29968168810632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390039817290751E-2"/>
                      <c:h val="7.03367375971897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1-7DC5-4341-8624-B7AE9C654835}"/>
                </c:ext>
              </c:extLst>
            </c:dLbl>
            <c:dLbl>
              <c:idx val="25"/>
              <c:layout>
                <c:manualLayout>
                  <c:x val="-1.820546879938106E-2"/>
                  <c:y val="-3.5168197810254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89916376731978E-2"/>
                      <c:h val="5.730742609199993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2-7DC5-4341-8624-B7AE9C654835}"/>
                </c:ext>
              </c:extLst>
            </c:dLbl>
            <c:dLbl>
              <c:idx val="26"/>
              <c:layout>
                <c:manualLayout>
                  <c:x val="-1.4487352731047884E-2"/>
                  <c:y val="-2.431043822259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85-4BB1-AA39-4F2259CD6BED}"/>
                </c:ext>
              </c:extLst>
            </c:dLbl>
            <c:dLbl>
              <c:idx val="27"/>
              <c:layout>
                <c:manualLayout>
                  <c:x val="-2.0870124633922568E-2"/>
                  <c:y val="-4.6025444432893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801160338562965E-2"/>
                      <c:h val="6.16505299270632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CA9-42EF-9314-3F5807FA0AAA}"/>
                </c:ext>
              </c:extLst>
            </c:dLbl>
            <c:dLbl>
              <c:idx val="28"/>
              <c:layout>
                <c:manualLayout>
                  <c:x val="-2.0300178705163294E-2"/>
                  <c:y val="4.0836119303352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ED-40F7-A435-2BCA796FB967}"/>
                </c:ext>
              </c:extLst>
            </c:dLbl>
            <c:dLbl>
              <c:idx val="29"/>
              <c:layout>
                <c:manualLayout>
                  <c:x val="-4.5649544426334555E-3"/>
                  <c:y val="3.2149911633225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FB-4017-9759-A88CF94724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8'!$B$23:$AE$24</c:f>
              <c:multiLvlStrCache>
                <c:ptCount val="3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  <c:pt idx="24">
                    <c:v>2023</c:v>
                  </c:pt>
                </c:lvl>
              </c:multiLvlStrCache>
            </c:multiLvlStrRef>
          </c:cat>
          <c:val>
            <c:numRef>
              <c:f>'Figura 8'!$B$26:$AE$26</c:f>
              <c:numCache>
                <c:formatCode>#\ ##0.0</c:formatCode>
                <c:ptCount val="30"/>
                <c:pt idx="0">
                  <c:v>105.14366410240868</c:v>
                </c:pt>
                <c:pt idx="1">
                  <c:v>107.56077192573727</c:v>
                </c:pt>
                <c:pt idx="2">
                  <c:v>125.88605526903886</c:v>
                </c:pt>
                <c:pt idx="3">
                  <c:v>196.84765533007069</c:v>
                </c:pt>
                <c:pt idx="4">
                  <c:v>171.05720800538208</c:v>
                </c:pt>
                <c:pt idx="5">
                  <c:v>142.58661575531545</c:v>
                </c:pt>
                <c:pt idx="6">
                  <c:v>113.15935709199938</c:v>
                </c:pt>
                <c:pt idx="7">
                  <c:v>132.58828425602752</c:v>
                </c:pt>
                <c:pt idx="8">
                  <c:v>132.03828597207149</c:v>
                </c:pt>
                <c:pt idx="9">
                  <c:v>131.0476458490858</c:v>
                </c:pt>
                <c:pt idx="10">
                  <c:v>134.15801375299989</c:v>
                </c:pt>
                <c:pt idx="11">
                  <c:v>132.94448949123316</c:v>
                </c:pt>
                <c:pt idx="12">
                  <c:v>155.66316373900662</c:v>
                </c:pt>
                <c:pt idx="13">
                  <c:v>128.31679197795137</c:v>
                </c:pt>
                <c:pt idx="14">
                  <c:v>118.765783058918</c:v>
                </c:pt>
                <c:pt idx="15">
                  <c:v>137.03819786880473</c:v>
                </c:pt>
                <c:pt idx="16">
                  <c:v>137.1454219365863</c:v>
                </c:pt>
                <c:pt idx="17">
                  <c:v>130.31690711002199</c:v>
                </c:pt>
                <c:pt idx="18">
                  <c:v>135.42152646798874</c:v>
                </c:pt>
                <c:pt idx="19">
                  <c:v>135.66145895856928</c:v>
                </c:pt>
                <c:pt idx="20">
                  <c:v>125.76631957631956</c:v>
                </c:pt>
                <c:pt idx="21">
                  <c:v>116.13527069403568</c:v>
                </c:pt>
                <c:pt idx="22">
                  <c:v>122.35541764637607</c:v>
                </c:pt>
                <c:pt idx="23">
                  <c:v>115.85939196955289</c:v>
                </c:pt>
                <c:pt idx="24" formatCode="0.0">
                  <c:v>117.96075072735046</c:v>
                </c:pt>
                <c:pt idx="25" formatCode="0.0">
                  <c:v>112.46174232268726</c:v>
                </c:pt>
                <c:pt idx="26" formatCode="0.0">
                  <c:v>109.73070149283291</c:v>
                </c:pt>
                <c:pt idx="27" formatCode="0.0">
                  <c:v>89.607651676701252</c:v>
                </c:pt>
                <c:pt idx="28" formatCode="0.0">
                  <c:v>91.780546711204167</c:v>
                </c:pt>
                <c:pt idx="29" formatCode="0.0">
                  <c:v>86.566305640625586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7DC5-4341-8624-B7AE9C6548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885504"/>
        <c:axId val="156080896"/>
      </c:lineChart>
      <c:catAx>
        <c:axId val="16488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6080896"/>
        <c:crossesAt val="30"/>
        <c:auto val="1"/>
        <c:lblAlgn val="ctr"/>
        <c:lblOffset val="100"/>
        <c:noMultiLvlLbl val="0"/>
      </c:catAx>
      <c:valAx>
        <c:axId val="156080896"/>
        <c:scaling>
          <c:orientation val="minMax"/>
          <c:max val="240"/>
          <c:min val="30"/>
        </c:scaling>
        <c:delete val="0"/>
        <c:axPos val="l"/>
        <c:numFmt formatCode="#\ 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4885504"/>
        <c:crosses val="autoZero"/>
        <c:crossBetween val="between"/>
        <c:majorUnit val="30"/>
        <c:minorUnit val="6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69144291235897E-2"/>
          <c:y val="0.93370396497048047"/>
          <c:w val="0.93252348122114592"/>
          <c:h val="5.4448278710923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0</xdr:rowOff>
    </xdr:from>
    <xdr:to>
      <xdr:col>13</xdr:col>
      <xdr:colOff>19050</xdr:colOff>
      <xdr:row>19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</xdr:row>
      <xdr:rowOff>0</xdr:rowOff>
    </xdr:from>
    <xdr:to>
      <xdr:col>13</xdr:col>
      <xdr:colOff>19050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0.06059</cdr:x>
      <cdr:y>0.00369</cdr:y>
    </cdr:from>
    <cdr:to>
      <cdr:x>0.20897</cdr:x>
      <cdr:y>0.38923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4152" y="9525"/>
          <a:ext cx="891805" cy="995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123825</xdr:rowOff>
    </xdr:from>
    <xdr:to>
      <xdr:col>20</xdr:col>
      <xdr:colOff>247649</xdr:colOff>
      <xdr:row>21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0.05794</cdr:x>
      <cdr:y>0.00326</cdr:y>
    </cdr:from>
    <cdr:to>
      <cdr:x>0.11287</cdr:x>
      <cdr:y>0.08143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3425" y="9525"/>
          <a:ext cx="695326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9525</xdr:rowOff>
    </xdr:from>
    <xdr:to>
      <xdr:col>7</xdr:col>
      <xdr:colOff>0</xdr:colOff>
      <xdr:row>19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57150</xdr:rowOff>
    </xdr:from>
    <xdr:to>
      <xdr:col>6</xdr:col>
      <xdr:colOff>1000124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0.04545</cdr:x>
      <cdr:y>0</cdr:y>
    </cdr:from>
    <cdr:to>
      <cdr:x>0.21446</cdr:x>
      <cdr:y>0.35688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8384" y="0"/>
          <a:ext cx="1035114" cy="1012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28574</xdr:rowOff>
    </xdr:from>
    <xdr:to>
      <xdr:col>7</xdr:col>
      <xdr:colOff>76200</xdr:colOff>
      <xdr:row>22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2</xdr:row>
      <xdr:rowOff>95251</xdr:rowOff>
    </xdr:from>
    <xdr:to>
      <xdr:col>8</xdr:col>
      <xdr:colOff>66675</xdr:colOff>
      <xdr:row>23</xdr:row>
      <xdr:rowOff>200025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66676</xdr:rowOff>
    </xdr:from>
    <xdr:to>
      <xdr:col>1</xdr:col>
      <xdr:colOff>733424</xdr:colOff>
      <xdr:row>23</xdr:row>
      <xdr:rowOff>190500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BE750AD-0CB5-4061-A52F-83E4C10309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</xdr:row>
      <xdr:rowOff>19049</xdr:rowOff>
    </xdr:from>
    <xdr:to>
      <xdr:col>13</xdr:col>
      <xdr:colOff>9525</xdr:colOff>
      <xdr:row>20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0.04716</cdr:x>
      <cdr:y>0</cdr:y>
    </cdr:from>
    <cdr:to>
      <cdr:x>0.1932</cdr:x>
      <cdr:y>0.32542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milioane dolari SUA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0.03771</cdr:x>
      <cdr:y>0</cdr:y>
    </cdr:from>
    <cdr:to>
      <cdr:x>0.1825</cdr:x>
      <cdr:y>0.35821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19048</xdr:rowOff>
    </xdr:from>
    <xdr:to>
      <xdr:col>6</xdr:col>
      <xdr:colOff>47625</xdr:colOff>
      <xdr:row>24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0.05882</cdr:x>
      <cdr:y>0</cdr:y>
    </cdr:from>
    <cdr:to>
      <cdr:x>0.21569</cdr:x>
      <cdr:y>0.10028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1791" y="0"/>
          <a:ext cx="1098228" cy="3429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2</xdr:row>
      <xdr:rowOff>85724</xdr:rowOff>
    </xdr:from>
    <xdr:to>
      <xdr:col>19</xdr:col>
      <xdr:colOff>228599</xdr:colOff>
      <xdr:row>20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0.05117</cdr:x>
      <cdr:y>2.94081E-7</cdr:y>
    </cdr:from>
    <cdr:to>
      <cdr:x>0.07945</cdr:x>
      <cdr:y>0.06723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533698" y="1"/>
          <a:ext cx="29498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7</xdr:col>
      <xdr:colOff>19050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28575</xdr:rowOff>
    </xdr:from>
    <xdr:to>
      <xdr:col>6</xdr:col>
      <xdr:colOff>1038225</xdr:colOff>
      <xdr:row>19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0.05889</cdr:x>
      <cdr:y>3.72294E-7</cdr:y>
    </cdr:from>
    <cdr:to>
      <cdr:x>0.10817</cdr:x>
      <cdr:y>0.07092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6725" y="1"/>
          <a:ext cx="39052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85725</xdr:rowOff>
    </xdr:from>
    <xdr:to>
      <xdr:col>7</xdr:col>
      <xdr:colOff>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726042</xdr:colOff>
      <xdr:row>2</xdr:row>
      <xdr:rowOff>133350</xdr:rowOff>
    </xdr:from>
    <xdr:to>
      <xdr:col>7</xdr:col>
      <xdr:colOff>323850</xdr:colOff>
      <xdr:row>23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152400</xdr:rowOff>
    </xdr:from>
    <xdr:to>
      <xdr:col>1</xdr:col>
      <xdr:colOff>733424</xdr:colOff>
      <xdr:row>23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C22BED9-C810-45EF-987A-C0626D8FCA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8" displayName="Table18" ref="A27:D33" totalsRowShown="0" headerRowDxfId="8" dataDxfId="6" headerRowBorderDxfId="7" tableBorderDxfId="5" totalsRowBorderDxfId="4">
  <tableColumns count="4">
    <tableColumn id="1" xr3:uid="{00000000-0010-0000-0000-000001000000}" name="Perioada" dataDxfId="3"/>
    <tableColumn id="2" xr3:uid="{00000000-0010-0000-0000-000002000000}" name="Export" dataDxfId="2"/>
    <tableColumn id="4" xr3:uid="{00000000-0010-0000-0000-000004000000}" name="Import" dataDxfId="1"/>
    <tableColumn id="3" xr3:uid="{00000000-0010-0000-0000-000003000000}" name="Balanţa Comercială" dataDxfId="0" dataCellStyle="Normal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31"/>
  <sheetViews>
    <sheetView tabSelected="1" zoomScaleNormal="100" workbookViewId="0">
      <selection activeCell="A2" sqref="A2:M2"/>
    </sheetView>
  </sheetViews>
  <sheetFormatPr defaultRowHeight="12" x14ac:dyDescent="0.2"/>
  <cols>
    <col min="1" max="1" width="9" style="3" customWidth="1"/>
    <col min="2" max="2" width="9.5703125" style="3" customWidth="1"/>
    <col min="3" max="4" width="9.85546875" style="3" customWidth="1"/>
    <col min="5" max="5" width="9.28515625" style="3" customWidth="1"/>
    <col min="6" max="6" width="9.85546875" style="3" customWidth="1"/>
    <col min="7" max="7" width="9.140625" style="3" customWidth="1"/>
    <col min="8" max="8" width="8.7109375" style="3" customWidth="1"/>
    <col min="9" max="9" width="9.140625" style="3" customWidth="1"/>
    <col min="10" max="10" width="11" style="3" customWidth="1"/>
    <col min="11" max="11" width="10.140625" style="3" customWidth="1"/>
    <col min="12" max="12" width="9.85546875" style="3" customWidth="1"/>
    <col min="13" max="13" width="10.42578125" style="3" customWidth="1"/>
    <col min="14" max="14" width="10.140625" style="3" bestFit="1" customWidth="1"/>
    <col min="15" max="15" width="9.28515625" style="3" bestFit="1" customWidth="1"/>
    <col min="16" max="16" width="10.140625" style="3" bestFit="1" customWidth="1"/>
    <col min="17" max="17" width="9.28515625" style="3" bestFit="1" customWidth="1"/>
    <col min="18" max="18" width="10.140625" style="3" bestFit="1" customWidth="1"/>
    <col min="19" max="19" width="9.28515625" style="3" bestFit="1" customWidth="1"/>
    <col min="20" max="20" width="10.140625" style="3" bestFit="1" customWidth="1"/>
    <col min="21" max="21" width="9.28515625" style="3" bestFit="1" customWidth="1"/>
    <col min="22" max="22" width="10.140625" style="3" bestFit="1" customWidth="1"/>
    <col min="23" max="23" width="9.28515625" style="3" bestFit="1" customWidth="1"/>
    <col min="24" max="24" width="10.140625" style="3" bestFit="1" customWidth="1"/>
    <col min="25" max="25" width="9.28515625" style="3" bestFit="1" customWidth="1"/>
    <col min="26" max="16384" width="9.140625" style="3"/>
  </cols>
  <sheetData>
    <row r="2" spans="1:13" ht="12.75" x14ac:dyDescent="0.2">
      <c r="A2" s="140" t="s">
        <v>84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21" x14ac:dyDescent="0.2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21" x14ac:dyDescent="0.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21" x14ac:dyDescent="0.2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1" spans="1:21" x14ac:dyDescent="0.2">
      <c r="A21" s="23" t="s">
        <v>0</v>
      </c>
      <c r="B21" s="37" t="s">
        <v>1</v>
      </c>
      <c r="C21" s="37" t="s">
        <v>2</v>
      </c>
      <c r="D21" s="37" t="s">
        <v>3</v>
      </c>
      <c r="E21" s="37" t="s">
        <v>4</v>
      </c>
      <c r="F21" s="37" t="s">
        <v>5</v>
      </c>
      <c r="G21" s="37" t="s">
        <v>6</v>
      </c>
      <c r="H21" s="37" t="s">
        <v>7</v>
      </c>
      <c r="I21" s="37" t="s">
        <v>8</v>
      </c>
      <c r="J21" s="37" t="s">
        <v>9</v>
      </c>
      <c r="K21" s="37" t="s">
        <v>10</v>
      </c>
      <c r="L21" s="37" t="s">
        <v>11</v>
      </c>
      <c r="M21" s="37" t="s">
        <v>12</v>
      </c>
    </row>
    <row r="22" spans="1:21" x14ac:dyDescent="0.2">
      <c r="A22" s="28">
        <v>2018</v>
      </c>
      <c r="B22" s="33">
        <v>220.3</v>
      </c>
      <c r="C22" s="33">
        <v>215.5</v>
      </c>
      <c r="D22" s="33">
        <v>242.1</v>
      </c>
      <c r="E22" s="33">
        <v>199.7</v>
      </c>
      <c r="F22" s="33">
        <v>223</v>
      </c>
      <c r="G22" s="33">
        <v>214.1</v>
      </c>
      <c r="H22" s="33">
        <v>218.8</v>
      </c>
      <c r="I22" s="33">
        <v>218.6</v>
      </c>
      <c r="J22" s="33">
        <v>207.3</v>
      </c>
      <c r="K22" s="33">
        <v>259</v>
      </c>
      <c r="L22" s="33">
        <v>268.89999999999998</v>
      </c>
      <c r="M22" s="34">
        <v>218.8</v>
      </c>
    </row>
    <row r="23" spans="1:21" x14ac:dyDescent="0.2">
      <c r="A23" s="28">
        <v>2019</v>
      </c>
      <c r="B23" s="33">
        <v>234.3</v>
      </c>
      <c r="C23" s="33">
        <v>241.4</v>
      </c>
      <c r="D23" s="33">
        <v>257.2</v>
      </c>
      <c r="E23" s="33">
        <v>215.6</v>
      </c>
      <c r="F23" s="33">
        <v>210.5</v>
      </c>
      <c r="G23" s="33">
        <v>202.2</v>
      </c>
      <c r="H23" s="33">
        <v>220.2</v>
      </c>
      <c r="I23" s="33">
        <v>205.8</v>
      </c>
      <c r="J23" s="33">
        <v>238.8</v>
      </c>
      <c r="K23" s="33">
        <v>268.3</v>
      </c>
      <c r="L23" s="33">
        <v>266.60000000000002</v>
      </c>
      <c r="M23" s="34">
        <v>218.3</v>
      </c>
    </row>
    <row r="24" spans="1:21" x14ac:dyDescent="0.2">
      <c r="A24" s="28">
        <v>2020</v>
      </c>
      <c r="B24" s="33">
        <v>219.5</v>
      </c>
      <c r="C24" s="33">
        <v>245.3</v>
      </c>
      <c r="D24" s="33">
        <v>210.2</v>
      </c>
      <c r="E24" s="33">
        <v>149.80000000000001</v>
      </c>
      <c r="F24" s="33">
        <v>155.69999999999999</v>
      </c>
      <c r="G24" s="33">
        <v>189.6</v>
      </c>
      <c r="H24" s="33">
        <v>191.1</v>
      </c>
      <c r="I24" s="33">
        <v>163.9</v>
      </c>
      <c r="J24" s="33">
        <v>212.3</v>
      </c>
      <c r="K24" s="33">
        <v>249.4</v>
      </c>
      <c r="L24" s="33">
        <v>262</v>
      </c>
      <c r="M24" s="34">
        <v>218.3</v>
      </c>
    </row>
    <row r="25" spans="1:21" x14ac:dyDescent="0.2">
      <c r="A25" s="28">
        <v>2021</v>
      </c>
      <c r="B25" s="33">
        <v>198.4</v>
      </c>
      <c r="C25" s="33">
        <v>227</v>
      </c>
      <c r="D25" s="33">
        <v>259.3</v>
      </c>
      <c r="E25" s="33">
        <v>218.2</v>
      </c>
      <c r="F25" s="33">
        <v>201.7</v>
      </c>
      <c r="G25" s="33">
        <v>226.8</v>
      </c>
      <c r="H25" s="33">
        <v>240.7</v>
      </c>
      <c r="I25" s="33">
        <v>236.3</v>
      </c>
      <c r="J25" s="33">
        <v>294.89999999999998</v>
      </c>
      <c r="K25" s="15">
        <v>352.2</v>
      </c>
      <c r="L25" s="33">
        <v>363.9</v>
      </c>
      <c r="M25" s="34">
        <v>325</v>
      </c>
    </row>
    <row r="26" spans="1:21" x14ac:dyDescent="0.2">
      <c r="A26" s="28">
        <v>2022</v>
      </c>
      <c r="B26" s="33">
        <v>330.4</v>
      </c>
      <c r="C26" s="33">
        <v>336.5</v>
      </c>
      <c r="D26" s="33">
        <v>395.8</v>
      </c>
      <c r="E26" s="33">
        <v>396.3</v>
      </c>
      <c r="F26" s="33">
        <v>416</v>
      </c>
      <c r="G26" s="33">
        <v>416.4</v>
      </c>
      <c r="H26" s="33">
        <v>338.2</v>
      </c>
      <c r="I26" s="33">
        <v>329.4</v>
      </c>
      <c r="J26" s="33">
        <v>318.8</v>
      </c>
      <c r="K26" s="33">
        <v>352</v>
      </c>
      <c r="L26" s="33">
        <v>355.8</v>
      </c>
      <c r="M26" s="34">
        <v>349.5</v>
      </c>
    </row>
    <row r="27" spans="1:21" x14ac:dyDescent="0.2">
      <c r="A27" s="29">
        <v>2023</v>
      </c>
      <c r="B27" s="10">
        <v>331.1</v>
      </c>
      <c r="C27" s="10">
        <v>356</v>
      </c>
      <c r="D27" s="10">
        <v>384.9</v>
      </c>
      <c r="E27" s="10">
        <v>317.10000000000002</v>
      </c>
      <c r="F27" s="35">
        <v>336.5</v>
      </c>
      <c r="G27" s="35">
        <v>316.60000000000002</v>
      </c>
      <c r="H27" s="35"/>
      <c r="I27" s="35"/>
      <c r="J27" s="35"/>
      <c r="K27" s="35"/>
      <c r="L27" s="35"/>
      <c r="M27" s="36"/>
    </row>
    <row r="28" spans="1:21" x14ac:dyDescent="0.2">
      <c r="D28" s="6"/>
      <c r="E28" s="6"/>
    </row>
    <row r="31" spans="1:21" ht="15.75" x14ac:dyDescent="0.25">
      <c r="B31" s="42"/>
      <c r="C31" s="42"/>
      <c r="D31" s="42"/>
      <c r="E31" s="42"/>
      <c r="F31" s="42"/>
      <c r="G31" s="42"/>
      <c r="H31" s="42"/>
      <c r="I31" s="46"/>
      <c r="J31" s="43"/>
      <c r="K31" s="42"/>
      <c r="L31" s="42"/>
      <c r="M31" s="42"/>
      <c r="N31" s="42"/>
      <c r="O31" s="46"/>
      <c r="P31" s="42"/>
      <c r="Q31" s="42"/>
      <c r="R31" s="43"/>
      <c r="S31" s="42"/>
      <c r="T31" s="44"/>
      <c r="U31" s="45"/>
    </row>
  </sheetData>
  <mergeCells count="1">
    <mergeCell ref="A2:M2"/>
  </mergeCells>
  <pageMargins left="0.7" right="0.7" top="0.75" bottom="0.75" header="0.3" footer="0.3"/>
  <pageSetup paperSize="9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41"/>
  <sheetViews>
    <sheetView workbookViewId="0">
      <selection activeCell="A2" sqref="A2:G2"/>
    </sheetView>
  </sheetViews>
  <sheetFormatPr defaultRowHeight="12" x14ac:dyDescent="0.2"/>
  <cols>
    <col min="1" max="1" width="24" style="3" customWidth="1"/>
    <col min="2" max="2" width="14.28515625" style="3" customWidth="1"/>
    <col min="3" max="3" width="14.85546875" style="3" customWidth="1"/>
    <col min="4" max="4" width="14.5703125" style="3" customWidth="1"/>
    <col min="5" max="5" width="14.140625" style="3" customWidth="1"/>
    <col min="6" max="6" width="14.5703125" style="3" customWidth="1"/>
    <col min="7" max="7" width="14.7109375" style="3" customWidth="1"/>
    <col min="8" max="16384" width="9.140625" style="3"/>
  </cols>
  <sheetData>
    <row r="2" spans="1:13" ht="12.75" x14ac:dyDescent="0.2">
      <c r="A2" s="146" t="s">
        <v>112</v>
      </c>
      <c r="B2" s="146"/>
      <c r="C2" s="146"/>
      <c r="D2" s="146"/>
      <c r="E2" s="146"/>
      <c r="F2" s="146"/>
      <c r="G2" s="146"/>
      <c r="H2" s="39"/>
      <c r="I2" s="39"/>
      <c r="J2" s="39"/>
      <c r="K2" s="39"/>
      <c r="L2" s="39"/>
      <c r="M2" s="39"/>
    </row>
    <row r="3" spans="1:13" ht="16.5" customHeight="1" x14ac:dyDescent="0.2">
      <c r="A3" s="4"/>
      <c r="B3" s="4"/>
      <c r="C3" s="4"/>
      <c r="D3" s="4"/>
      <c r="E3" s="4"/>
      <c r="F3" s="4"/>
      <c r="G3" s="4"/>
    </row>
    <row r="4" spans="1:13" ht="16.5" customHeight="1" x14ac:dyDescent="0.2">
      <c r="A4" s="4"/>
      <c r="B4" s="4"/>
      <c r="C4" s="4"/>
      <c r="D4" s="4"/>
      <c r="E4" s="4"/>
      <c r="F4" s="4"/>
      <c r="G4" s="4"/>
    </row>
    <row r="5" spans="1:13" ht="16.5" customHeight="1" x14ac:dyDescent="0.2">
      <c r="A5" s="4"/>
      <c r="B5" s="4"/>
      <c r="C5" s="4"/>
      <c r="D5" s="4"/>
      <c r="E5" s="4"/>
      <c r="F5" s="4"/>
      <c r="G5" s="4"/>
    </row>
    <row r="6" spans="1:13" ht="16.5" customHeight="1" x14ac:dyDescent="0.2">
      <c r="A6" s="4"/>
      <c r="B6" s="4"/>
      <c r="C6" s="4"/>
      <c r="D6" s="4"/>
      <c r="E6" s="4"/>
      <c r="F6" s="4"/>
      <c r="G6" s="4"/>
    </row>
    <row r="7" spans="1:13" ht="16.5" customHeight="1" x14ac:dyDescent="0.2">
      <c r="A7" s="4"/>
      <c r="B7" s="4"/>
      <c r="C7" s="4"/>
      <c r="D7" s="4"/>
      <c r="E7" s="4"/>
      <c r="F7" s="4"/>
      <c r="G7" s="4"/>
    </row>
    <row r="8" spans="1:13" ht="16.5" customHeight="1" x14ac:dyDescent="0.2">
      <c r="A8" s="4"/>
      <c r="B8" s="4"/>
      <c r="C8" s="4"/>
      <c r="D8" s="4"/>
      <c r="E8" s="4"/>
      <c r="F8" s="4"/>
      <c r="G8" s="4"/>
    </row>
    <row r="9" spans="1:13" ht="16.5" customHeight="1" x14ac:dyDescent="0.2">
      <c r="A9" s="4"/>
      <c r="B9" s="4"/>
      <c r="C9" s="4"/>
      <c r="D9" s="4"/>
      <c r="E9" s="4"/>
      <c r="F9" s="4"/>
      <c r="G9" s="4"/>
    </row>
    <row r="10" spans="1:13" ht="16.5" customHeight="1" x14ac:dyDescent="0.2">
      <c r="A10" s="4"/>
      <c r="B10" s="4"/>
      <c r="C10" s="4"/>
      <c r="D10" s="4"/>
      <c r="E10" s="4"/>
      <c r="F10" s="4"/>
      <c r="G10" s="4"/>
    </row>
    <row r="11" spans="1:13" ht="16.5" customHeight="1" x14ac:dyDescent="0.2">
      <c r="A11" s="4"/>
      <c r="B11" s="4"/>
      <c r="C11" s="4"/>
      <c r="D11" s="4"/>
      <c r="E11" s="4"/>
      <c r="F11" s="4"/>
      <c r="G11" s="4"/>
    </row>
    <row r="12" spans="1:13" ht="16.5" customHeight="1" x14ac:dyDescent="0.2">
      <c r="A12" s="4"/>
      <c r="B12" s="4"/>
      <c r="C12" s="4"/>
      <c r="D12" s="4"/>
      <c r="E12" s="4"/>
      <c r="F12" s="4"/>
      <c r="G12" s="4"/>
    </row>
    <row r="13" spans="1:13" ht="16.5" customHeight="1" x14ac:dyDescent="0.2">
      <c r="A13" s="4"/>
      <c r="B13" s="4"/>
      <c r="C13" s="4"/>
      <c r="D13" s="4"/>
      <c r="E13" s="4"/>
      <c r="F13" s="4"/>
      <c r="G13" s="4"/>
    </row>
    <row r="14" spans="1:13" ht="16.5" customHeight="1" x14ac:dyDescent="0.2">
      <c r="A14" s="4"/>
      <c r="B14" s="4"/>
      <c r="C14" s="4"/>
      <c r="D14" s="4"/>
      <c r="E14" s="4"/>
      <c r="F14" s="4"/>
      <c r="G14" s="4"/>
    </row>
    <row r="15" spans="1:13" ht="16.5" customHeight="1" x14ac:dyDescent="0.2">
      <c r="A15" s="4"/>
      <c r="B15" s="4"/>
      <c r="C15" s="4"/>
      <c r="D15" s="4"/>
      <c r="E15" s="4"/>
      <c r="F15" s="4"/>
      <c r="G15" s="4"/>
    </row>
    <row r="16" spans="1:13" ht="16.5" customHeight="1" x14ac:dyDescent="0.2">
      <c r="A16" s="4"/>
      <c r="B16" s="4"/>
      <c r="C16" s="4"/>
      <c r="D16" s="4"/>
      <c r="E16" s="4"/>
      <c r="F16" s="4"/>
      <c r="G16" s="4"/>
    </row>
    <row r="17" spans="1:7" ht="16.5" customHeight="1" x14ac:dyDescent="0.2">
      <c r="A17" s="4"/>
      <c r="B17" s="4"/>
      <c r="C17" s="4"/>
      <c r="D17" s="4"/>
      <c r="E17" s="4"/>
      <c r="F17" s="4"/>
      <c r="G17" s="4"/>
    </row>
    <row r="18" spans="1:7" ht="16.5" customHeight="1" x14ac:dyDescent="0.2">
      <c r="A18" s="4"/>
      <c r="B18" s="4"/>
      <c r="C18" s="4"/>
      <c r="D18" s="4"/>
      <c r="E18" s="4"/>
      <c r="F18" s="4"/>
      <c r="G18" s="4"/>
    </row>
    <row r="19" spans="1:7" ht="16.5" customHeight="1" x14ac:dyDescent="0.2">
      <c r="A19" s="4"/>
      <c r="B19" s="4"/>
      <c r="C19" s="4"/>
      <c r="D19" s="4"/>
      <c r="E19" s="4"/>
      <c r="F19" s="4"/>
      <c r="G19" s="4"/>
    </row>
    <row r="20" spans="1:7" ht="16.5" customHeight="1" x14ac:dyDescent="0.2">
      <c r="A20" s="4"/>
      <c r="B20" s="4"/>
      <c r="C20" s="4"/>
      <c r="D20" s="4"/>
      <c r="E20" s="4"/>
      <c r="F20" s="4"/>
      <c r="G20" s="4"/>
    </row>
    <row r="21" spans="1:7" ht="16.5" customHeight="1" x14ac:dyDescent="0.2">
      <c r="A21" s="2"/>
      <c r="B21" s="2"/>
      <c r="C21" s="2"/>
      <c r="D21" s="2"/>
      <c r="E21" s="2"/>
      <c r="F21" s="2"/>
      <c r="G21" s="2"/>
    </row>
    <row r="22" spans="1:7" ht="16.5" customHeight="1" x14ac:dyDescent="0.2">
      <c r="A22" s="2"/>
      <c r="B22" s="2"/>
      <c r="C22" s="2"/>
      <c r="D22" s="2"/>
      <c r="E22" s="2"/>
      <c r="F22" s="2"/>
      <c r="G22" s="2"/>
    </row>
    <row r="23" spans="1:7" ht="27.75" customHeight="1" x14ac:dyDescent="0.2">
      <c r="A23" s="38" t="s">
        <v>25</v>
      </c>
      <c r="B23" s="24" t="s">
        <v>93</v>
      </c>
      <c r="C23" s="24" t="s">
        <v>94</v>
      </c>
      <c r="D23" s="24" t="s">
        <v>95</v>
      </c>
      <c r="E23" s="24" t="s">
        <v>96</v>
      </c>
      <c r="F23" s="24" t="s">
        <v>97</v>
      </c>
      <c r="G23" s="24" t="s">
        <v>98</v>
      </c>
    </row>
    <row r="24" spans="1:7" x14ac:dyDescent="0.2">
      <c r="A24" s="30" t="s">
        <v>26</v>
      </c>
      <c r="B24" s="98">
        <v>7.6</v>
      </c>
      <c r="C24" s="79">
        <v>6.8</v>
      </c>
      <c r="D24" s="79">
        <v>1.9</v>
      </c>
      <c r="E24" s="79">
        <v>1.7</v>
      </c>
      <c r="F24" s="79">
        <v>2.1</v>
      </c>
      <c r="G24" s="77">
        <v>2.7</v>
      </c>
    </row>
    <row r="25" spans="1:7" x14ac:dyDescent="0.2">
      <c r="A25" s="31" t="s">
        <v>27</v>
      </c>
      <c r="B25" s="110">
        <v>4.2</v>
      </c>
      <c r="C25" s="88">
        <v>4.9000000000000004</v>
      </c>
      <c r="D25" s="88">
        <v>4.7</v>
      </c>
      <c r="E25" s="88">
        <v>4</v>
      </c>
      <c r="F25" s="88">
        <v>4.5999999999999996</v>
      </c>
      <c r="G25" s="82">
        <v>5.2</v>
      </c>
    </row>
    <row r="26" spans="1:7" x14ac:dyDescent="0.2">
      <c r="A26" s="31" t="s">
        <v>28</v>
      </c>
      <c r="B26" s="110">
        <v>77.2</v>
      </c>
      <c r="C26" s="88">
        <v>76.400000000000006</v>
      </c>
      <c r="D26" s="88">
        <v>86.6</v>
      </c>
      <c r="E26" s="88">
        <v>86.6</v>
      </c>
      <c r="F26" s="88">
        <v>83.8</v>
      </c>
      <c r="G26" s="82">
        <v>83.4</v>
      </c>
    </row>
    <row r="27" spans="1:7" x14ac:dyDescent="0.2">
      <c r="A27" s="31" t="s">
        <v>29</v>
      </c>
      <c r="B27" s="110">
        <v>1.7</v>
      </c>
      <c r="C27" s="88">
        <v>1.6</v>
      </c>
      <c r="D27" s="88">
        <v>2.4</v>
      </c>
      <c r="E27" s="88">
        <v>2.4</v>
      </c>
      <c r="F27" s="88">
        <v>2.6</v>
      </c>
      <c r="G27" s="82">
        <v>2.6</v>
      </c>
    </row>
    <row r="28" spans="1:7" x14ac:dyDescent="0.2">
      <c r="A28" s="31" t="s">
        <v>45</v>
      </c>
      <c r="B28" s="110">
        <v>0.1</v>
      </c>
      <c r="C28" s="88">
        <v>0.1</v>
      </c>
      <c r="D28" s="88">
        <v>0.2</v>
      </c>
      <c r="E28" s="88">
        <v>0.2</v>
      </c>
      <c r="F28" s="88">
        <v>0.2</v>
      </c>
      <c r="G28" s="82">
        <v>0.3</v>
      </c>
    </row>
    <row r="29" spans="1:7" x14ac:dyDescent="0.2">
      <c r="A29" s="31" t="s">
        <v>46</v>
      </c>
      <c r="B29" s="110">
        <v>8.5</v>
      </c>
      <c r="C29" s="88">
        <v>9.6999999999999993</v>
      </c>
      <c r="D29" s="88">
        <v>3.6</v>
      </c>
      <c r="E29" s="88">
        <v>4.7</v>
      </c>
      <c r="F29" s="88">
        <v>6</v>
      </c>
      <c r="G29" s="82">
        <v>5.2</v>
      </c>
    </row>
    <row r="30" spans="1:7" x14ac:dyDescent="0.2">
      <c r="A30" s="32" t="s">
        <v>47</v>
      </c>
      <c r="B30" s="99">
        <v>0.7</v>
      </c>
      <c r="C30" s="78">
        <v>0.5</v>
      </c>
      <c r="D30" s="78">
        <v>0.6</v>
      </c>
      <c r="E30" s="78">
        <v>0.4</v>
      </c>
      <c r="F30" s="78">
        <v>0.7</v>
      </c>
      <c r="G30" s="108">
        <v>0.6</v>
      </c>
    </row>
    <row r="35" spans="2:7" ht="15" x14ac:dyDescent="0.2">
      <c r="B35" s="50"/>
      <c r="C35" s="50"/>
      <c r="D35" s="51"/>
      <c r="E35" s="51"/>
      <c r="F35" s="51"/>
      <c r="G35" s="51"/>
    </row>
    <row r="36" spans="2:7" ht="15" x14ac:dyDescent="0.2">
      <c r="B36" s="50"/>
      <c r="C36" s="50"/>
      <c r="D36" s="51"/>
      <c r="E36" s="51"/>
      <c r="F36" s="51"/>
      <c r="G36" s="51"/>
    </row>
    <row r="37" spans="2:7" ht="15" x14ac:dyDescent="0.2">
      <c r="B37" s="50"/>
      <c r="C37" s="50"/>
      <c r="D37" s="51"/>
      <c r="E37" s="51"/>
      <c r="F37" s="51"/>
      <c r="G37" s="51"/>
    </row>
    <row r="38" spans="2:7" ht="15" x14ac:dyDescent="0.2">
      <c r="B38" s="50"/>
      <c r="C38" s="50"/>
      <c r="D38" s="51"/>
      <c r="E38" s="51"/>
      <c r="F38" s="51"/>
      <c r="G38" s="51"/>
    </row>
    <row r="39" spans="2:7" ht="15" x14ac:dyDescent="0.2">
      <c r="B39" s="50"/>
      <c r="C39" s="50"/>
      <c r="D39" s="51"/>
      <c r="E39" s="51"/>
      <c r="F39" s="51"/>
      <c r="G39" s="51"/>
    </row>
    <row r="40" spans="2:7" ht="15" x14ac:dyDescent="0.2">
      <c r="B40" s="50"/>
      <c r="C40" s="50"/>
      <c r="D40" s="51"/>
      <c r="E40" s="51"/>
      <c r="F40" s="51"/>
      <c r="G40" s="51"/>
    </row>
    <row r="41" spans="2:7" ht="15" x14ac:dyDescent="0.2">
      <c r="B41" s="50"/>
      <c r="C41" s="50"/>
      <c r="D41" s="51"/>
      <c r="E41" s="51"/>
      <c r="F41" s="51"/>
      <c r="G41" s="51"/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M32"/>
  <sheetViews>
    <sheetView workbookViewId="0">
      <selection activeCell="A2" sqref="A2:G2"/>
    </sheetView>
  </sheetViews>
  <sheetFormatPr defaultRowHeight="12" x14ac:dyDescent="0.2"/>
  <cols>
    <col min="1" max="1" width="26.42578125" style="3" bestFit="1" customWidth="1"/>
    <col min="2" max="2" width="14.85546875" style="3" customWidth="1"/>
    <col min="3" max="3" width="15.140625" style="3" customWidth="1"/>
    <col min="4" max="4" width="14.85546875" style="3" customWidth="1"/>
    <col min="5" max="6" width="14.5703125" style="3" customWidth="1"/>
    <col min="7" max="7" width="14.85546875" style="3" customWidth="1"/>
    <col min="8" max="16384" width="9.140625" style="3"/>
  </cols>
  <sheetData>
    <row r="2" spans="1:13" ht="12.75" x14ac:dyDescent="0.2">
      <c r="A2" s="153" t="s">
        <v>113</v>
      </c>
      <c r="B2" s="153"/>
      <c r="C2" s="153"/>
      <c r="D2" s="153"/>
      <c r="E2" s="153"/>
      <c r="F2" s="153"/>
      <c r="G2" s="153"/>
    </row>
    <row r="3" spans="1:13" x14ac:dyDescent="0.2">
      <c r="A3" s="40"/>
      <c r="B3" s="40"/>
      <c r="C3" s="40"/>
      <c r="D3" s="40"/>
      <c r="E3" s="40"/>
      <c r="F3" s="40"/>
      <c r="G3" s="40"/>
      <c r="H3" s="39"/>
      <c r="I3" s="39"/>
      <c r="J3" s="39"/>
      <c r="K3" s="39"/>
      <c r="L3" s="39"/>
      <c r="M3" s="39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5"/>
    </row>
    <row r="20" spans="1:7" x14ac:dyDescent="0.2">
      <c r="A20" s="5"/>
    </row>
    <row r="21" spans="1:7" x14ac:dyDescent="0.2">
      <c r="A21" s="5"/>
    </row>
    <row r="22" spans="1:7" ht="29.25" customHeight="1" x14ac:dyDescent="0.2">
      <c r="A22" s="20"/>
      <c r="B22" s="9" t="s">
        <v>98</v>
      </c>
      <c r="C22" s="9" t="s">
        <v>97</v>
      </c>
      <c r="D22" s="9" t="s">
        <v>96</v>
      </c>
      <c r="E22" s="9" t="s">
        <v>95</v>
      </c>
      <c r="F22" s="9" t="s">
        <v>94</v>
      </c>
      <c r="G22" s="9" t="s">
        <v>93</v>
      </c>
    </row>
    <row r="23" spans="1:7" ht="15" customHeight="1" x14ac:dyDescent="0.2">
      <c r="A23" s="16" t="s">
        <v>48</v>
      </c>
      <c r="B23" s="98">
        <v>50</v>
      </c>
      <c r="C23" s="79">
        <v>49</v>
      </c>
      <c r="D23" s="79">
        <v>46.7</v>
      </c>
      <c r="E23" s="79">
        <v>47.4</v>
      </c>
      <c r="F23" s="79">
        <v>45.9</v>
      </c>
      <c r="G23" s="77">
        <v>48.3</v>
      </c>
    </row>
    <row r="24" spans="1:7" ht="15" customHeight="1" x14ac:dyDescent="0.2">
      <c r="A24" s="17" t="s">
        <v>49</v>
      </c>
      <c r="B24" s="110">
        <v>23.3</v>
      </c>
      <c r="C24" s="88">
        <v>24.8</v>
      </c>
      <c r="D24" s="88">
        <v>24.5</v>
      </c>
      <c r="E24" s="88">
        <v>22.7</v>
      </c>
      <c r="F24" s="88">
        <v>26.5</v>
      </c>
      <c r="G24" s="82">
        <v>20.399999999999999</v>
      </c>
    </row>
    <row r="25" spans="1:7" ht="15.75" customHeight="1" x14ac:dyDescent="0.2">
      <c r="A25" s="18" t="s">
        <v>50</v>
      </c>
      <c r="B25" s="99">
        <v>26.7</v>
      </c>
      <c r="C25" s="78">
        <v>26.2</v>
      </c>
      <c r="D25" s="78">
        <v>28.8</v>
      </c>
      <c r="E25" s="78">
        <v>29.9</v>
      </c>
      <c r="F25" s="78">
        <v>27.6</v>
      </c>
      <c r="G25" s="108">
        <v>31.3</v>
      </c>
    </row>
    <row r="26" spans="1:7" x14ac:dyDescent="0.2">
      <c r="G26" s="6"/>
    </row>
    <row r="30" spans="1:7" ht="15.75" x14ac:dyDescent="0.2">
      <c r="B30" s="53"/>
      <c r="C30" s="53"/>
      <c r="D30" s="53"/>
      <c r="E30" s="53"/>
      <c r="F30" s="53"/>
      <c r="G30" s="53"/>
    </row>
    <row r="31" spans="1:7" ht="15.75" x14ac:dyDescent="0.2">
      <c r="B31" s="53"/>
      <c r="C31" s="53"/>
      <c r="D31" s="53"/>
      <c r="E31" s="53"/>
      <c r="F31" s="53"/>
      <c r="G31" s="53"/>
    </row>
    <row r="32" spans="1:7" ht="15.75" x14ac:dyDescent="0.2">
      <c r="B32" s="53"/>
      <c r="C32" s="53"/>
      <c r="D32" s="53"/>
      <c r="E32" s="53"/>
      <c r="F32" s="53"/>
      <c r="G32" s="53"/>
    </row>
  </sheetData>
  <mergeCells count="1">
    <mergeCell ref="A2:G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49"/>
  <sheetViews>
    <sheetView workbookViewId="0">
      <selection activeCell="A2" sqref="A2:G2"/>
    </sheetView>
  </sheetViews>
  <sheetFormatPr defaultRowHeight="12" x14ac:dyDescent="0.2"/>
  <cols>
    <col min="1" max="1" width="22.85546875" style="3" customWidth="1"/>
    <col min="2" max="2" width="14.85546875" style="3" customWidth="1"/>
    <col min="3" max="3" width="14.42578125" style="3" customWidth="1"/>
    <col min="4" max="4" width="14.85546875" style="3" customWidth="1"/>
    <col min="5" max="5" width="14.28515625" style="3" customWidth="1"/>
    <col min="6" max="6" width="14.85546875" style="3" customWidth="1"/>
    <col min="7" max="7" width="14.42578125" style="3" customWidth="1"/>
    <col min="8" max="16384" width="9.140625" style="3"/>
  </cols>
  <sheetData>
    <row r="2" spans="1:10" ht="13.5" customHeight="1" x14ac:dyDescent="0.2">
      <c r="A2" s="146" t="s">
        <v>114</v>
      </c>
      <c r="B2" s="146"/>
      <c r="C2" s="146"/>
      <c r="D2" s="146"/>
      <c r="E2" s="146"/>
      <c r="F2" s="146"/>
      <c r="G2" s="146"/>
      <c r="H2" s="39"/>
      <c r="I2" s="39"/>
      <c r="J2" s="39"/>
    </row>
    <row r="3" spans="1:10" ht="15" customHeight="1" x14ac:dyDescent="0.2"/>
    <row r="4" spans="1:10" ht="13.5" customHeight="1" x14ac:dyDescent="0.2"/>
    <row r="5" spans="1:10" ht="13.5" customHeight="1" x14ac:dyDescent="0.2"/>
    <row r="6" spans="1:10" ht="15" customHeight="1" x14ac:dyDescent="0.2"/>
    <row r="7" spans="1:10" ht="15.75" customHeight="1" x14ac:dyDescent="0.2"/>
    <row r="8" spans="1:10" ht="16.5" customHeight="1" x14ac:dyDescent="0.2"/>
    <row r="9" spans="1:10" ht="13.5" customHeight="1" x14ac:dyDescent="0.2"/>
    <row r="10" spans="1:10" ht="14.25" customHeight="1" x14ac:dyDescent="0.2"/>
    <row r="11" spans="1:10" ht="16.5" customHeight="1" x14ac:dyDescent="0.2"/>
    <row r="12" spans="1:10" ht="17.25" customHeight="1" x14ac:dyDescent="0.2"/>
    <row r="13" spans="1:10" ht="21.75" customHeight="1" x14ac:dyDescent="0.2"/>
    <row r="17" spans="1:7" ht="15.75" customHeight="1" x14ac:dyDescent="0.2"/>
    <row r="24" spans="1:7" ht="26.25" customHeight="1" x14ac:dyDescent="0.2">
      <c r="A24" s="37"/>
      <c r="B24" s="9" t="s">
        <v>98</v>
      </c>
      <c r="C24" s="9" t="s">
        <v>97</v>
      </c>
      <c r="D24" s="9" t="s">
        <v>96</v>
      </c>
      <c r="E24" s="9" t="s">
        <v>95</v>
      </c>
      <c r="F24" s="9" t="s">
        <v>94</v>
      </c>
      <c r="G24" s="9" t="s">
        <v>93</v>
      </c>
    </row>
    <row r="25" spans="1:7" x14ac:dyDescent="0.2">
      <c r="A25" s="132" t="s">
        <v>33</v>
      </c>
      <c r="B25" s="15">
        <f>IF(OR(386686.37272="",386686.37272="***"),"-",386686.37272/2734888.97913*100)</f>
        <v>14.139015355680339</v>
      </c>
      <c r="C25" s="15">
        <f>IF(398735.55201="","-",398735.55201/2808282.38613*100)</f>
        <v>14.198556170110946</v>
      </c>
      <c r="D25" s="15">
        <f>IF(294046.1009="","-",294046.1009/2393616.81978*100)</f>
        <v>12.284593693949148</v>
      </c>
      <c r="E25" s="15">
        <f>IF(420001.61284="","-",420001.61284/3266113.78787*100)</f>
        <v>12.859368660082863</v>
      </c>
      <c r="F25" s="15">
        <f>IF(702468.90888="","-",702468.90888/4350574.54459*100)</f>
        <v>16.146577921611062</v>
      </c>
      <c r="G25" s="11">
        <f>IF(680751.00253="","-",680751.00253/4371623.60554*100)</f>
        <v>15.572040595336457</v>
      </c>
    </row>
    <row r="26" spans="1:7" x14ac:dyDescent="0.2">
      <c r="A26" s="132" t="s">
        <v>38</v>
      </c>
      <c r="B26" s="15">
        <f>IF(OR(255762.11953="",255762.11953="***"),"-",255762.11953/2734888.97913*100)</f>
        <v>9.3518282270953801</v>
      </c>
      <c r="C26" s="15">
        <f>IF(272340.70528="","-",272340.70528/2808282.38613*100)</f>
        <v>9.6977678108540779</v>
      </c>
      <c r="D26" s="15">
        <f>IF(228665.84046="","-",228665.84046/2393616.81978*100)</f>
        <v>9.5531514722986</v>
      </c>
      <c r="E26" s="15">
        <f>IF(294944.22176="","-",294944.22176/3266113.78787*100)</f>
        <v>9.030433136022129</v>
      </c>
      <c r="F26" s="15">
        <f>IF(399831.02461="","-",399831.02461/4350574.54459*100)</f>
        <v>9.190303958983888</v>
      </c>
      <c r="G26" s="124">
        <f>IF(570163.79871="","-",570163.79871/4371623.60554*100)</f>
        <v>13.042380821337229</v>
      </c>
    </row>
    <row r="27" spans="1:7" x14ac:dyDescent="0.2">
      <c r="A27" s="132" t="s">
        <v>103</v>
      </c>
      <c r="B27" s="15">
        <f>IF(OR(285619.72909="",285619.72909="***"),"-",285619.72909/2734888.97913*100)</f>
        <v>10.443558450436951</v>
      </c>
      <c r="C27" s="15">
        <f>IF(277937.81489="","-",277937.81489/2808282.38613*100)</f>
        <v>9.89707503286437</v>
      </c>
      <c r="D27" s="15">
        <f>IF(262582.07315="","-",262582.07315/2393616.81978*100)</f>
        <v>10.970096423960381</v>
      </c>
      <c r="E27" s="15">
        <f>IF(384609.0143="","-",384609.0143/3266113.78787*100)</f>
        <v>11.775738363078379</v>
      </c>
      <c r="F27" s="15">
        <f>IF(409673.54672="","-",409673.54672/4350574.54459*100)</f>
        <v>9.416538954135028</v>
      </c>
      <c r="G27" s="124">
        <f>IF(460011.87349="","-",460011.87349/4371623.60554*100)</f>
        <v>10.522677956698827</v>
      </c>
    </row>
    <row r="28" spans="1:7" x14ac:dyDescent="0.2">
      <c r="A28" s="132" t="s">
        <v>35</v>
      </c>
      <c r="B28" s="15">
        <f>IF(OR(161328.19409="",161328.19409="***"),"-",161328.19409/2734888.97913*100)</f>
        <v>5.8988937145565741</v>
      </c>
      <c r="C28" s="15">
        <f>IF(181709.29785="","-",181709.29785/2808282.38613*100)</f>
        <v>6.4704781380766878</v>
      </c>
      <c r="D28" s="15">
        <f>IF(163423.44539="","-",163423.44539/2393616.81978*100)</f>
        <v>6.8274689599240208</v>
      </c>
      <c r="E28" s="15">
        <f>IF(234474.46346="","-",234474.46346/3266113.78787*100)</f>
        <v>7.1790047343363623</v>
      </c>
      <c r="F28" s="15">
        <f>IF(308245.26002="","-",308245.26002/4350574.54459*100)</f>
        <v>7.0851621288343924</v>
      </c>
      <c r="G28" s="124">
        <f>IF(377210.39116="","-",377210.39116/4371623.60554*100)</f>
        <v>8.6286109051560373</v>
      </c>
    </row>
    <row r="29" spans="1:7" x14ac:dyDescent="0.2">
      <c r="A29" s="132" t="s">
        <v>34</v>
      </c>
      <c r="B29" s="15">
        <f>IF(OR(235960.24867="",235960.24867="***"),"-",235960.24867/2734888.97913*100)</f>
        <v>8.6277816200444715</v>
      </c>
      <c r="C29" s="15">
        <f>IF(238032.18999="","-",238032.18999/2808282.38613*100)</f>
        <v>8.4760774473974543</v>
      </c>
      <c r="D29" s="15">
        <f>IF(197851.2621="","-",197851.2621/2393616.81978*100)</f>
        <v>8.2657867568872092</v>
      </c>
      <c r="E29" s="15">
        <f>IF(271859.44526="","-",271859.44526/3266113.78787*100)</f>
        <v>8.3236366800708872</v>
      </c>
      <c r="F29" s="15">
        <f>IF(287744.25262="","-",287744.25262/4350574.54459*100)</f>
        <v>6.6139368414641684</v>
      </c>
      <c r="G29" s="124">
        <f>IF(305392.66958="","-",305392.66958/4371623.60554*100)</f>
        <v>6.9857951446914814</v>
      </c>
    </row>
    <row r="30" spans="1:7" x14ac:dyDescent="0.2">
      <c r="A30" s="132" t="s">
        <v>36</v>
      </c>
      <c r="B30" s="15">
        <f>IF(OR(195710.92908="",195710.92908="***"),"-",195710.92908/2734888.97913*100)</f>
        <v>7.156083138053301</v>
      </c>
      <c r="C30" s="15">
        <f>IF(200707.15474="","-",200707.15474/2808282.38613*100)</f>
        <v>7.1469719616262601</v>
      </c>
      <c r="D30" s="15">
        <f>IF(160819.39079="","-",160819.39079/2393616.81978*100)</f>
        <v>6.7186773363658556</v>
      </c>
      <c r="E30" s="15">
        <f>IF(220030.28975="","-",220030.28975/3266113.78787*100)</f>
        <v>6.7367613022904811</v>
      </c>
      <c r="F30" s="15">
        <f>IF(228317.43966="","-",228317.43966/4350574.54459*100)</f>
        <v>5.2479836242299518</v>
      </c>
      <c r="G30" s="124">
        <f>IF(228366.90336="","-",228366.90336/4371623.60554*100)</f>
        <v>5.2238464233425521</v>
      </c>
    </row>
    <row r="31" spans="1:7" x14ac:dyDescent="0.2">
      <c r="A31" s="132" t="s">
        <v>99</v>
      </c>
      <c r="B31" s="15">
        <f>IF(OR(323555.32502="",323555.32502="***"),"-",323555.32502/2734888.97913*100)</f>
        <v>11.83065665513511</v>
      </c>
      <c r="C31" s="15">
        <f>IF(349252.8024="","-",349252.8024/2808282.38613*100)</f>
        <v>12.436527185618736</v>
      </c>
      <c r="D31" s="15">
        <f>IF(295667.83921="","-",295667.83921/2393616.81978*100)</f>
        <v>12.352346322381507</v>
      </c>
      <c r="E31" s="15">
        <f>IF(375174.6247="","-",375174.6247/3266113.78787*100)</f>
        <v>11.486881629579432</v>
      </c>
      <c r="F31" s="15">
        <f>IF(663634.30078="","-",663634.30078/4350574.54459*100)</f>
        <v>15.253946208213776</v>
      </c>
      <c r="G31" s="124">
        <f>IF(197922.17326="","-",197922.17326/4371623.60554*100)</f>
        <v>4.5274294202543057</v>
      </c>
    </row>
    <row r="32" spans="1:7" x14ac:dyDescent="0.2">
      <c r="A32" s="132" t="s">
        <v>37</v>
      </c>
      <c r="B32" s="15">
        <f>IF(OR(96177.6956="",96177.6956="***"),"-",96177.6956/2734888.97913*100)</f>
        <v>3.5166946934202516</v>
      </c>
      <c r="C32" s="15">
        <f>IF(93971.30847="","-",93971.30847/2808282.38613*100)</f>
        <v>3.3462200572891363</v>
      </c>
      <c r="D32" s="15">
        <f>IF(93094.12442="","-",93094.12442/2393616.81978*100)</f>
        <v>3.889265969837076</v>
      </c>
      <c r="E32" s="15">
        <f>IF(124518.41497="","-",124518.41497/3266113.78787*100)</f>
        <v>3.8124334624362497</v>
      </c>
      <c r="F32" s="15">
        <f>IF(145107.55701="","-",145107.55701/4350574.54459*100)</f>
        <v>3.3353653758316413</v>
      </c>
      <c r="G32" s="124">
        <f>IF(148908.20473="","-",148908.20473/4371623.60554*100)</f>
        <v>3.4062448684121396</v>
      </c>
    </row>
    <row r="33" spans="1:7" x14ac:dyDescent="0.2">
      <c r="A33" s="132" t="s">
        <v>100</v>
      </c>
      <c r="B33" s="15">
        <f>IF(OR(76456.96038="",76456.96038="***"),"-",76456.96038/2734888.97913*100)</f>
        <v>2.7956147749851934</v>
      </c>
      <c r="C33" s="15">
        <f>IF(76428.12446="","-",76428.12446/2808282.38613*100)</f>
        <v>2.7215256142856434</v>
      </c>
      <c r="D33" s="15">
        <f>IF(66048.39994="","-",66048.39994/2393616.81978*100)</f>
        <v>2.7593556075558738</v>
      </c>
      <c r="E33" s="15">
        <f>IF(86471.03108="","-",86471.03108/3266113.78787*100)</f>
        <v>2.6475204691625942</v>
      </c>
      <c r="F33" s="15">
        <f>IF(102929.40939="","-",102929.40939/4350574.54459*100)</f>
        <v>2.3658808356242083</v>
      </c>
      <c r="G33" s="124">
        <f>IF(112100.41862="","-",112100.41862/4371623.60554*100)</f>
        <v>2.5642742544884056</v>
      </c>
    </row>
    <row r="34" spans="1:7" x14ac:dyDescent="0.2">
      <c r="A34" s="132" t="s">
        <v>104</v>
      </c>
      <c r="B34" s="15">
        <f>IF(OR(14634.47554="",14634.47554="***"),"-",14634.47554/2734888.97913*100)</f>
        <v>0.53510309382486876</v>
      </c>
      <c r="C34" s="15">
        <f>IF(18239.67978="","-",18239.67978/2808282.38613*100)</f>
        <v>0.64949592925857758</v>
      </c>
      <c r="D34" s="15">
        <f>IF(16957.18039="","-",16957.18039/2393616.81978*100)</f>
        <v>0.70843337370759929</v>
      </c>
      <c r="E34" s="15">
        <f>IF(22060.36863="","-",22060.36863/3266113.78787*100)</f>
        <v>0.67543172292189779</v>
      </c>
      <c r="F34" s="15">
        <f>IF(112462.10705="","-",112462.10705/4350574.54459*100)</f>
        <v>2.5849943702228524</v>
      </c>
      <c r="G34" s="124">
        <f>IF(108327.91412="","-",108327.91412/4371623.60554*100)</f>
        <v>2.4779789820587474</v>
      </c>
    </row>
    <row r="35" spans="1:7" x14ac:dyDescent="0.2">
      <c r="A35" s="132" t="s">
        <v>40</v>
      </c>
      <c r="B35" s="15">
        <f>IF(OR(61500.5958="",61500.5958="***"),"-",61500.5958/2734888.97913*100)</f>
        <v>2.2487419514763651</v>
      </c>
      <c r="C35" s="15">
        <f>IF(57113.88832="","-",57113.88832/2808282.38613*100)</f>
        <v>2.0337658563855014</v>
      </c>
      <c r="D35" s="15">
        <f>IF(48560.99087="","-",48560.99087/2393616.81978*100)</f>
        <v>2.0287704560190756</v>
      </c>
      <c r="E35" s="15">
        <f>IF(63833.50964="","-",63833.50964/3266113.78787*100)</f>
        <v>1.9544178122964015</v>
      </c>
      <c r="F35" s="15">
        <f>IF(92595.31021="","-",92595.31021/4350574.54459*100)</f>
        <v>2.1283467105544385</v>
      </c>
      <c r="G35" s="124">
        <f>IF(97501.56704="","-",97501.56704/4371623.60554*100)</f>
        <v>2.2303284966354329</v>
      </c>
    </row>
    <row r="36" spans="1:7" ht="13.5" customHeight="1" x14ac:dyDescent="0.2">
      <c r="A36" s="132" t="s">
        <v>58</v>
      </c>
      <c r="B36" s="15">
        <f>IF(OR(40443.61334="",40443.61334="***"),"-",40443.61334/2734888.97913*100)</f>
        <v>1.4788027466060283</v>
      </c>
      <c r="C36" s="15">
        <f>IF(53720.88986="","-",53720.88986/2808282.38613*100)</f>
        <v>1.9129447282554433</v>
      </c>
      <c r="D36" s="15">
        <f>IF(38660.09692="","-",38660.09692/2393616.81978*100)</f>
        <v>1.6151330739543053</v>
      </c>
      <c r="E36" s="15">
        <f>IF(55912.70591="","-",55912.70591/3266113.78787*100)</f>
        <v>1.7119031834608409</v>
      </c>
      <c r="F36" s="15">
        <f>IF(64450.44708="","-",64450.44708/4350574.54459*100)</f>
        <v>1.4814238078082129</v>
      </c>
      <c r="G36" s="124">
        <f>IF(75348.18843="","-",75348.18843/4371623.60554*100)</f>
        <v>1.7235744709245775</v>
      </c>
    </row>
    <row r="37" spans="1:7" ht="12" customHeight="1" x14ac:dyDescent="0.2">
      <c r="A37" s="132" t="s">
        <v>42</v>
      </c>
      <c r="B37" s="15">
        <f>IF(OR(32988.2063="",32988.2063="***"),"-",32988.2063/2734888.97913*100)</f>
        <v>1.2061991017453999</v>
      </c>
      <c r="C37" s="15">
        <f>IF(23571.83007="","-",23571.83007/2808282.38613*100)</f>
        <v>0.83936822687135648</v>
      </c>
      <c r="D37" s="15">
        <f>IF(25828.23999="","-",25828.23999/2393616.81978*100)</f>
        <v>1.079046561528336</v>
      </c>
      <c r="E37" s="15">
        <f>IF(37083.88166="","-",37083.88166/3266113.78787*100)</f>
        <v>1.1354130342220654</v>
      </c>
      <c r="F37" s="15">
        <f>IF(63158.4768="","-",63158.4768/4350574.54459*100)</f>
        <v>1.4517272638975567</v>
      </c>
      <c r="G37" s="124">
        <f>IF(74619.65765="","-",74619.65765/4371623.60554*100)</f>
        <v>1.7069094776466394</v>
      </c>
    </row>
    <row r="38" spans="1:7" ht="11.25" customHeight="1" x14ac:dyDescent="0.2">
      <c r="A38" s="132" t="s">
        <v>57</v>
      </c>
      <c r="B38" s="15">
        <f>IF(OR(11674.40881="",11674.40881="***"),"-",11674.40881/2734888.97913*100)</f>
        <v>0.42686956944459831</v>
      </c>
      <c r="C38" s="15">
        <f>IF(10475.60672="","-",10475.60672/2808282.38613*100)</f>
        <v>0.37302540413096003</v>
      </c>
      <c r="D38" s="15">
        <f>IF(12257.49323="","-",12257.49323/2393616.81978*100)</f>
        <v>0.51209087138377485</v>
      </c>
      <c r="E38" s="15">
        <f>IF(14219.91602="","-",14219.91602/3266113.78787*100)</f>
        <v>0.4353772386256492</v>
      </c>
      <c r="F38" s="15">
        <f>IF(22029.07893="","-",22029.07893/4350574.54459*100)</f>
        <v>0.50634872944295284</v>
      </c>
      <c r="G38" s="124">
        <f>IF(71726.57434="","-",71726.57434/4371623.60554*100)</f>
        <v>1.6407307859053446</v>
      </c>
    </row>
    <row r="39" spans="1:7" x14ac:dyDescent="0.2">
      <c r="A39" s="132" t="s">
        <v>41</v>
      </c>
      <c r="B39" s="15">
        <f>IF(OR(39979.49706="",39979.49706="***"),"-",39979.49706/2734888.97913*100)</f>
        <v>1.4618325411043904</v>
      </c>
      <c r="C39" s="15">
        <f>IF(41256.03811="","-",41256.03811/2808282.38613*100)</f>
        <v>1.4690843881570459</v>
      </c>
      <c r="D39" s="15">
        <f>IF(36709.59168="","-",36709.59168/2393616.81978*100)</f>
        <v>1.5336452926234876</v>
      </c>
      <c r="E39" s="15">
        <f>IF(45979.51005="","-",45979.51005/3266113.78787*100)</f>
        <v>1.4077742857815614</v>
      </c>
      <c r="F39" s="15">
        <f>IF(54441.81065="","-",54441.81065/4350574.54459*100)</f>
        <v>1.2513705969640065</v>
      </c>
      <c r="G39" s="124">
        <f>IF(58020.93731="","-",58020.93731/4371623.60554*100)</f>
        <v>1.3272171290426782</v>
      </c>
    </row>
    <row r="40" spans="1:7" x14ac:dyDescent="0.2">
      <c r="A40" s="132" t="s">
        <v>59</v>
      </c>
      <c r="B40" s="15">
        <f>IF(OR(37761.7023="",37761.7023="***"),"-",37761.7023/2734888.97913*100)</f>
        <v>1.3807398614042621</v>
      </c>
      <c r="C40" s="15">
        <f>IF(35933.63281="","-",35933.63281/2808282.38613*100)</f>
        <v>1.2795590994507835</v>
      </c>
      <c r="D40" s="15">
        <f>IF(32555.63779="","-",32555.63779/2393616.81978*100)</f>
        <v>1.3601023154989453</v>
      </c>
      <c r="E40" s="15">
        <f>IF(53225.68476="","-",53225.68476/3266113.78787*100)</f>
        <v>1.6296335099430563</v>
      </c>
      <c r="F40" s="15">
        <f>IF(70247.22269="","-",70247.22269/4350574.54459*100)</f>
        <v>1.6146654187859715</v>
      </c>
      <c r="G40" s="124">
        <f>IF(57651.43734="","-",57651.43734/4371623.60554*100)</f>
        <v>1.3187648924518667</v>
      </c>
    </row>
    <row r="41" spans="1:7" x14ac:dyDescent="0.2">
      <c r="A41" s="132" t="s">
        <v>81</v>
      </c>
      <c r="B41" s="15">
        <f>IF(OR(1652.28934="",1652.28934="***"),"-",1652.28934/2734888.97913*100)</f>
        <v>6.041522535681184E-2</v>
      </c>
      <c r="C41" s="15">
        <f>IF(4278.66319="","-",4278.66319/2808282.38613*100)</f>
        <v>0.1523587232940731</v>
      </c>
      <c r="D41" s="15">
        <f>IF(5106.68649="","-",5106.68649/2393616.81978*100)</f>
        <v>0.21334603131963961</v>
      </c>
      <c r="E41" s="15">
        <f>IF(6849.27224="","-",6849.27224/3266113.78787*100)</f>
        <v>0.20970709181772754</v>
      </c>
      <c r="F41" s="15">
        <f>IF(9279.06036="","-",9279.06036/4350574.54459*100)</f>
        <v>0.21328356208810717</v>
      </c>
      <c r="G41" s="124">
        <f>IF(46717.93852="","-",46717.93852/4371623.60554*100)</f>
        <v>1.068663332790043</v>
      </c>
    </row>
    <row r="42" spans="1:7" x14ac:dyDescent="0.2">
      <c r="A42" s="132" t="s">
        <v>105</v>
      </c>
      <c r="B42" s="15">
        <f>IF(OR(55640.58105="",55640.58105="***"),"-",55640.58105/2734888.97913*100)</f>
        <v>2.0344731166272028</v>
      </c>
      <c r="C42" s="15">
        <f>IF(47039.67331="","-",47039.67331/2808282.38613*100)</f>
        <v>1.6750335914339369</v>
      </c>
      <c r="D42" s="15">
        <f>IF(27493.31414="","-",27493.31414/2393616.81978*100)</f>
        <v>1.1486096652064359</v>
      </c>
      <c r="E42" s="15">
        <f>IF(49025.34159="","-",49025.34159/3266113.78787*100)</f>
        <v>1.5010298101699615</v>
      </c>
      <c r="F42" s="15">
        <f>IF(40837.83829="","-",40837.83829/4350574.54459*100)</f>
        <v>0.93867690052070063</v>
      </c>
      <c r="G42" s="124">
        <f>IF(45707.7947="","-",45707.7947/4371623.60554*100)</f>
        <v>1.0455564985529899</v>
      </c>
    </row>
    <row r="43" spans="1:7" x14ac:dyDescent="0.2">
      <c r="A43" s="132" t="s">
        <v>106</v>
      </c>
      <c r="B43" s="15">
        <f>IF(OR(28182.65967="",28182.65967="***"),"-",28182.65967/2734888.97913*100)</f>
        <v>1.0304864250454961</v>
      </c>
      <c r="C43" s="15">
        <f>IF(22736.89939="","-",22736.89939/2808282.38613*100)</f>
        <v>0.80963721819061651</v>
      </c>
      <c r="D43" s="15">
        <f>IF(24186.6149="","-",24186.6149/2393616.81978*100)</f>
        <v>1.0104631075504817</v>
      </c>
      <c r="E43" s="15">
        <f>IF(31810.8532="","-",31810.8532/3266113.78787*100)</f>
        <v>0.973966471044032</v>
      </c>
      <c r="F43" s="15">
        <f>IF(28818.12952="","-",28818.12952/4350574.54459*100)</f>
        <v>0.66239824705074291</v>
      </c>
      <c r="G43" s="124">
        <f>IF(45451.13848="","-",45451.13848/4371623.60554*100)</f>
        <v>1.0396855397706568</v>
      </c>
    </row>
    <row r="44" spans="1:7" ht="12" customHeight="1" x14ac:dyDescent="0.2">
      <c r="A44" s="132" t="s">
        <v>74</v>
      </c>
      <c r="B44" s="15">
        <f>IF(OR(30633.23569="",30633.23569="***"),"-",30633.23569/2734888.97913*100)</f>
        <v>1.1200906480578525</v>
      </c>
      <c r="C44" s="15">
        <f>IF(29756.57923="","-",29756.57923/2808282.38613*100)</f>
        <v>1.0596006789405017</v>
      </c>
      <c r="D44" s="15">
        <f>IF(26354.94037="","-",26354.94037/2393616.81978*100)</f>
        <v>1.1010509348117929</v>
      </c>
      <c r="E44" s="15">
        <f>IF(35613.92266="","-",35613.92266/3266113.78787*100)</f>
        <v>1.0904066720598138</v>
      </c>
      <c r="F44" s="15">
        <f>IF(44127.91299="","-",44127.91299/4350574.54459*100)</f>
        <v>1.0143008133230051</v>
      </c>
      <c r="G44" s="124">
        <f>IF(42840.84153="","-",42840.84153/4371623.60554*100)</f>
        <v>0.97997552844461167</v>
      </c>
    </row>
    <row r="45" spans="1:7" x14ac:dyDescent="0.2">
      <c r="A45" s="132" t="s">
        <v>39</v>
      </c>
      <c r="B45" s="15">
        <f>IF(OR(49934.33624="",49934.33624="***"),"-",49934.33624/2734888.97913*100)</f>
        <v>1.8258268112910636</v>
      </c>
      <c r="C45" s="15">
        <f>IF(63404.69742="","-",63404.69742/2808282.38613*100)</f>
        <v>2.2577749920432999</v>
      </c>
      <c r="D45" s="15">
        <f>IF(46724.68515="","-",46724.68515/2393616.81978*100)</f>
        <v>1.9520536772587735</v>
      </c>
      <c r="E45" s="15">
        <f>IF(58218.85956="","-",58218.85956/3266113.78787*100)</f>
        <v>1.7825116741559546</v>
      </c>
      <c r="F45" s="15">
        <f>IF(55022.69542="","-",55022.69542/4350574.54459*100)</f>
        <v>1.2647225063278478</v>
      </c>
      <c r="G45" s="124">
        <f>IF(41803.4722="","-",41803.4722/4371623.60554*100)</f>
        <v>0.95624591620888788</v>
      </c>
    </row>
    <row r="46" spans="1:7" x14ac:dyDescent="0.2">
      <c r="A46" s="132" t="s">
        <v>107</v>
      </c>
      <c r="B46" s="15">
        <f>IF(OR(14275.17636="",14275.17636="***"),"-",14275.17636/2734888.97913*100)</f>
        <v>0.52196547899875267</v>
      </c>
      <c r="C46" s="15">
        <f>IF(17311.78722="","-",17311.78722/2808282.38613*100)</f>
        <v>0.61645464521311166</v>
      </c>
      <c r="D46" s="15">
        <f>IF(11956.75441="","-",11956.75441/2393616.81978*100)</f>
        <v>0.49952667073499918</v>
      </c>
      <c r="E46" s="15">
        <f>IF(18119.66087="","-",18119.66087/3266113.78787*100)</f>
        <v>0.5547773913234284</v>
      </c>
      <c r="F46" s="15">
        <f>IF(24908.56387="","-",24908.56387/4350574.54459*100)</f>
        <v>0.57253504369840402</v>
      </c>
      <c r="G46" s="124">
        <f>IF(41619.41651="","-",41619.41651/4371623.60554*100)</f>
        <v>0.95203567977026271</v>
      </c>
    </row>
    <row r="47" spans="1:7" x14ac:dyDescent="0.2">
      <c r="A47" s="132" t="s">
        <v>43</v>
      </c>
      <c r="B47" s="15">
        <f>IF(OR(29550.85327="",29550.85327="***"),"-",29550.85327/2734888.97913*100)</f>
        <v>1.0805138159356096</v>
      </c>
      <c r="C47" s="15">
        <f>IF(27544.84667="","-",27544.84667/2808282.38613*100)</f>
        <v>0.98084319461756941</v>
      </c>
      <c r="D47" s="15">
        <f>IF(23617.74824="","-",23617.74824/2393616.81978*100)</f>
        <v>0.98669712064317527</v>
      </c>
      <c r="E47" s="15">
        <f>IF(30972.43787="","-",30972.43787/3266113.78787*100)</f>
        <v>0.94829635100370202</v>
      </c>
      <c r="F47" s="15">
        <f>IF(36195.89883="","-",36195.89883/4350574.54459*100)</f>
        <v>0.83197974104386052</v>
      </c>
      <c r="G47" s="124">
        <f>IF(37895.96902="","-",37895.96902/4371623.60554*100)</f>
        <v>0.86686257645731002</v>
      </c>
    </row>
    <row r="48" spans="1:7" x14ac:dyDescent="0.2">
      <c r="A48" s="132" t="s">
        <v>108</v>
      </c>
      <c r="B48" s="15">
        <f>IF(OR(23483.75691="",23483.75691="***"),"-",23483.75691/2734888.97913*100)</f>
        <v>0.85867313405425549</v>
      </c>
      <c r="C48" s="15">
        <f>IF(20773.19113="","-",20773.19113/2808282.38613*100)</f>
        <v>0.73971161990681567</v>
      </c>
      <c r="D48" s="15">
        <f>IF(18458.9539="","-",18458.9539/2393616.81978*100)</f>
        <v>0.77117413896250042</v>
      </c>
      <c r="E48" s="15">
        <f>IF(22943.97734="","-",22943.97734/3266113.78787*100)</f>
        <v>0.7024855479687051</v>
      </c>
      <c r="F48" s="15">
        <f>IF(26819.11062="","-",26819.11062/4350574.54459*100)</f>
        <v>0.61644985840663125</v>
      </c>
      <c r="G48" s="124">
        <f>IF(29284.39324="","-",29284.39324/4371623.60554*100)</f>
        <v>0.66987453363754723</v>
      </c>
    </row>
    <row r="49" spans="1:7" x14ac:dyDescent="0.2">
      <c r="A49" s="133" t="s">
        <v>109</v>
      </c>
      <c r="B49" s="10">
        <f>IF(OR(17482.61532="",17482.61532="***"),"-",17482.61532/2734888.97913*100)</f>
        <v>0.639244059024342</v>
      </c>
      <c r="C49" s="10">
        <f>IF(16392.52252="","-",16392.52252/2808282.38613*100)</f>
        <v>0.58372059024270651</v>
      </c>
      <c r="D49" s="10">
        <f>IF(18398.85963="","-",18398.85963/2393616.81978*100)</f>
        <v>0.76866353369337781</v>
      </c>
      <c r="E49" s="10">
        <f>IF(21630.94706="","-",21630.94706/3266113.78787*100)</f>
        <v>0.66228393941249197</v>
      </c>
      <c r="F49" s="10">
        <f>IF(30831.75333="","-",30831.75333/4350574.54459*100)</f>
        <v>0.70868233641323797</v>
      </c>
      <c r="G49" s="12">
        <f>IF(27824.51756="","-",27824.51756/4371623.60554*100)</f>
        <v>0.63648017465957041</v>
      </c>
    </row>
  </sheetData>
  <mergeCells count="1">
    <mergeCell ref="A2:G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J58"/>
  <sheetViews>
    <sheetView workbookViewId="0">
      <selection activeCell="A2" sqref="A2:G2"/>
    </sheetView>
  </sheetViews>
  <sheetFormatPr defaultRowHeight="12" x14ac:dyDescent="0.2"/>
  <cols>
    <col min="1" max="1" width="47.140625" style="3" customWidth="1"/>
    <col min="2" max="2" width="13.7109375" style="3" customWidth="1"/>
    <col min="3" max="3" width="11.140625" style="3" customWidth="1"/>
    <col min="4" max="4" width="10.28515625" style="3" customWidth="1"/>
    <col min="5" max="5" width="10.140625" style="3" customWidth="1"/>
    <col min="6" max="16384" width="9.140625" style="3"/>
  </cols>
  <sheetData>
    <row r="2" spans="1:10" ht="12.75" x14ac:dyDescent="0.2">
      <c r="A2" s="140" t="s">
        <v>83</v>
      </c>
      <c r="B2" s="140"/>
      <c r="C2" s="140"/>
      <c r="D2" s="140"/>
      <c r="E2" s="140"/>
      <c r="F2" s="140"/>
      <c r="G2" s="140"/>
    </row>
    <row r="3" spans="1:10" x14ac:dyDescent="0.2">
      <c r="A3" s="2"/>
      <c r="B3" s="2"/>
      <c r="C3" s="2"/>
      <c r="D3" s="2"/>
      <c r="E3" s="2"/>
      <c r="F3" s="2"/>
      <c r="G3" s="2"/>
    </row>
    <row r="4" spans="1:10" x14ac:dyDescent="0.2">
      <c r="A4" s="40"/>
      <c r="B4" s="40"/>
      <c r="C4" s="40"/>
      <c r="D4" s="40"/>
      <c r="E4" s="40"/>
      <c r="F4" s="40"/>
      <c r="G4" s="39"/>
      <c r="H4" s="39"/>
      <c r="I4" s="39"/>
      <c r="J4" s="39"/>
    </row>
    <row r="5" spans="1:10" x14ac:dyDescent="0.2">
      <c r="A5" s="4"/>
      <c r="B5" s="4"/>
      <c r="C5" s="4"/>
      <c r="D5" s="4"/>
      <c r="E5" s="4"/>
      <c r="F5" s="4"/>
    </row>
    <row r="6" spans="1:10" x14ac:dyDescent="0.2">
      <c r="A6" s="4"/>
      <c r="B6" s="4"/>
      <c r="C6" s="4"/>
      <c r="D6" s="4"/>
      <c r="E6" s="4"/>
      <c r="F6" s="4"/>
    </row>
    <row r="7" spans="1:10" x14ac:dyDescent="0.2">
      <c r="A7" s="4"/>
      <c r="B7" s="4"/>
      <c r="C7" s="4"/>
      <c r="D7" s="4"/>
      <c r="E7" s="4"/>
      <c r="F7" s="4"/>
    </row>
    <row r="8" spans="1:10" x14ac:dyDescent="0.2">
      <c r="A8" s="4"/>
      <c r="B8" s="4"/>
      <c r="C8" s="4"/>
      <c r="D8" s="4"/>
      <c r="E8" s="4"/>
      <c r="F8" s="4"/>
    </row>
    <row r="9" spans="1:10" x14ac:dyDescent="0.2">
      <c r="A9" s="4"/>
      <c r="B9" s="4"/>
      <c r="C9" s="4"/>
      <c r="D9" s="4"/>
      <c r="E9" s="4"/>
      <c r="F9" s="4"/>
    </row>
    <row r="10" spans="1:10" x14ac:dyDescent="0.2">
      <c r="A10" s="4"/>
      <c r="B10" s="4"/>
      <c r="C10" s="4"/>
      <c r="D10" s="4"/>
      <c r="E10" s="4"/>
      <c r="F10" s="4"/>
    </row>
    <row r="11" spans="1:10" x14ac:dyDescent="0.2">
      <c r="A11" s="4"/>
      <c r="B11" s="4"/>
      <c r="C11" s="4"/>
      <c r="D11" s="4"/>
      <c r="E11" s="4"/>
      <c r="F11" s="4"/>
    </row>
    <row r="12" spans="1:10" x14ac:dyDescent="0.2">
      <c r="A12" s="4"/>
      <c r="B12" s="4"/>
      <c r="C12" s="4"/>
      <c r="D12" s="4"/>
      <c r="E12" s="4"/>
      <c r="F12" s="4"/>
    </row>
    <row r="13" spans="1:10" x14ac:dyDescent="0.2">
      <c r="A13" s="4"/>
      <c r="B13" s="4"/>
      <c r="C13" s="4"/>
      <c r="D13" s="4"/>
      <c r="E13" s="4"/>
      <c r="F13" s="4"/>
    </row>
    <row r="14" spans="1:10" x14ac:dyDescent="0.2">
      <c r="A14" s="4"/>
      <c r="B14" s="4"/>
      <c r="C14" s="4"/>
      <c r="D14" s="4"/>
      <c r="E14" s="4"/>
      <c r="F14" s="4"/>
    </row>
    <row r="15" spans="1:10" x14ac:dyDescent="0.2">
      <c r="A15" s="4"/>
      <c r="B15" s="4"/>
      <c r="C15" s="4"/>
      <c r="D15" s="4"/>
      <c r="E15" s="4"/>
      <c r="F15" s="4"/>
    </row>
    <row r="16" spans="1:10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  <row r="21" spans="1:6" x14ac:dyDescent="0.2">
      <c r="A21" s="5"/>
    </row>
    <row r="22" spans="1:6" x14ac:dyDescent="0.2">
      <c r="A22" s="5"/>
    </row>
    <row r="23" spans="1:6" ht="16.5" customHeight="1" x14ac:dyDescent="0.2">
      <c r="A23" s="5"/>
    </row>
    <row r="24" spans="1:6" ht="16.5" customHeight="1" x14ac:dyDescent="0.2">
      <c r="A24" s="5"/>
    </row>
    <row r="25" spans="1:6" ht="9.75" customHeight="1" x14ac:dyDescent="0.2">
      <c r="A25" s="5"/>
    </row>
    <row r="26" spans="1:6" x14ac:dyDescent="0.2">
      <c r="A26" s="5"/>
    </row>
    <row r="27" spans="1:6" x14ac:dyDescent="0.2">
      <c r="A27" s="97" t="s">
        <v>117</v>
      </c>
      <c r="B27" s="37" t="s">
        <v>44</v>
      </c>
    </row>
    <row r="28" spans="1:6" x14ac:dyDescent="0.2">
      <c r="A28" s="134" t="s">
        <v>77</v>
      </c>
      <c r="B28" s="129">
        <v>14.7</v>
      </c>
    </row>
    <row r="29" spans="1:6" ht="13.5" customHeight="1" x14ac:dyDescent="0.2">
      <c r="A29" s="135" t="s">
        <v>70</v>
      </c>
      <c r="B29" s="130">
        <v>10</v>
      </c>
    </row>
    <row r="30" spans="1:6" x14ac:dyDescent="0.2">
      <c r="A30" s="135" t="s">
        <v>65</v>
      </c>
      <c r="B30" s="130">
        <v>6.1</v>
      </c>
    </row>
    <row r="31" spans="1:6" x14ac:dyDescent="0.2">
      <c r="A31" s="135" t="s">
        <v>75</v>
      </c>
      <c r="B31" s="130">
        <v>5.6</v>
      </c>
    </row>
    <row r="32" spans="1:6" x14ac:dyDescent="0.2">
      <c r="A32" s="135" t="s">
        <v>78</v>
      </c>
      <c r="B32" s="130">
        <v>3.8</v>
      </c>
    </row>
    <row r="33" spans="1:5" x14ac:dyDescent="0.2">
      <c r="A33" s="135" t="s">
        <v>64</v>
      </c>
      <c r="B33" s="130">
        <v>3.4</v>
      </c>
    </row>
    <row r="34" spans="1:5" x14ac:dyDescent="0.2">
      <c r="A34" s="135" t="s">
        <v>61</v>
      </c>
      <c r="B34" s="130">
        <v>2.5</v>
      </c>
    </row>
    <row r="35" spans="1:5" x14ac:dyDescent="0.2">
      <c r="A35" s="135" t="s">
        <v>73</v>
      </c>
      <c r="B35" s="130">
        <v>2.7</v>
      </c>
    </row>
    <row r="36" spans="1:5" x14ac:dyDescent="0.2">
      <c r="A36" s="135" t="s">
        <v>71</v>
      </c>
      <c r="B36" s="130">
        <v>3.6</v>
      </c>
    </row>
    <row r="37" spans="1:5" x14ac:dyDescent="0.2">
      <c r="A37" s="135" t="s">
        <v>80</v>
      </c>
      <c r="B37" s="130">
        <v>2</v>
      </c>
    </row>
    <row r="38" spans="1:5" x14ac:dyDescent="0.2">
      <c r="A38" s="135" t="s">
        <v>67</v>
      </c>
      <c r="B38" s="130">
        <v>2.1</v>
      </c>
    </row>
    <row r="39" spans="1:5" x14ac:dyDescent="0.2">
      <c r="A39" s="135" t="s">
        <v>92</v>
      </c>
      <c r="B39" s="130">
        <v>2.2000000000000002</v>
      </c>
    </row>
    <row r="40" spans="1:5" x14ac:dyDescent="0.2">
      <c r="A40" s="135" t="s">
        <v>90</v>
      </c>
      <c r="B40" s="130">
        <v>1.9</v>
      </c>
    </row>
    <row r="41" spans="1:5" x14ac:dyDescent="0.2">
      <c r="A41" s="136" t="s">
        <v>68</v>
      </c>
      <c r="B41" s="137">
        <v>39.4</v>
      </c>
    </row>
    <row r="42" spans="1:5" x14ac:dyDescent="0.2">
      <c r="A42" s="135"/>
      <c r="B42" s="138"/>
    </row>
    <row r="43" spans="1:5" x14ac:dyDescent="0.2">
      <c r="A43" s="135"/>
      <c r="B43" s="33"/>
    </row>
    <row r="44" spans="1:5" ht="11.25" customHeight="1" x14ac:dyDescent="0.2">
      <c r="A44" s="97" t="s">
        <v>118</v>
      </c>
      <c r="B44" s="139" t="s">
        <v>44</v>
      </c>
    </row>
    <row r="45" spans="1:5" ht="12.75" customHeight="1" x14ac:dyDescent="0.2">
      <c r="A45" s="134" t="s">
        <v>77</v>
      </c>
      <c r="B45" s="129">
        <v>15.9</v>
      </c>
      <c r="E45" s="105"/>
    </row>
    <row r="46" spans="1:5" ht="12.75" customHeight="1" x14ac:dyDescent="0.2">
      <c r="A46" s="135" t="s">
        <v>70</v>
      </c>
      <c r="B46" s="130">
        <v>8.4</v>
      </c>
      <c r="E46" s="105"/>
    </row>
    <row r="47" spans="1:5" ht="12.75" customHeight="1" x14ac:dyDescent="0.2">
      <c r="A47" s="135" t="s">
        <v>65</v>
      </c>
      <c r="B47" s="130">
        <v>7.4</v>
      </c>
      <c r="E47" s="105"/>
    </row>
    <row r="48" spans="1:5" ht="12.75" customHeight="1" x14ac:dyDescent="0.2">
      <c r="A48" s="135" t="s">
        <v>75</v>
      </c>
      <c r="B48" s="130">
        <v>6.4</v>
      </c>
      <c r="E48" s="105"/>
    </row>
    <row r="49" spans="1:5" ht="12.75" customHeight="1" x14ac:dyDescent="0.2">
      <c r="A49" s="135" t="s">
        <v>78</v>
      </c>
      <c r="B49" s="130">
        <v>3.5</v>
      </c>
      <c r="E49" s="105"/>
    </row>
    <row r="50" spans="1:5" ht="12.75" customHeight="1" x14ac:dyDescent="0.2">
      <c r="A50" s="135" t="s">
        <v>64</v>
      </c>
      <c r="B50" s="130">
        <v>3.4</v>
      </c>
      <c r="E50" s="105"/>
    </row>
    <row r="51" spans="1:5" ht="12.75" customHeight="1" x14ac:dyDescent="0.2">
      <c r="A51" s="135" t="s">
        <v>61</v>
      </c>
      <c r="B51" s="130">
        <v>2.9</v>
      </c>
      <c r="E51" s="105"/>
    </row>
    <row r="52" spans="1:5" ht="12.75" customHeight="1" x14ac:dyDescent="0.2">
      <c r="A52" s="135" t="s">
        <v>73</v>
      </c>
      <c r="B52" s="130">
        <v>2.7</v>
      </c>
      <c r="E52" s="105"/>
    </row>
    <row r="53" spans="1:5" ht="12.75" customHeight="1" x14ac:dyDescent="0.2">
      <c r="A53" s="135" t="s">
        <v>71</v>
      </c>
      <c r="B53" s="130">
        <v>2.5</v>
      </c>
      <c r="E53" s="105"/>
    </row>
    <row r="54" spans="1:5" ht="12.75" customHeight="1" x14ac:dyDescent="0.2">
      <c r="A54" s="135" t="s">
        <v>80</v>
      </c>
      <c r="B54" s="130">
        <v>2.2999999999999998</v>
      </c>
      <c r="E54" s="105"/>
    </row>
    <row r="55" spans="1:5" ht="12.75" customHeight="1" x14ac:dyDescent="0.2">
      <c r="A55" s="135" t="s">
        <v>67</v>
      </c>
      <c r="B55" s="130">
        <v>2.2000000000000002</v>
      </c>
      <c r="E55" s="105"/>
    </row>
    <row r="56" spans="1:5" ht="12.75" customHeight="1" x14ac:dyDescent="0.2">
      <c r="A56" s="135" t="s">
        <v>92</v>
      </c>
      <c r="B56" s="130">
        <v>2.1</v>
      </c>
      <c r="E56" s="105"/>
    </row>
    <row r="57" spans="1:5" ht="12.75" customHeight="1" x14ac:dyDescent="0.2">
      <c r="A57" s="135" t="s">
        <v>90</v>
      </c>
      <c r="B57" s="130">
        <v>2</v>
      </c>
      <c r="E57" s="105"/>
    </row>
    <row r="58" spans="1:5" ht="12.75" customHeight="1" x14ac:dyDescent="0.2">
      <c r="A58" s="136" t="s">
        <v>68</v>
      </c>
      <c r="B58" s="137">
        <v>38.299999999999997</v>
      </c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28"/>
  <sheetViews>
    <sheetView workbookViewId="0">
      <selection activeCell="A2" sqref="A2:M2"/>
    </sheetView>
  </sheetViews>
  <sheetFormatPr defaultRowHeight="12" x14ac:dyDescent="0.2"/>
  <cols>
    <col min="1" max="1" width="9.140625" style="3"/>
    <col min="2" max="2" width="9.85546875" style="3" customWidth="1"/>
    <col min="3" max="3" width="9.7109375" style="3" customWidth="1"/>
    <col min="4" max="4" width="10" style="3" customWidth="1"/>
    <col min="5" max="6" width="9.7109375" style="3" customWidth="1"/>
    <col min="7" max="7" width="9.5703125" style="3" customWidth="1"/>
    <col min="8" max="9" width="9.140625" style="3"/>
    <col min="10" max="10" width="10.7109375" style="3" customWidth="1"/>
    <col min="11" max="11" width="10.85546875" style="3" customWidth="1"/>
    <col min="12" max="12" width="10.42578125" style="3" customWidth="1"/>
    <col min="13" max="13" width="10.5703125" style="3" customWidth="1"/>
    <col min="14" max="16384" width="9.140625" style="3"/>
  </cols>
  <sheetData>
    <row r="2" spans="1:13" ht="12.75" x14ac:dyDescent="0.2">
      <c r="A2" s="146" t="s">
        <v>88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3" x14ac:dyDescent="0.2">
      <c r="A22" s="26" t="s">
        <v>0</v>
      </c>
      <c r="B22" s="37" t="s">
        <v>1</v>
      </c>
      <c r="C22" s="37" t="s">
        <v>2</v>
      </c>
      <c r="D22" s="37" t="s">
        <v>3</v>
      </c>
      <c r="E22" s="37" t="s">
        <v>4</v>
      </c>
      <c r="F22" s="37" t="s">
        <v>5</v>
      </c>
      <c r="G22" s="37" t="s">
        <v>6</v>
      </c>
      <c r="H22" s="37" t="s">
        <v>7</v>
      </c>
      <c r="I22" s="37" t="s">
        <v>8</v>
      </c>
      <c r="J22" s="37" t="s">
        <v>9</v>
      </c>
      <c r="K22" s="37" t="s">
        <v>10</v>
      </c>
      <c r="L22" s="37" t="s">
        <v>11</v>
      </c>
      <c r="M22" s="37" t="s">
        <v>12</v>
      </c>
    </row>
    <row r="23" spans="1:13" x14ac:dyDescent="0.2">
      <c r="A23" s="28">
        <v>2018</v>
      </c>
      <c r="B23" s="33">
        <v>-154</v>
      </c>
      <c r="C23" s="33">
        <v>-212.1</v>
      </c>
      <c r="D23" s="33">
        <v>-282</v>
      </c>
      <c r="E23" s="33">
        <v>-244.9</v>
      </c>
      <c r="F23" s="33">
        <v>-282.60000000000002</v>
      </c>
      <c r="G23" s="33">
        <v>-244.6</v>
      </c>
      <c r="H23" s="33">
        <v>-269.2</v>
      </c>
      <c r="I23" s="33">
        <v>-262.10000000000002</v>
      </c>
      <c r="J23" s="33">
        <v>-266.7</v>
      </c>
      <c r="K23" s="33">
        <v>-281.60000000000002</v>
      </c>
      <c r="L23" s="33">
        <v>-253.70000000000005</v>
      </c>
      <c r="M23" s="34">
        <v>-300.49999999999994</v>
      </c>
    </row>
    <row r="24" spans="1:13" x14ac:dyDescent="0.2">
      <c r="A24" s="28">
        <v>2019</v>
      </c>
      <c r="B24" s="33">
        <v>-138.30000000000001</v>
      </c>
      <c r="C24" s="33">
        <v>-217.9</v>
      </c>
      <c r="D24" s="33">
        <v>-276.60000000000002</v>
      </c>
      <c r="E24" s="33">
        <v>-300</v>
      </c>
      <c r="F24" s="33">
        <v>-271.10000000000002</v>
      </c>
      <c r="G24" s="33">
        <v>-243.2</v>
      </c>
      <c r="H24" s="33">
        <v>-278.89999999999998</v>
      </c>
      <c r="I24" s="33">
        <v>-258.5</v>
      </c>
      <c r="J24" s="33">
        <v>-262.89999999999998</v>
      </c>
      <c r="K24" s="33">
        <v>-257</v>
      </c>
      <c r="L24" s="33">
        <v>-237.5</v>
      </c>
      <c r="M24" s="34">
        <v>-321.39999999999998</v>
      </c>
    </row>
    <row r="25" spans="1:13" x14ac:dyDescent="0.2">
      <c r="A25" s="28">
        <v>2020</v>
      </c>
      <c r="B25" s="33">
        <v>-160.30000000000001</v>
      </c>
      <c r="C25" s="33">
        <v>-239.5</v>
      </c>
      <c r="D25" s="33">
        <v>-290.3</v>
      </c>
      <c r="E25" s="33">
        <v>-135.80000000000001</v>
      </c>
      <c r="F25" s="33">
        <v>-173.7</v>
      </c>
      <c r="G25" s="33">
        <v>-223.9</v>
      </c>
      <c r="H25" s="33">
        <v>-305.5</v>
      </c>
      <c r="I25" s="33">
        <v>-269.7</v>
      </c>
      <c r="J25" s="33">
        <v>-296</v>
      </c>
      <c r="K25" s="33">
        <v>-244.2</v>
      </c>
      <c r="L25" s="33">
        <v>-260.89999999999998</v>
      </c>
      <c r="M25" s="34">
        <v>-349</v>
      </c>
    </row>
    <row r="26" spans="1:13" x14ac:dyDescent="0.2">
      <c r="A26" s="28">
        <v>2021</v>
      </c>
      <c r="B26" s="33">
        <v>-201</v>
      </c>
      <c r="C26" s="33">
        <v>-294.39999999999998</v>
      </c>
      <c r="D26" s="33">
        <v>-370.8</v>
      </c>
      <c r="E26" s="33">
        <v>-344</v>
      </c>
      <c r="F26" s="33">
        <v>-361.7</v>
      </c>
      <c r="G26" s="33">
        <v>-362.8</v>
      </c>
      <c r="H26" s="33">
        <v>-321.3</v>
      </c>
      <c r="I26" s="33">
        <v>-338.6</v>
      </c>
      <c r="J26" s="33">
        <v>-376.3</v>
      </c>
      <c r="K26" s="33">
        <v>-294.60000000000002</v>
      </c>
      <c r="L26" s="33">
        <v>-337.6</v>
      </c>
      <c r="M26" s="34">
        <v>-429.2</v>
      </c>
    </row>
    <row r="27" spans="1:13" x14ac:dyDescent="0.2">
      <c r="A27" s="28">
        <v>2022</v>
      </c>
      <c r="B27" s="33">
        <v>-291.3</v>
      </c>
      <c r="C27" s="33">
        <v>-332.6</v>
      </c>
      <c r="D27" s="33">
        <v>-352.5</v>
      </c>
      <c r="E27" s="33">
        <v>-374.1</v>
      </c>
      <c r="F27" s="33">
        <v>-356.7</v>
      </c>
      <c r="G27" s="33">
        <v>-352</v>
      </c>
      <c r="H27" s="33">
        <v>-422.8</v>
      </c>
      <c r="I27" s="33">
        <v>-450.6</v>
      </c>
      <c r="J27" s="33">
        <v>-525.29999999999995</v>
      </c>
      <c r="K27" s="33">
        <v>-399.2</v>
      </c>
      <c r="L27" s="33">
        <v>-502.5</v>
      </c>
      <c r="M27" s="34">
        <v>-524.29999999999995</v>
      </c>
    </row>
    <row r="28" spans="1:13" x14ac:dyDescent="0.2">
      <c r="A28" s="29">
        <v>2023</v>
      </c>
      <c r="B28" s="10">
        <v>-402.2</v>
      </c>
      <c r="C28" s="10">
        <v>-396.5</v>
      </c>
      <c r="D28" s="35">
        <v>-436.2</v>
      </c>
      <c r="E28" s="35">
        <v>-373.3</v>
      </c>
      <c r="F28" s="35">
        <v>-372.7</v>
      </c>
      <c r="G28" s="35">
        <v>-348.6</v>
      </c>
      <c r="H28" s="35"/>
      <c r="I28" s="35"/>
      <c r="J28" s="35"/>
      <c r="K28" s="35"/>
      <c r="L28" s="35"/>
      <c r="M28" s="36"/>
    </row>
  </sheetData>
  <mergeCells count="1">
    <mergeCell ref="A2:M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M34"/>
  <sheetViews>
    <sheetView zoomScaleNormal="100" workbookViewId="0">
      <selection activeCell="A2" sqref="A2:F2"/>
    </sheetView>
  </sheetViews>
  <sheetFormatPr defaultRowHeight="12" x14ac:dyDescent="0.2"/>
  <cols>
    <col min="1" max="1" width="20.85546875" style="3" customWidth="1"/>
    <col min="2" max="2" width="21.5703125" style="3" customWidth="1"/>
    <col min="3" max="3" width="21.42578125" style="3" customWidth="1"/>
    <col min="4" max="4" width="22.140625" style="3" customWidth="1"/>
    <col min="5" max="16384" width="9.140625" style="3"/>
  </cols>
  <sheetData>
    <row r="2" spans="1:13" ht="12.75" x14ac:dyDescent="0.2">
      <c r="A2" s="148" t="s">
        <v>115</v>
      </c>
      <c r="B2" s="148"/>
      <c r="C2" s="148"/>
      <c r="D2" s="148"/>
      <c r="E2" s="148"/>
      <c r="F2" s="148"/>
      <c r="G2" s="39"/>
      <c r="H2" s="39"/>
      <c r="I2" s="39"/>
      <c r="J2" s="39"/>
      <c r="K2" s="39"/>
      <c r="L2" s="39"/>
      <c r="M2" s="39"/>
    </row>
    <row r="3" spans="1:13" x14ac:dyDescent="0.2">
      <c r="A3" s="73"/>
      <c r="B3" s="73"/>
      <c r="C3" s="73"/>
      <c r="D3" s="73"/>
      <c r="E3" s="73"/>
      <c r="F3" s="73"/>
      <c r="G3" s="39"/>
      <c r="H3" s="39"/>
      <c r="I3" s="39"/>
      <c r="J3" s="39"/>
      <c r="K3" s="39"/>
      <c r="L3" s="39"/>
      <c r="M3" s="39"/>
    </row>
    <row r="4" spans="1:13" ht="19.5" customHeight="1" x14ac:dyDescent="0.2">
      <c r="A4" s="4"/>
      <c r="B4" s="4"/>
      <c r="C4" s="4"/>
      <c r="D4" s="4"/>
      <c r="E4" s="4"/>
      <c r="F4" s="4"/>
    </row>
    <row r="5" spans="1:13" x14ac:dyDescent="0.2">
      <c r="A5" s="4"/>
      <c r="B5" s="4"/>
      <c r="C5" s="4"/>
      <c r="D5" s="4"/>
      <c r="E5" s="4"/>
      <c r="F5" s="4"/>
    </row>
    <row r="6" spans="1:13" x14ac:dyDescent="0.2">
      <c r="A6" s="4"/>
      <c r="B6" s="4"/>
      <c r="C6" s="4"/>
      <c r="D6" s="4"/>
      <c r="E6" s="4"/>
      <c r="F6" s="4"/>
    </row>
    <row r="7" spans="1:13" x14ac:dyDescent="0.2">
      <c r="A7" s="4"/>
      <c r="B7" s="4"/>
      <c r="C7" s="4"/>
      <c r="D7" s="4"/>
      <c r="E7" s="4"/>
      <c r="F7" s="4"/>
    </row>
    <row r="8" spans="1:13" x14ac:dyDescent="0.2">
      <c r="A8" s="4"/>
      <c r="B8" s="4"/>
      <c r="C8" s="4"/>
      <c r="D8" s="4"/>
      <c r="E8" s="4"/>
      <c r="F8" s="4"/>
    </row>
    <row r="9" spans="1:13" x14ac:dyDescent="0.2">
      <c r="A9" s="4"/>
      <c r="B9" s="4"/>
      <c r="C9" s="4"/>
      <c r="D9" s="4"/>
      <c r="E9" s="4"/>
      <c r="F9" s="4"/>
    </row>
    <row r="10" spans="1:13" x14ac:dyDescent="0.2">
      <c r="A10" s="4"/>
      <c r="B10" s="4"/>
      <c r="C10" s="4"/>
      <c r="D10" s="4"/>
      <c r="E10" s="4"/>
      <c r="F10" s="4"/>
    </row>
    <row r="11" spans="1:13" x14ac:dyDescent="0.2">
      <c r="A11" s="4"/>
      <c r="B11" s="4"/>
      <c r="C11" s="4"/>
      <c r="D11" s="4"/>
      <c r="E11" s="4"/>
      <c r="F11" s="4"/>
    </row>
    <row r="12" spans="1:13" x14ac:dyDescent="0.2">
      <c r="A12" s="4"/>
      <c r="B12" s="4"/>
      <c r="C12" s="4"/>
      <c r="D12" s="4"/>
      <c r="E12" s="4"/>
      <c r="F12" s="4"/>
    </row>
    <row r="13" spans="1:13" x14ac:dyDescent="0.2">
      <c r="A13" s="4"/>
      <c r="B13" s="4"/>
      <c r="C13" s="4"/>
      <c r="D13" s="4"/>
      <c r="E13" s="4"/>
      <c r="F13" s="4"/>
    </row>
    <row r="14" spans="1:13" x14ac:dyDescent="0.2">
      <c r="A14" s="4"/>
      <c r="B14" s="4"/>
      <c r="C14" s="4"/>
      <c r="D14" s="4"/>
      <c r="E14" s="4"/>
      <c r="F14" s="4"/>
    </row>
    <row r="15" spans="1:13" x14ac:dyDescent="0.2">
      <c r="A15" s="4"/>
      <c r="B15" s="4"/>
      <c r="C15" s="4"/>
      <c r="D15" s="4"/>
      <c r="E15" s="4"/>
      <c r="F15" s="4"/>
    </row>
    <row r="16" spans="1:13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  <row r="21" spans="1:6" x14ac:dyDescent="0.2">
      <c r="A21" s="4"/>
      <c r="B21" s="4"/>
      <c r="C21" s="4"/>
      <c r="D21" s="4"/>
      <c r="E21" s="4"/>
      <c r="F21" s="4"/>
    </row>
    <row r="22" spans="1:6" x14ac:dyDescent="0.2">
      <c r="A22" s="4"/>
      <c r="B22" s="4"/>
      <c r="C22" s="4"/>
      <c r="D22" s="4"/>
      <c r="E22" s="4"/>
      <c r="F22" s="4"/>
    </row>
    <row r="23" spans="1:6" x14ac:dyDescent="0.2">
      <c r="A23" s="4"/>
      <c r="B23" s="4"/>
      <c r="C23" s="4"/>
      <c r="D23" s="4"/>
      <c r="E23" s="4"/>
      <c r="F23" s="4"/>
    </row>
    <row r="24" spans="1:6" x14ac:dyDescent="0.2">
      <c r="A24" s="4"/>
      <c r="B24" s="4"/>
      <c r="C24" s="4"/>
      <c r="D24" s="4"/>
      <c r="E24" s="4"/>
      <c r="F24" s="4"/>
    </row>
    <row r="25" spans="1:6" x14ac:dyDescent="0.2">
      <c r="A25" s="4"/>
      <c r="B25" s="4"/>
      <c r="C25" s="4"/>
      <c r="D25" s="4"/>
      <c r="E25" s="4"/>
      <c r="F25" s="4"/>
    </row>
    <row r="27" spans="1:6" x14ac:dyDescent="0.2">
      <c r="A27" s="95" t="s">
        <v>51</v>
      </c>
      <c r="B27" s="21" t="s">
        <v>52</v>
      </c>
      <c r="C27" s="21" t="s">
        <v>53</v>
      </c>
      <c r="D27" s="22" t="s">
        <v>54</v>
      </c>
    </row>
    <row r="28" spans="1:6" ht="15.75" customHeight="1" x14ac:dyDescent="0.2">
      <c r="A28" s="93" t="s">
        <v>98</v>
      </c>
      <c r="B28" s="1">
        <v>1314.8</v>
      </c>
      <c r="C28" s="1">
        <v>2734.9</v>
      </c>
      <c r="D28" s="15">
        <v>-1420.1000000000001</v>
      </c>
    </row>
    <row r="29" spans="1:6" ht="15" customHeight="1" x14ac:dyDescent="0.2">
      <c r="A29" s="94" t="s">
        <v>97</v>
      </c>
      <c r="B29" s="1">
        <v>1361.2</v>
      </c>
      <c r="C29" s="1">
        <v>2808.3</v>
      </c>
      <c r="D29" s="15">
        <v>-1447.1000000000001</v>
      </c>
    </row>
    <row r="30" spans="1:6" ht="14.25" customHeight="1" x14ac:dyDescent="0.2">
      <c r="A30" s="94" t="s">
        <v>96</v>
      </c>
      <c r="B30" s="1">
        <v>1170.2</v>
      </c>
      <c r="C30" s="1">
        <v>2393.6</v>
      </c>
      <c r="D30" s="15">
        <v>-1223.3999999999999</v>
      </c>
    </row>
    <row r="31" spans="1:6" ht="14.25" customHeight="1" x14ac:dyDescent="0.2">
      <c r="A31" s="94" t="s">
        <v>95</v>
      </c>
      <c r="B31" s="1">
        <v>1331.5</v>
      </c>
      <c r="C31" s="1">
        <v>3266.1</v>
      </c>
      <c r="D31" s="15">
        <v>-1934.6</v>
      </c>
    </row>
    <row r="32" spans="1:6" ht="13.5" customHeight="1" x14ac:dyDescent="0.2">
      <c r="A32" s="94" t="s">
        <v>94</v>
      </c>
      <c r="B32" s="1">
        <v>2291.4</v>
      </c>
      <c r="C32" s="1">
        <v>4350.6000000000004</v>
      </c>
      <c r="D32" s="15">
        <v>-2059.2000000000003</v>
      </c>
    </row>
    <row r="33" spans="1:4" ht="13.5" customHeight="1" x14ac:dyDescent="0.2">
      <c r="A33" s="94" t="s">
        <v>93</v>
      </c>
      <c r="B33" s="1">
        <v>2042.2</v>
      </c>
      <c r="C33" s="1">
        <v>4371.6000000000004</v>
      </c>
      <c r="D33" s="15">
        <v>-2329.4000000000005</v>
      </c>
    </row>
    <row r="34" spans="1:4" x14ac:dyDescent="0.2">
      <c r="A34" s="1"/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E38"/>
  <sheetViews>
    <sheetView workbookViewId="0">
      <selection activeCell="A2" sqref="A2:S2"/>
    </sheetView>
  </sheetViews>
  <sheetFormatPr defaultRowHeight="12" x14ac:dyDescent="0.2"/>
  <cols>
    <col min="1" max="1" width="17.85546875" style="3" customWidth="1"/>
    <col min="2" max="2" width="5" style="3" customWidth="1"/>
    <col min="3" max="3" width="5.85546875" style="3" customWidth="1"/>
    <col min="4" max="4" width="5.7109375" style="3" customWidth="1"/>
    <col min="5" max="5" width="5.85546875" style="3" customWidth="1"/>
    <col min="6" max="6" width="6.140625" style="3" customWidth="1"/>
    <col min="7" max="8" width="5.5703125" style="3" customWidth="1"/>
    <col min="9" max="9" width="5.42578125" style="3" customWidth="1"/>
    <col min="10" max="10" width="5.7109375" style="3" customWidth="1"/>
    <col min="11" max="11" width="5.5703125" style="3" customWidth="1"/>
    <col min="12" max="12" width="6.140625" style="3" customWidth="1"/>
    <col min="13" max="13" width="6.5703125" style="3" customWidth="1"/>
    <col min="14" max="16" width="6" style="3" customWidth="1"/>
    <col min="17" max="17" width="5.85546875" style="3" customWidth="1"/>
    <col min="18" max="18" width="6.42578125" style="3" customWidth="1"/>
    <col min="19" max="19" width="5.85546875" style="3" customWidth="1"/>
    <col min="20" max="20" width="6.42578125" style="3" customWidth="1"/>
    <col min="21" max="21" width="6" style="3" customWidth="1"/>
    <col min="22" max="22" width="5.85546875" style="3" customWidth="1"/>
    <col min="23" max="23" width="6.85546875" style="3" customWidth="1"/>
    <col min="24" max="24" width="6.140625" style="3" customWidth="1"/>
    <col min="25" max="25" width="7.42578125" style="3" customWidth="1"/>
    <col min="26" max="26" width="6.85546875" style="3" customWidth="1"/>
    <col min="27" max="27" width="6" style="3" customWidth="1"/>
    <col min="28" max="28" width="6.140625" style="3" customWidth="1"/>
    <col min="29" max="29" width="6.5703125" style="3" customWidth="1"/>
    <col min="30" max="30" width="7" style="3" customWidth="1"/>
    <col min="31" max="31" width="6.85546875" style="3" customWidth="1"/>
    <col min="32" max="16384" width="9.140625" style="3"/>
  </cols>
  <sheetData>
    <row r="2" spans="1:19" ht="15.75" customHeight="1" x14ac:dyDescent="0.2">
      <c r="A2" s="146" t="s">
        <v>85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ht="15.7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9" ht="14.25" customHeight="1" x14ac:dyDescent="0.2">
      <c r="A4" s="4"/>
    </row>
    <row r="5" spans="1:19" ht="14.25" customHeight="1" x14ac:dyDescent="0.2">
      <c r="A5" s="4"/>
    </row>
    <row r="6" spans="1:19" ht="15" customHeight="1" x14ac:dyDescent="0.2">
      <c r="A6" s="4"/>
    </row>
    <row r="7" spans="1:19" ht="16.5" customHeight="1" x14ac:dyDescent="0.2">
      <c r="A7" s="4"/>
    </row>
    <row r="8" spans="1:19" ht="15" customHeight="1" x14ac:dyDescent="0.2">
      <c r="A8" s="4"/>
    </row>
    <row r="9" spans="1:19" ht="14.25" customHeight="1" x14ac:dyDescent="0.2">
      <c r="A9" s="4"/>
    </row>
    <row r="10" spans="1:19" ht="13.5" customHeight="1" x14ac:dyDescent="0.2">
      <c r="A10" s="4"/>
    </row>
    <row r="11" spans="1:19" ht="17.25" customHeight="1" x14ac:dyDescent="0.2">
      <c r="A11" s="4"/>
    </row>
    <row r="12" spans="1:19" ht="17.25" customHeight="1" x14ac:dyDescent="0.2">
      <c r="A12" s="4"/>
    </row>
    <row r="13" spans="1:19" ht="16.5" customHeight="1" x14ac:dyDescent="0.2">
      <c r="A13" s="4"/>
    </row>
    <row r="14" spans="1:19" ht="15" customHeight="1" x14ac:dyDescent="0.2">
      <c r="A14" s="4"/>
    </row>
    <row r="15" spans="1:19" ht="15" customHeight="1" x14ac:dyDescent="0.2">
      <c r="A15" s="4"/>
    </row>
    <row r="16" spans="1:19" ht="15.75" customHeight="1" x14ac:dyDescent="0.2">
      <c r="A16" s="4"/>
    </row>
    <row r="17" spans="1:31" ht="22.5" customHeight="1" x14ac:dyDescent="0.2">
      <c r="A17" s="4"/>
    </row>
    <row r="18" spans="1:31" x14ac:dyDescent="0.2">
      <c r="A18" s="4"/>
    </row>
    <row r="19" spans="1:31" x14ac:dyDescent="0.2">
      <c r="A19" s="5"/>
    </row>
    <row r="20" spans="1:31" x14ac:dyDescent="0.2">
      <c r="A20" s="5"/>
    </row>
    <row r="21" spans="1:31" x14ac:dyDescent="0.2">
      <c r="A21" s="5"/>
    </row>
    <row r="22" spans="1:31" ht="19.5" customHeight="1" x14ac:dyDescent="0.2">
      <c r="A22" s="5"/>
    </row>
    <row r="23" spans="1:31" ht="15" customHeight="1" x14ac:dyDescent="0.2">
      <c r="A23" s="141"/>
      <c r="B23" s="143">
        <v>2021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5"/>
      <c r="N23" s="143">
        <v>2022</v>
      </c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5"/>
      <c r="Z23" s="147">
        <v>2023</v>
      </c>
      <c r="AA23" s="147"/>
      <c r="AB23" s="147"/>
      <c r="AC23" s="147"/>
      <c r="AD23" s="147"/>
      <c r="AE23" s="147"/>
    </row>
    <row r="24" spans="1:31" x14ac:dyDescent="0.2">
      <c r="A24" s="142"/>
      <c r="B24" s="20" t="s">
        <v>13</v>
      </c>
      <c r="C24" s="54" t="s">
        <v>14</v>
      </c>
      <c r="D24" s="20" t="s">
        <v>15</v>
      </c>
      <c r="E24" s="20" t="s">
        <v>16</v>
      </c>
      <c r="F24" s="20" t="s">
        <v>17</v>
      </c>
      <c r="G24" s="20" t="s">
        <v>22</v>
      </c>
      <c r="H24" s="20" t="s">
        <v>18</v>
      </c>
      <c r="I24" s="20" t="s">
        <v>23</v>
      </c>
      <c r="J24" s="47" t="s">
        <v>19</v>
      </c>
      <c r="K24" s="27" t="s">
        <v>24</v>
      </c>
      <c r="L24" s="27" t="s">
        <v>20</v>
      </c>
      <c r="M24" s="27" t="s">
        <v>21</v>
      </c>
      <c r="N24" s="89" t="s">
        <v>13</v>
      </c>
      <c r="O24" s="89" t="s">
        <v>14</v>
      </c>
      <c r="P24" s="90" t="s">
        <v>15</v>
      </c>
      <c r="Q24" s="81" t="s">
        <v>16</v>
      </c>
      <c r="R24" s="57" t="s">
        <v>17</v>
      </c>
      <c r="S24" s="57" t="s">
        <v>22</v>
      </c>
      <c r="T24" s="57" t="s">
        <v>18</v>
      </c>
      <c r="U24" s="57" t="s">
        <v>23</v>
      </c>
      <c r="V24" s="57" t="s">
        <v>19</v>
      </c>
      <c r="W24" s="57" t="s">
        <v>24</v>
      </c>
      <c r="X24" s="57" t="s">
        <v>20</v>
      </c>
      <c r="Y24" s="57" t="s">
        <v>21</v>
      </c>
      <c r="Z24" s="20" t="s">
        <v>13</v>
      </c>
      <c r="AA24" s="20" t="s">
        <v>14</v>
      </c>
      <c r="AB24" s="20" t="s">
        <v>15</v>
      </c>
      <c r="AC24" s="20" t="s">
        <v>16</v>
      </c>
      <c r="AD24" s="20" t="s">
        <v>17</v>
      </c>
      <c r="AE24" s="27" t="s">
        <v>22</v>
      </c>
    </row>
    <row r="25" spans="1:31" ht="28.5" customHeight="1" x14ac:dyDescent="0.2">
      <c r="A25" s="13" t="s">
        <v>55</v>
      </c>
      <c r="B25" s="15">
        <v>90.925213233797848</v>
      </c>
      <c r="C25" s="15">
        <v>114.41147354263464</v>
      </c>
      <c r="D25" s="15">
        <v>114.20579997969134</v>
      </c>
      <c r="E25" s="15">
        <v>84.167356355788357</v>
      </c>
      <c r="F25" s="15">
        <v>92.421884276527052</v>
      </c>
      <c r="G25" s="15">
        <v>112.45124175218632</v>
      </c>
      <c r="H25" s="15">
        <v>106.13290668113962</v>
      </c>
      <c r="I25" s="15">
        <v>98.163759117159898</v>
      </c>
      <c r="J25" s="15">
        <v>124.79747973247373</v>
      </c>
      <c r="K25" s="15">
        <v>119.44752327758337</v>
      </c>
      <c r="L25" s="15">
        <v>103.29810746017232</v>
      </c>
      <c r="M25" s="11">
        <v>89.310814590947814</v>
      </c>
      <c r="N25" s="55">
        <v>101.65548055101389</v>
      </c>
      <c r="O25" s="14">
        <v>101.84864374682041</v>
      </c>
      <c r="P25" s="14">
        <v>117.64360095679429</v>
      </c>
      <c r="Q25" s="56">
        <v>100.12867315249881</v>
      </c>
      <c r="R25" s="14">
        <v>104.95231951698101</v>
      </c>
      <c r="S25" s="14">
        <v>100.11263227721525</v>
      </c>
      <c r="T25" s="14">
        <v>81.219091406345484</v>
      </c>
      <c r="U25" s="14">
        <v>97.395817403540036</v>
      </c>
      <c r="V25" s="14">
        <v>96.775293757579718</v>
      </c>
      <c r="W25" s="79">
        <v>110.41268252711565</v>
      </c>
      <c r="X25" s="79">
        <v>101.07685140675132</v>
      </c>
      <c r="Y25" s="77">
        <v>98.231011775552389</v>
      </c>
      <c r="Z25" s="98">
        <v>94.738709353020752</v>
      </c>
      <c r="AA25" s="79">
        <v>107.53426152887265</v>
      </c>
      <c r="AB25" s="79">
        <v>108.10569775638508</v>
      </c>
      <c r="AC25" s="79">
        <v>82.37132224691446</v>
      </c>
      <c r="AD25" s="14">
        <v>106.1352271642845</v>
      </c>
      <c r="AE25" s="77">
        <v>94.094090343677621</v>
      </c>
    </row>
    <row r="26" spans="1:31" ht="40.5" customHeight="1" x14ac:dyDescent="0.2">
      <c r="A26" s="18" t="s">
        <v>56</v>
      </c>
      <c r="B26" s="19">
        <f>IF(219472.10441="","-",198437.26393/219472.10441*100)</f>
        <v>90.415711128050958</v>
      </c>
      <c r="C26" s="10">
        <f>IF(245324.45574="","-",227034.99772/245324.45574*100)</f>
        <v>92.544788099159774</v>
      </c>
      <c r="D26" s="10">
        <f>IF(210230.63314="","-",259287.13538/210230.63314*100)</f>
        <v>123.33461185332185</v>
      </c>
      <c r="E26" s="10">
        <f>IF(149859.83301="","-",218235.12722/149859.83301*100)</f>
        <v>145.62616468779689</v>
      </c>
      <c r="F26" s="10">
        <f>IF(155710.73078="","-",201697.01673/155710.73078*100)</f>
        <v>129.53315145310887</v>
      </c>
      <c r="G26" s="10">
        <f>IF(189578.77956="","-",226810.79989/189578.77956*100)</f>
        <v>119.63933960141166</v>
      </c>
      <c r="H26" s="10">
        <f>IF(191130.33065="","-",240720.89459/191130.33065*100)</f>
        <v>125.94594158412818</v>
      </c>
      <c r="I26" s="10">
        <f>IF(163909.5874="","-",236300.67911/163909.5874*100)</f>
        <v>144.1652577242715</v>
      </c>
      <c r="J26" s="10">
        <f>IF(212259.13319="","-",294897.29212/212259.13319*100)</f>
        <v>138.93267521074247</v>
      </c>
      <c r="K26" s="10">
        <f>IF(249353.22858="","-",352247.51165/249353.22858*100)</f>
        <v>141.26446794210585</v>
      </c>
      <c r="L26" s="10">
        <f>IF(262034.9772="","-",363865.01311/262034.9772*100)</f>
        <v>138.86123791492062</v>
      </c>
      <c r="M26" s="12">
        <f>IF(218242.28602="","-",324970.80722/218242.28602*100)</f>
        <v>148.90368550768355</v>
      </c>
      <c r="N26" s="19">
        <f>IF(198437.26393="","-",330345.74715/198437.26393*100)</f>
        <v>166.47364542706634</v>
      </c>
      <c r="O26" s="78">
        <f>IF(227034.99772="","-",336464.33268/227034.99772*100)</f>
        <v>148.19932435921535</v>
      </c>
      <c r="P26" s="78">
        <f>IF(259287.13538="","-",395828.7569/259287.13538*100)</f>
        <v>152.66039185472528</v>
      </c>
      <c r="Q26" s="78">
        <f>IF(218235.12722="","-",396338.08224/218235.12722*100)</f>
        <v>181.61058088529293</v>
      </c>
      <c r="R26" s="78">
        <f>IF(201697.01673="","-",415966.01044/201697.01673*100)</f>
        <v>206.23310011413275</v>
      </c>
      <c r="S26" s="78">
        <f>IF(226810.79989="","-",416434.52243/226810.79989*100)</f>
        <v>183.60436215205132</v>
      </c>
      <c r="T26" s="78">
        <f>IF(240720.89459="","-",338224.33542/240720.89459*100)</f>
        <v>140.50476839414773</v>
      </c>
      <c r="U26" s="78">
        <f>IF(236300.67911="","-",329416.35614/236300.67911*100)</f>
        <v>139.40559010693906</v>
      </c>
      <c r="V26" s="78">
        <f>IF(294897.29212="","-",318793.64634/294897.29212*100)</f>
        <v>108.10328031438013</v>
      </c>
      <c r="W26" s="10">
        <f>IF(352247.51165="","-",351988.61665/352247.51165*100)</f>
        <v>99.926501964829413</v>
      </c>
      <c r="X26" s="10">
        <f>IF(363865.01311="","-",355779.01102/363865.01311*100)</f>
        <v>97.777746747100537</v>
      </c>
      <c r="Y26" s="12">
        <f>IF(324970.80722="","-",349485.32221/324970.80722*100)</f>
        <v>107.54360528556772</v>
      </c>
      <c r="Z26" s="99">
        <f>IF(330357.20487="","-",331097.88364/330357.20487*100)</f>
        <v>100.22420542342689</v>
      </c>
      <c r="AA26" s="10">
        <f>IF(336464.33268="","-",356043.66411/336464.33268*100)</f>
        <v>105.8191402559811</v>
      </c>
      <c r="AB26" s="78">
        <f>IF(395828.7569="","-",384903.48749/395828.7569*100)</f>
        <v>97.239900027586913</v>
      </c>
      <c r="AC26" s="78">
        <f>IF(396338.08224="","-",317050.09202/396338.08224*100)</f>
        <v>79.994859496749626</v>
      </c>
      <c r="AD26" s="78">
        <f>IF(415966.01044="","-",336501.83539/415966.01044*100)</f>
        <v>80.896473977298172</v>
      </c>
      <c r="AE26" s="108">
        <f>IF(416434.52243="","-",316628.341/416434.52243*100)</f>
        <v>76.033163425643508</v>
      </c>
    </row>
    <row r="29" spans="1:31" ht="15.75" x14ac:dyDescent="0.25">
      <c r="N29" s="64"/>
      <c r="O29" s="84"/>
      <c r="P29" s="60"/>
      <c r="Q29" s="85"/>
      <c r="R29" s="60"/>
      <c r="S29" s="60"/>
      <c r="T29" s="60"/>
      <c r="U29" s="60"/>
      <c r="V29" s="60"/>
      <c r="W29" s="75"/>
      <c r="X29" s="75"/>
      <c r="Y29" s="75"/>
    </row>
    <row r="30" spans="1:31" ht="15.75" x14ac:dyDescent="0.25">
      <c r="N30" s="61"/>
      <c r="O30" s="86"/>
      <c r="P30" s="87"/>
      <c r="Q30" s="87"/>
      <c r="R30" s="87"/>
      <c r="S30" s="87"/>
      <c r="T30" s="87"/>
      <c r="U30" s="87"/>
      <c r="V30" s="87"/>
      <c r="W30" s="64"/>
      <c r="X30" s="64"/>
      <c r="Y30" s="83"/>
    </row>
    <row r="33" spans="14:21" ht="15.75" x14ac:dyDescent="0.25">
      <c r="N33" s="64"/>
      <c r="O33" s="65"/>
      <c r="P33" s="66"/>
      <c r="Q33" s="66"/>
      <c r="R33" s="66"/>
      <c r="S33" s="67"/>
      <c r="T33" s="46"/>
      <c r="U33" s="46"/>
    </row>
    <row r="34" spans="14:21" ht="15.75" x14ac:dyDescent="0.25">
      <c r="N34" s="66"/>
      <c r="O34" s="66"/>
      <c r="P34" s="66"/>
      <c r="Q34" s="66"/>
      <c r="R34" s="66"/>
      <c r="S34" s="67"/>
      <c r="T34" s="46"/>
      <c r="U34" s="46"/>
    </row>
    <row r="35" spans="14:21" ht="15.75" x14ac:dyDescent="0.25">
      <c r="N35" s="68"/>
      <c r="O35" s="68"/>
      <c r="P35" s="66"/>
      <c r="Q35" s="66"/>
      <c r="R35" s="68"/>
      <c r="S35" s="69"/>
      <c r="T35" s="69"/>
      <c r="U35" s="69"/>
    </row>
    <row r="36" spans="14:21" ht="15.75" x14ac:dyDescent="0.25">
      <c r="N36" s="68"/>
      <c r="O36" s="68"/>
      <c r="P36" s="66"/>
      <c r="Q36" s="66"/>
      <c r="R36" s="68"/>
      <c r="S36" s="69"/>
      <c r="T36" s="69"/>
      <c r="U36" s="69"/>
    </row>
    <row r="37" spans="14:21" ht="16.5" x14ac:dyDescent="0.25">
      <c r="N37" s="63"/>
      <c r="O37" s="65"/>
      <c r="P37" s="66"/>
      <c r="Q37" s="66"/>
      <c r="R37" s="66"/>
      <c r="S37" s="70"/>
      <c r="T37" s="46"/>
      <c r="U37" s="42"/>
    </row>
    <row r="38" spans="14:21" ht="15.75" x14ac:dyDescent="0.25">
      <c r="N38" s="66"/>
      <c r="O38" s="66"/>
      <c r="P38" s="66"/>
      <c r="Q38" s="66"/>
      <c r="R38" s="66"/>
      <c r="S38" s="67"/>
      <c r="T38" s="46"/>
      <c r="U38" s="46"/>
    </row>
  </sheetData>
  <mergeCells count="5">
    <mergeCell ref="A23:A24"/>
    <mergeCell ref="B23:M23"/>
    <mergeCell ref="N23:Y23"/>
    <mergeCell ref="A2:S2"/>
    <mergeCell ref="Z23:AE2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32" sqref="D32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30"/>
  <sheetViews>
    <sheetView workbookViewId="0">
      <selection activeCell="A2" sqref="A2:G2"/>
    </sheetView>
  </sheetViews>
  <sheetFormatPr defaultRowHeight="12" x14ac:dyDescent="0.2"/>
  <cols>
    <col min="1" max="1" width="24.42578125" style="3" customWidth="1"/>
    <col min="2" max="2" width="14.5703125" style="3" customWidth="1"/>
    <col min="3" max="3" width="14.7109375" style="3" customWidth="1"/>
    <col min="4" max="4" width="14.140625" style="3" customWidth="1"/>
    <col min="5" max="5" width="15" style="3" customWidth="1"/>
    <col min="6" max="7" width="14.28515625" style="3" customWidth="1"/>
    <col min="8" max="8" width="14.85546875" style="3" customWidth="1"/>
    <col min="9" max="16384" width="9.140625" style="3"/>
  </cols>
  <sheetData>
    <row r="2" spans="1:7" ht="12.75" x14ac:dyDescent="0.2">
      <c r="A2" s="148" t="s">
        <v>110</v>
      </c>
      <c r="B2" s="148"/>
      <c r="C2" s="148"/>
      <c r="D2" s="148"/>
      <c r="E2" s="148"/>
      <c r="F2" s="148"/>
      <c r="G2" s="148"/>
    </row>
    <row r="3" spans="1:7" ht="5.25" customHeight="1" x14ac:dyDescent="0.2">
      <c r="A3" s="73"/>
      <c r="B3" s="73"/>
      <c r="C3" s="73"/>
      <c r="D3" s="73"/>
      <c r="E3" s="73"/>
      <c r="F3" s="73"/>
      <c r="G3" s="73"/>
    </row>
    <row r="4" spans="1:7" ht="17.25" customHeight="1" x14ac:dyDescent="0.2">
      <c r="A4" s="73"/>
      <c r="B4" s="73"/>
      <c r="C4" s="73"/>
      <c r="D4" s="73"/>
      <c r="E4" s="73"/>
      <c r="F4" s="73"/>
      <c r="G4" s="73"/>
    </row>
    <row r="5" spans="1:7" ht="17.25" customHeight="1" x14ac:dyDescent="0.2">
      <c r="A5" s="4"/>
      <c r="B5" s="4"/>
      <c r="C5" s="4"/>
      <c r="D5" s="4"/>
      <c r="E5" s="4"/>
      <c r="F5" s="4"/>
      <c r="G5" s="4"/>
    </row>
    <row r="6" spans="1:7" ht="17.25" customHeight="1" x14ac:dyDescent="0.2">
      <c r="A6" s="4"/>
      <c r="B6" s="4"/>
      <c r="C6" s="4"/>
      <c r="D6" s="4"/>
      <c r="E6" s="4"/>
      <c r="F6" s="4"/>
      <c r="G6" s="4"/>
    </row>
    <row r="7" spans="1:7" ht="17.25" customHeight="1" x14ac:dyDescent="0.2">
      <c r="A7" s="4"/>
      <c r="B7" s="4"/>
      <c r="C7" s="4"/>
      <c r="D7" s="4"/>
      <c r="E7" s="4"/>
      <c r="F7" s="4"/>
      <c r="G7" s="4"/>
    </row>
    <row r="8" spans="1:7" ht="17.25" customHeight="1" x14ac:dyDescent="0.2">
      <c r="A8" s="4"/>
      <c r="B8" s="4"/>
      <c r="C8" s="4"/>
      <c r="D8" s="4"/>
      <c r="E8" s="4"/>
      <c r="F8" s="4"/>
      <c r="G8" s="4"/>
    </row>
    <row r="9" spans="1:7" ht="17.25" customHeight="1" x14ac:dyDescent="0.2">
      <c r="A9" s="4"/>
      <c r="B9" s="4"/>
      <c r="C9" s="4"/>
      <c r="D9" s="4"/>
      <c r="E9" s="4"/>
      <c r="F9" s="4"/>
      <c r="G9" s="4"/>
    </row>
    <row r="10" spans="1:7" ht="17.25" customHeight="1" x14ac:dyDescent="0.2">
      <c r="A10" s="4"/>
      <c r="B10" s="4"/>
      <c r="C10" s="4"/>
      <c r="D10" s="4"/>
      <c r="E10" s="4"/>
      <c r="F10" s="4"/>
      <c r="G10" s="4"/>
    </row>
    <row r="11" spans="1:7" ht="17.25" customHeight="1" x14ac:dyDescent="0.2">
      <c r="A11" s="4"/>
      <c r="B11" s="4"/>
      <c r="C11" s="4"/>
      <c r="D11" s="4"/>
      <c r="E11" s="4"/>
      <c r="F11" s="4"/>
      <c r="G11" s="4"/>
    </row>
    <row r="12" spans="1:7" ht="17.25" customHeight="1" x14ac:dyDescent="0.2">
      <c r="A12" s="4"/>
      <c r="B12" s="4"/>
      <c r="C12" s="4"/>
      <c r="D12" s="4"/>
      <c r="E12" s="4"/>
      <c r="F12" s="4"/>
      <c r="G12" s="4"/>
    </row>
    <row r="13" spans="1:7" ht="17.25" customHeight="1" x14ac:dyDescent="0.2">
      <c r="A13" s="4"/>
      <c r="B13" s="4"/>
      <c r="C13" s="4"/>
      <c r="D13" s="4"/>
      <c r="E13" s="4"/>
      <c r="F13" s="4"/>
      <c r="G13" s="4"/>
    </row>
    <row r="14" spans="1:7" ht="17.25" customHeight="1" x14ac:dyDescent="0.2">
      <c r="A14" s="4"/>
      <c r="B14" s="4"/>
      <c r="C14" s="4"/>
      <c r="D14" s="4"/>
      <c r="E14" s="4"/>
      <c r="F14" s="4"/>
      <c r="G14" s="4"/>
    </row>
    <row r="15" spans="1:7" ht="17.25" customHeight="1" x14ac:dyDescent="0.2">
      <c r="A15" s="4"/>
      <c r="B15" s="4"/>
      <c r="C15" s="4"/>
      <c r="D15" s="4"/>
      <c r="E15" s="4"/>
      <c r="F15" s="4"/>
      <c r="G15" s="4"/>
    </row>
    <row r="16" spans="1:7" ht="17.25" customHeight="1" x14ac:dyDescent="0.2">
      <c r="A16" s="4"/>
      <c r="B16" s="4"/>
      <c r="C16" s="4"/>
      <c r="D16" s="4"/>
      <c r="E16" s="4"/>
      <c r="F16" s="4"/>
      <c r="G16" s="4"/>
    </row>
    <row r="17" spans="1:7" ht="17.25" customHeight="1" x14ac:dyDescent="0.2">
      <c r="A17" s="4"/>
      <c r="B17" s="4"/>
      <c r="C17" s="4"/>
      <c r="D17" s="4"/>
      <c r="E17" s="4"/>
      <c r="F17" s="4"/>
      <c r="G17" s="4"/>
    </row>
    <row r="18" spans="1:7" ht="17.25" customHeight="1" x14ac:dyDescent="0.2">
      <c r="A18" s="4"/>
      <c r="B18" s="4"/>
      <c r="C18" s="4"/>
      <c r="D18" s="4"/>
      <c r="E18" s="4"/>
      <c r="F18" s="4"/>
      <c r="G18" s="4"/>
    </row>
    <row r="19" spans="1:7" ht="17.25" customHeight="1" x14ac:dyDescent="0.2">
      <c r="A19" s="4"/>
      <c r="B19" s="4"/>
      <c r="C19" s="4"/>
      <c r="D19" s="4"/>
      <c r="E19" s="4"/>
      <c r="F19" s="4"/>
      <c r="G19" s="4"/>
    </row>
    <row r="20" spans="1:7" ht="17.25" customHeight="1" x14ac:dyDescent="0.2">
      <c r="A20" s="4"/>
      <c r="B20" s="4"/>
      <c r="C20" s="4"/>
      <c r="D20" s="4"/>
      <c r="E20" s="4"/>
      <c r="F20" s="4"/>
      <c r="G20" s="4"/>
    </row>
    <row r="21" spans="1:7" ht="15" customHeight="1" x14ac:dyDescent="0.2">
      <c r="A21" s="4"/>
      <c r="B21" s="4"/>
      <c r="C21" s="4"/>
      <c r="D21" s="4"/>
      <c r="E21" s="4"/>
      <c r="F21" s="4"/>
      <c r="G21" s="4"/>
    </row>
    <row r="22" spans="1:7" ht="15" customHeight="1" x14ac:dyDescent="0.2"/>
    <row r="23" spans="1:7" ht="30" customHeight="1" x14ac:dyDescent="0.2">
      <c r="A23" s="38" t="s">
        <v>25</v>
      </c>
      <c r="B23" s="24" t="s">
        <v>93</v>
      </c>
      <c r="C23" s="24" t="s">
        <v>94</v>
      </c>
      <c r="D23" s="24" t="s">
        <v>95</v>
      </c>
      <c r="E23" s="24" t="s">
        <v>96</v>
      </c>
      <c r="F23" s="24" t="s">
        <v>97</v>
      </c>
      <c r="G23" s="24" t="s">
        <v>98</v>
      </c>
    </row>
    <row r="24" spans="1:7" x14ac:dyDescent="0.2">
      <c r="A24" s="100" t="s">
        <v>26</v>
      </c>
      <c r="B24" s="98">
        <v>13.4</v>
      </c>
      <c r="C24" s="79">
        <v>16.600000000000001</v>
      </c>
      <c r="D24" s="79">
        <v>6.1</v>
      </c>
      <c r="E24" s="79">
        <v>9.5</v>
      </c>
      <c r="F24" s="79">
        <v>7.4</v>
      </c>
      <c r="G24" s="77">
        <v>7.8</v>
      </c>
    </row>
    <row r="25" spans="1:7" x14ac:dyDescent="0.2">
      <c r="A25" s="101" t="s">
        <v>27</v>
      </c>
      <c r="B25" s="110">
        <v>3</v>
      </c>
      <c r="C25" s="88">
        <v>9.5</v>
      </c>
      <c r="D25" s="88">
        <v>0.7</v>
      </c>
      <c r="E25" s="88">
        <v>4.3</v>
      </c>
      <c r="F25" s="88">
        <v>4.3</v>
      </c>
      <c r="G25" s="82">
        <v>2.9</v>
      </c>
    </row>
    <row r="26" spans="1:7" x14ac:dyDescent="0.2">
      <c r="A26" s="101" t="s">
        <v>28</v>
      </c>
      <c r="B26" s="110">
        <v>81.400000000000006</v>
      </c>
      <c r="C26" s="88">
        <v>73.099999999999994</v>
      </c>
      <c r="D26" s="88">
        <v>92</v>
      </c>
      <c r="E26" s="88">
        <v>85</v>
      </c>
      <c r="F26" s="88">
        <v>86.6</v>
      </c>
      <c r="G26" s="82">
        <v>87</v>
      </c>
    </row>
    <row r="27" spans="1:7" x14ac:dyDescent="0.2">
      <c r="A27" s="101" t="s">
        <v>29</v>
      </c>
      <c r="B27" s="110">
        <v>1.1000000000000001</v>
      </c>
      <c r="C27" s="88">
        <v>0.7</v>
      </c>
      <c r="D27" s="88">
        <v>1.1000000000000001</v>
      </c>
      <c r="E27" s="88">
        <v>1.1000000000000001</v>
      </c>
      <c r="F27" s="88">
        <v>1.6</v>
      </c>
      <c r="G27" s="82">
        <v>2.2000000000000002</v>
      </c>
    </row>
    <row r="28" spans="1:7" x14ac:dyDescent="0.2">
      <c r="A28" s="101" t="s">
        <v>45</v>
      </c>
      <c r="B28" s="110">
        <v>0</v>
      </c>
      <c r="C28" s="88">
        <v>0</v>
      </c>
      <c r="D28" s="88">
        <v>0.1</v>
      </c>
      <c r="E28" s="88">
        <v>0.1</v>
      </c>
      <c r="F28" s="88">
        <v>0.1</v>
      </c>
      <c r="G28" s="82">
        <v>0.1</v>
      </c>
    </row>
    <row r="29" spans="1:7" x14ac:dyDescent="0.2">
      <c r="A29" s="31" t="s">
        <v>46</v>
      </c>
      <c r="B29" s="110">
        <v>1</v>
      </c>
      <c r="C29" s="88">
        <v>0.1</v>
      </c>
      <c r="D29" s="88">
        <v>0</v>
      </c>
      <c r="E29" s="88">
        <v>0</v>
      </c>
      <c r="F29" s="88">
        <v>0</v>
      </c>
      <c r="G29" s="82">
        <v>0</v>
      </c>
    </row>
    <row r="30" spans="1:7" x14ac:dyDescent="0.2">
      <c r="A30" s="111" t="s">
        <v>47</v>
      </c>
      <c r="B30" s="99">
        <v>0.1</v>
      </c>
      <c r="C30" s="78">
        <v>0</v>
      </c>
      <c r="D30" s="78">
        <v>0</v>
      </c>
      <c r="E30" s="78">
        <v>0</v>
      </c>
      <c r="F30" s="78">
        <v>0</v>
      </c>
      <c r="G30" s="108">
        <v>0</v>
      </c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32"/>
  <sheetViews>
    <sheetView workbookViewId="0">
      <selection activeCell="A2" sqref="A2:G2"/>
    </sheetView>
  </sheetViews>
  <sheetFormatPr defaultRowHeight="12" x14ac:dyDescent="0.2"/>
  <cols>
    <col min="1" max="1" width="21.140625" style="3" bestFit="1" customWidth="1"/>
    <col min="2" max="2" width="14.7109375" style="3" customWidth="1"/>
    <col min="3" max="5" width="14.85546875" style="3" customWidth="1"/>
    <col min="6" max="6" width="15" style="3" customWidth="1"/>
    <col min="7" max="7" width="13.7109375" style="3" customWidth="1"/>
    <col min="8" max="16384" width="9.140625" style="3"/>
  </cols>
  <sheetData>
    <row r="2" spans="1:13" ht="12.75" x14ac:dyDescent="0.2">
      <c r="A2" s="148" t="s">
        <v>116</v>
      </c>
      <c r="B2" s="148"/>
      <c r="C2" s="148"/>
      <c r="D2" s="148"/>
      <c r="E2" s="148"/>
      <c r="F2" s="148"/>
      <c r="G2" s="148"/>
      <c r="H2" s="39"/>
      <c r="I2" s="39"/>
      <c r="J2" s="39"/>
      <c r="K2" s="39"/>
      <c r="L2" s="39"/>
      <c r="M2" s="39"/>
    </row>
    <row r="3" spans="1:13" ht="11.25" customHeight="1" x14ac:dyDescent="0.2">
      <c r="A3" s="74"/>
      <c r="B3" s="74"/>
      <c r="C3" s="74"/>
      <c r="D3" s="74"/>
      <c r="E3" s="74"/>
      <c r="F3" s="74"/>
      <c r="G3" s="74"/>
      <c r="H3" s="39"/>
      <c r="I3" s="39"/>
      <c r="J3" s="39"/>
      <c r="K3" s="39"/>
      <c r="L3" s="39"/>
      <c r="M3" s="39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4"/>
      <c r="B18" s="4"/>
      <c r="C18" s="4"/>
      <c r="D18" s="4"/>
      <c r="E18" s="4"/>
      <c r="F18" s="4"/>
      <c r="G18" s="4"/>
    </row>
    <row r="19" spans="1:8" x14ac:dyDescent="0.2">
      <c r="A19" s="5"/>
    </row>
    <row r="20" spans="1:8" x14ac:dyDescent="0.2">
      <c r="A20" s="5"/>
    </row>
    <row r="21" spans="1:8" ht="30.75" customHeight="1" x14ac:dyDescent="0.2">
      <c r="A21" s="20"/>
      <c r="B21" s="9" t="s">
        <v>98</v>
      </c>
      <c r="C21" s="9" t="s">
        <v>97</v>
      </c>
      <c r="D21" s="9" t="s">
        <v>96</v>
      </c>
      <c r="E21" s="9" t="s">
        <v>95</v>
      </c>
      <c r="F21" s="9" t="s">
        <v>94</v>
      </c>
      <c r="G21" s="9" t="s">
        <v>93</v>
      </c>
    </row>
    <row r="22" spans="1:8" ht="15" customHeight="1" x14ac:dyDescent="0.2">
      <c r="A22" s="16" t="s">
        <v>30</v>
      </c>
      <c r="B22" s="112">
        <v>65.2</v>
      </c>
      <c r="C22" s="113">
        <v>62.7</v>
      </c>
      <c r="D22" s="79">
        <v>63.4</v>
      </c>
      <c r="E22" s="113">
        <v>64.5</v>
      </c>
      <c r="F22" s="113">
        <v>61.6</v>
      </c>
      <c r="G22" s="114">
        <v>61.3</v>
      </c>
      <c r="H22" s="6"/>
    </row>
    <row r="23" spans="1:8" ht="14.25" customHeight="1" x14ac:dyDescent="0.2">
      <c r="A23" s="17" t="s">
        <v>31</v>
      </c>
      <c r="B23" s="115">
        <v>15.9</v>
      </c>
      <c r="C23" s="116">
        <v>14.9</v>
      </c>
      <c r="D23" s="88">
        <v>16.600000000000001</v>
      </c>
      <c r="E23" s="116">
        <v>15.7</v>
      </c>
      <c r="F23" s="116">
        <v>17.899999999999999</v>
      </c>
      <c r="G23" s="117">
        <v>25.6</v>
      </c>
      <c r="H23" s="6"/>
    </row>
    <row r="24" spans="1:8" ht="15" customHeight="1" x14ac:dyDescent="0.2">
      <c r="A24" s="18" t="s">
        <v>32</v>
      </c>
      <c r="B24" s="118">
        <v>18.899999999999999</v>
      </c>
      <c r="C24" s="119">
        <v>22.4</v>
      </c>
      <c r="D24" s="78">
        <v>20</v>
      </c>
      <c r="E24" s="119">
        <v>19.8</v>
      </c>
      <c r="F24" s="119">
        <v>20.5</v>
      </c>
      <c r="G24" s="120">
        <v>13.1</v>
      </c>
      <c r="H24" s="6"/>
    </row>
    <row r="30" spans="1:8" ht="15.75" x14ac:dyDescent="0.2">
      <c r="B30" s="52"/>
      <c r="C30" s="52"/>
      <c r="D30" s="52"/>
      <c r="E30" s="53"/>
      <c r="F30" s="52"/>
      <c r="G30" s="52"/>
    </row>
    <row r="31" spans="1:8" ht="15.75" x14ac:dyDescent="0.2">
      <c r="B31" s="52"/>
      <c r="C31" s="52"/>
      <c r="D31" s="52"/>
      <c r="E31" s="53"/>
      <c r="F31" s="52"/>
      <c r="G31" s="52"/>
    </row>
    <row r="32" spans="1:8" ht="15.75" x14ac:dyDescent="0.2">
      <c r="B32" s="52"/>
      <c r="C32" s="52"/>
      <c r="D32" s="52"/>
      <c r="E32" s="53"/>
      <c r="F32" s="52"/>
      <c r="G32" s="52"/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46"/>
  <sheetViews>
    <sheetView workbookViewId="0">
      <selection activeCell="A2" sqref="A2:G2"/>
    </sheetView>
  </sheetViews>
  <sheetFormatPr defaultRowHeight="12" x14ac:dyDescent="0.2"/>
  <cols>
    <col min="1" max="1" width="21" style="3" customWidth="1"/>
    <col min="2" max="3" width="14.5703125" style="3" customWidth="1"/>
    <col min="4" max="4" width="14.28515625" style="3" customWidth="1"/>
    <col min="5" max="5" width="14.140625" style="3" customWidth="1"/>
    <col min="6" max="6" width="14.28515625" style="3" customWidth="1"/>
    <col min="7" max="7" width="14.42578125" style="3" customWidth="1"/>
    <col min="8" max="16384" width="9.140625" style="3"/>
  </cols>
  <sheetData>
    <row r="2" spans="1:7" ht="12.75" x14ac:dyDescent="0.2">
      <c r="A2" s="148" t="s">
        <v>111</v>
      </c>
      <c r="B2" s="148"/>
      <c r="C2" s="148"/>
      <c r="D2" s="148"/>
      <c r="E2" s="148"/>
      <c r="F2" s="148"/>
      <c r="G2" s="148"/>
    </row>
    <row r="3" spans="1:7" x14ac:dyDescent="0.2">
      <c r="A3" s="73"/>
      <c r="B3" s="73"/>
      <c r="C3" s="73"/>
      <c r="D3" s="73"/>
      <c r="E3" s="73"/>
      <c r="F3" s="73"/>
      <c r="G3" s="73"/>
    </row>
    <row r="4" spans="1:7" ht="13.5" customHeight="1" x14ac:dyDescent="0.2">
      <c r="A4" s="4"/>
      <c r="B4" s="4"/>
      <c r="C4" s="4"/>
      <c r="D4" s="4"/>
      <c r="E4" s="4"/>
      <c r="F4" s="4"/>
      <c r="G4" s="4"/>
    </row>
    <row r="5" spans="1:7" ht="13.5" customHeight="1" x14ac:dyDescent="0.2">
      <c r="A5" s="4"/>
      <c r="B5" s="4"/>
      <c r="C5" s="4"/>
      <c r="D5" s="4"/>
      <c r="E5" s="4"/>
      <c r="F5" s="4"/>
      <c r="G5" s="4"/>
    </row>
    <row r="6" spans="1:7" ht="13.5" customHeight="1" x14ac:dyDescent="0.2">
      <c r="A6" s="4"/>
      <c r="B6" s="4"/>
      <c r="C6" s="4"/>
      <c r="D6" s="4"/>
      <c r="E6" s="4"/>
      <c r="F6" s="4"/>
      <c r="G6" s="4"/>
    </row>
    <row r="7" spans="1:7" ht="13.5" customHeight="1" x14ac:dyDescent="0.2">
      <c r="A7" s="4"/>
      <c r="B7" s="4"/>
      <c r="C7" s="4"/>
      <c r="D7" s="4"/>
      <c r="E7" s="4"/>
      <c r="F7" s="4"/>
      <c r="G7" s="4"/>
    </row>
    <row r="8" spans="1:7" ht="13.5" customHeight="1" x14ac:dyDescent="0.2">
      <c r="A8" s="4"/>
      <c r="B8" s="4"/>
      <c r="C8" s="4"/>
      <c r="D8" s="4"/>
      <c r="E8" s="4"/>
      <c r="F8" s="4"/>
      <c r="G8" s="4"/>
    </row>
    <row r="9" spans="1:7" ht="13.5" customHeight="1" x14ac:dyDescent="0.2">
      <c r="A9" s="4"/>
      <c r="B9" s="4"/>
      <c r="C9" s="4"/>
      <c r="D9" s="4"/>
      <c r="E9" s="4"/>
      <c r="F9" s="4"/>
      <c r="G9" s="4"/>
    </row>
    <row r="10" spans="1:7" ht="13.5" customHeight="1" x14ac:dyDescent="0.2">
      <c r="A10" s="4"/>
      <c r="B10" s="4"/>
      <c r="C10" s="4"/>
      <c r="D10" s="4"/>
      <c r="E10" s="4"/>
      <c r="F10" s="4"/>
      <c r="G10" s="4"/>
    </row>
    <row r="11" spans="1:7" ht="13.5" customHeight="1" x14ac:dyDescent="0.2">
      <c r="A11" s="4"/>
      <c r="B11" s="4"/>
      <c r="C11" s="4"/>
      <c r="D11" s="4"/>
      <c r="E11" s="4"/>
      <c r="F11" s="4"/>
      <c r="G11" s="4"/>
    </row>
    <row r="12" spans="1:7" ht="13.5" customHeight="1" x14ac:dyDescent="0.2">
      <c r="A12" s="4"/>
      <c r="B12" s="4"/>
      <c r="C12" s="4"/>
      <c r="D12" s="4"/>
      <c r="E12" s="4"/>
      <c r="F12" s="4"/>
      <c r="G12" s="4"/>
    </row>
    <row r="13" spans="1:7" ht="13.5" customHeight="1" x14ac:dyDescent="0.2">
      <c r="A13" s="4"/>
      <c r="B13" s="4"/>
      <c r="C13" s="4"/>
      <c r="D13" s="4"/>
      <c r="E13" s="4"/>
      <c r="F13" s="4"/>
      <c r="G13" s="4"/>
    </row>
    <row r="14" spans="1:7" ht="13.5" customHeight="1" x14ac:dyDescent="0.2">
      <c r="A14" s="4"/>
      <c r="B14" s="4"/>
      <c r="C14" s="4"/>
      <c r="D14" s="4"/>
      <c r="E14" s="4"/>
      <c r="F14" s="4"/>
      <c r="G14" s="4"/>
    </row>
    <row r="15" spans="1:7" ht="13.5" customHeight="1" x14ac:dyDescent="0.2">
      <c r="A15" s="4"/>
      <c r="B15" s="4"/>
      <c r="C15" s="4"/>
      <c r="D15" s="4"/>
      <c r="E15" s="4"/>
      <c r="F15" s="4"/>
      <c r="G15" s="4"/>
    </row>
    <row r="16" spans="1:7" ht="13.5" customHeight="1" x14ac:dyDescent="0.2">
      <c r="A16" s="4"/>
      <c r="B16" s="4"/>
      <c r="C16" s="4"/>
      <c r="D16" s="4"/>
      <c r="E16" s="4"/>
      <c r="F16" s="4"/>
      <c r="G16" s="4"/>
    </row>
    <row r="17" spans="1:7" ht="13.5" customHeight="1" x14ac:dyDescent="0.2">
      <c r="A17" s="4"/>
      <c r="B17" s="4"/>
      <c r="C17" s="4"/>
      <c r="D17" s="4"/>
      <c r="E17" s="4"/>
      <c r="F17" s="4"/>
      <c r="G17" s="4"/>
    </row>
    <row r="18" spans="1:7" ht="13.5" customHeight="1" x14ac:dyDescent="0.2">
      <c r="A18" s="4"/>
      <c r="B18" s="4"/>
      <c r="C18" s="4"/>
      <c r="D18" s="4"/>
      <c r="E18" s="4"/>
      <c r="F18" s="4"/>
      <c r="G18" s="4"/>
    </row>
    <row r="19" spans="1:7" ht="13.5" customHeight="1" x14ac:dyDescent="0.2">
      <c r="A19" s="4"/>
      <c r="B19" s="4"/>
      <c r="C19" s="4"/>
      <c r="D19" s="4"/>
      <c r="E19" s="4"/>
      <c r="F19" s="4"/>
      <c r="G19" s="4"/>
    </row>
    <row r="20" spans="1:7" ht="13.5" customHeight="1" x14ac:dyDescent="0.2">
      <c r="A20" s="4"/>
      <c r="B20" s="4"/>
      <c r="C20" s="4"/>
      <c r="D20" s="4"/>
      <c r="E20" s="4"/>
      <c r="F20" s="4"/>
      <c r="G20" s="4"/>
    </row>
    <row r="21" spans="1:7" ht="13.5" customHeight="1" x14ac:dyDescent="0.2">
      <c r="A21" s="4"/>
      <c r="B21" s="4"/>
      <c r="C21" s="4"/>
      <c r="D21" s="4"/>
      <c r="E21" s="4"/>
      <c r="F21" s="4"/>
      <c r="G21" s="4"/>
    </row>
    <row r="22" spans="1:7" ht="13.5" customHeight="1" x14ac:dyDescent="0.2">
      <c r="A22" s="5"/>
    </row>
    <row r="23" spans="1:7" ht="13.5" customHeight="1" x14ac:dyDescent="0.2">
      <c r="A23" s="5"/>
    </row>
    <row r="24" spans="1:7" ht="14.25" customHeight="1" x14ac:dyDescent="0.2">
      <c r="A24" s="5"/>
    </row>
    <row r="25" spans="1:7" ht="27" customHeight="1" x14ac:dyDescent="0.2">
      <c r="A25" s="37"/>
      <c r="B25" s="9" t="s">
        <v>98</v>
      </c>
      <c r="C25" s="9" t="s">
        <v>97</v>
      </c>
      <c r="D25" s="9" t="s">
        <v>96</v>
      </c>
      <c r="E25" s="9" t="s">
        <v>95</v>
      </c>
      <c r="F25" s="9" t="s">
        <v>94</v>
      </c>
      <c r="G25" s="9" t="s">
        <v>93</v>
      </c>
    </row>
    <row r="26" spans="1:7" x14ac:dyDescent="0.2">
      <c r="A26" s="121" t="s">
        <v>33</v>
      </c>
      <c r="B26" s="14">
        <f>IF(OR(346385.25703="",346385.25703="***"),"-",346385.25703/1314797.53704*100)</f>
        <v>26.34514039399679</v>
      </c>
      <c r="C26" s="14">
        <f>IF(380464.81782="","-",380464.81782/1361213.47779*100)</f>
        <v>27.950415127956578</v>
      </c>
      <c r="D26" s="14">
        <f>IF(294103.432="","-",294103.432/1170176.53664*100)</f>
        <v>25.13325321361145</v>
      </c>
      <c r="E26" s="14">
        <f>IF(372797.84571="","-",372797.84571/1331502.34087*100)</f>
        <v>27.998286917499144</v>
      </c>
      <c r="F26" s="14">
        <f>IF(664092.56172="","-",664092.56172/2291388.90956*100)</f>
        <v>28.982097231478754</v>
      </c>
      <c r="G26" s="11">
        <f>IF(644949.38094="","-",644949.38094/2042225.30373*100)</f>
        <v>31.580716376495737</v>
      </c>
    </row>
    <row r="27" spans="1:7" x14ac:dyDescent="0.2">
      <c r="A27" s="122" t="s">
        <v>38</v>
      </c>
      <c r="B27" s="15">
        <f>IF(OR(38624.94186="",38624.94186="***"),"-",38624.94186/1314797.53704*100)</f>
        <v>2.9377102384110194</v>
      </c>
      <c r="C27" s="15">
        <f>IF(36805.30296="","-",36805.30296/1361213.47779*100)</f>
        <v>2.7038597222645273</v>
      </c>
      <c r="D27" s="15">
        <f>IF(27426.28564="","-",27426.28564/1170176.53664*100)</f>
        <v>2.3437733351542649</v>
      </c>
      <c r="E27" s="15">
        <f>IF(36994.72555="","-",36994.72555/1331502.34087*100)</f>
        <v>2.7784198656254522</v>
      </c>
      <c r="F27" s="15">
        <f>IF(249419.16065="","-",249419.16065/2291388.90956*100)</f>
        <v>10.885064495572438</v>
      </c>
      <c r="G27" s="124">
        <f>IF(359269.83084="","-",359269.83084/2042225.30373*100)</f>
        <v>17.592076162400669</v>
      </c>
    </row>
    <row r="28" spans="1:7" x14ac:dyDescent="0.2">
      <c r="A28" s="122" t="s">
        <v>36</v>
      </c>
      <c r="B28" s="15">
        <f>IF(OR(147373.44482="",147373.44482="***"),"-",147373.44482/1314797.53704*100)</f>
        <v>11.208831829102861</v>
      </c>
      <c r="C28" s="15">
        <f>IF(135801.93342="","-",135801.93342/1361213.47779*100)</f>
        <v>9.9765345873948732</v>
      </c>
      <c r="D28" s="15">
        <f>IF(106152.85536="","-",106152.85536/1170176.53664*100)</f>
        <v>9.0715248542585911</v>
      </c>
      <c r="E28" s="15">
        <f>IF(94262.19702="","-",94262.19702/1331502.34087*100)</f>
        <v>7.0793865040003876</v>
      </c>
      <c r="F28" s="15">
        <f>IF(194879.09186="","-",194879.09186/2291388.90956*100)</f>
        <v>8.5048457312041936</v>
      </c>
      <c r="G28" s="124">
        <f>IF(138835.66346="","-",138835.66346/2042225.30373*100)</f>
        <v>6.7982540029459599</v>
      </c>
    </row>
    <row r="29" spans="1:7" x14ac:dyDescent="0.2">
      <c r="A29" s="122" t="s">
        <v>34</v>
      </c>
      <c r="B29" s="15">
        <f>IF(OR(113271.54724="",113271.54724="***"),"-",113271.54724/1314797.53704*100)</f>
        <v>8.6151322959585031</v>
      </c>
      <c r="C29" s="15">
        <f>IF(124696.9991="","-",124696.9991/1361213.47779*100)</f>
        <v>9.160723217525879</v>
      </c>
      <c r="D29" s="15">
        <f>IF(103565.77618="","-",103565.77618/1170176.53664*100)</f>
        <v>8.8504403341887876</v>
      </c>
      <c r="E29" s="15">
        <f>IF(134639.37704="","-",134639.37704/1331502.34087*100)</f>
        <v>10.111839304167276</v>
      </c>
      <c r="F29" s="15">
        <f>IF(128914.89151="","-",128914.89151/2291388.90956*100)</f>
        <v>5.6260589798680076</v>
      </c>
      <c r="G29" s="124">
        <f>IF(111972.0946="","-",111972.0946/2042225.30373*100)</f>
        <v>5.4828472840626246</v>
      </c>
    </row>
    <row r="30" spans="1:7" x14ac:dyDescent="0.2">
      <c r="A30" s="122" t="s">
        <v>99</v>
      </c>
      <c r="B30" s="15">
        <f>IF(OR(107450.65862="",107450.65862="***"),"-",107450.65862/1314797.53704*100)</f>
        <v>8.1724110057205746</v>
      </c>
      <c r="C30" s="15">
        <f>IF(114429.1032="","-",114429.1032/1361213.47779*100)</f>
        <v>8.4064039231951728</v>
      </c>
      <c r="D30" s="15">
        <f>IF(123801.65856="","-",123801.65856/1170176.53664*100)</f>
        <v>10.579742003328773</v>
      </c>
      <c r="E30" s="15">
        <f>IF(128518.68923="","-",128518.68923/1331502.34087*100)</f>
        <v>9.6521564615520123</v>
      </c>
      <c r="F30" s="15">
        <f>IF(116897.16416="","-",116897.16416/2291388.90956*100)</f>
        <v>5.1015854913274836</v>
      </c>
      <c r="G30" s="124">
        <f>IF(80890.44391="","-",80890.44391/2042225.30373*100)</f>
        <v>3.9608971528390393</v>
      </c>
    </row>
    <row r="31" spans="1:7" x14ac:dyDescent="0.2">
      <c r="A31" s="122" t="s">
        <v>35</v>
      </c>
      <c r="B31" s="15">
        <f>IF(OR(50518.66389="",50518.66389="***"),"-",50518.66389/1314797.53704*100)</f>
        <v>3.8423150688076682</v>
      </c>
      <c r="C31" s="15">
        <f>IF(121593.52444="","-",121593.52444/1361213.47779*100)</f>
        <v>8.9327299812967862</v>
      </c>
      <c r="D31" s="15">
        <f>IF(85304.66918="","-",85304.66918/1170176.53664*100)</f>
        <v>7.289897422224902</v>
      </c>
      <c r="E31" s="15">
        <f>IF(114951.2905="","-",114951.2905/1331502.34087*100)</f>
        <v>8.6332022837369671</v>
      </c>
      <c r="F31" s="15">
        <f>IF(211626.48713="","-",211626.48713/2291388.90956*100)</f>
        <v>9.2357297465770323</v>
      </c>
      <c r="G31" s="124">
        <f>IF(79873.69665="","-",79873.69665/2042225.30373*100)</f>
        <v>3.9111109094631016</v>
      </c>
    </row>
    <row r="32" spans="1:7" x14ac:dyDescent="0.2">
      <c r="A32" s="122" t="s">
        <v>58</v>
      </c>
      <c r="B32" s="15">
        <f>IF(OR(20753.54191="",20753.54191="***"),"-",20753.54191/1314797.53704*100)</f>
        <v>1.5784591410721982</v>
      </c>
      <c r="C32" s="15">
        <f>IF(24633.96387="","-",24633.96387/1361213.47779*100)</f>
        <v>1.8097061388192031</v>
      </c>
      <c r="D32" s="15">
        <f>IF(39229.52009="","-",39229.52009/1170176.53664*100)</f>
        <v>3.3524445980298099</v>
      </c>
      <c r="E32" s="15">
        <f>IF(42546.95593="","-",42546.95593/1331502.34087*100)</f>
        <v>3.1954097731589366</v>
      </c>
      <c r="F32" s="15">
        <f>IF(50234.41683="","-",50234.41683/2291388.90956*100)</f>
        <v>2.1923129949881002</v>
      </c>
      <c r="G32" s="124">
        <f>IF(79636.39323="","-",79636.39323/2042225.30373*100)</f>
        <v>3.8994910642106424</v>
      </c>
    </row>
    <row r="33" spans="1:7" x14ac:dyDescent="0.2">
      <c r="A33" s="122" t="s">
        <v>37</v>
      </c>
      <c r="B33" s="15">
        <f>IF(OR(46125.68362="",46125.68362="***"),"-",46125.68362/1314797.53704*100)</f>
        <v>3.5081966858443185</v>
      </c>
      <c r="C33" s="15">
        <f>IF(52151.67968="","-",52151.67968/1361213.47779*100)</f>
        <v>3.8312638341394432</v>
      </c>
      <c r="D33" s="15">
        <f>IF(46796.79321="","-",46796.79321/1170176.53664*100)</f>
        <v>3.9991225037181581</v>
      </c>
      <c r="E33" s="15">
        <f>IF(51781.25467="","-",51781.25467/1331502.34087*100)</f>
        <v>3.8889345576490895</v>
      </c>
      <c r="F33" s="15">
        <f>IF(63012.15815="","-",63012.15815/2291388.90956*100)</f>
        <v>2.7499547495889645</v>
      </c>
      <c r="G33" s="124">
        <f>IF(57235.85473="","-",57235.85473/2042225.30373*100)</f>
        <v>2.8026219548578797</v>
      </c>
    </row>
    <row r="34" spans="1:7" x14ac:dyDescent="0.2">
      <c r="A34" s="122" t="s">
        <v>39</v>
      </c>
      <c r="B34" s="15">
        <f>IF(OR(49022.43812="",49022.43812="***"),"-",49022.43812/1314797.53704*100)</f>
        <v>3.7285161204639974</v>
      </c>
      <c r="C34" s="15">
        <f>IF(41805.31588="","-",41805.31588/1361213.47779*100)</f>
        <v>3.0711799847789547</v>
      </c>
      <c r="D34" s="15">
        <f>IF(32611.59569="","-",32611.59569/1170176.53664*100)</f>
        <v>2.786895367398126</v>
      </c>
      <c r="E34" s="15">
        <f>IF(30628.56379="","-",30628.56379/1331502.34087*100)</f>
        <v>2.3003011598152643</v>
      </c>
      <c r="F34" s="15">
        <f>IF(31167.81166="","-",31167.81166/2291388.90956*100)</f>
        <v>1.3602148256004671</v>
      </c>
      <c r="G34" s="124">
        <f>IF(47485.75827="","-",47485.75827/2042225.30373*100)</f>
        <v>2.3251968420560725</v>
      </c>
    </row>
    <row r="35" spans="1:7" x14ac:dyDescent="0.2">
      <c r="A35" s="122" t="s">
        <v>41</v>
      </c>
      <c r="B35" s="15">
        <f>IF(OR(17555.36542="",17555.36542="***"),"-",17555.36542/1314797.53704*100)</f>
        <v>1.3352143524334812</v>
      </c>
      <c r="C35" s="15">
        <f>IF(19934.79232="","-",19934.79232/1361213.47779*100)</f>
        <v>1.4644868453965914</v>
      </c>
      <c r="D35" s="15">
        <f>IF(21744.1889="","-",21744.1889/1170176.53664*100)</f>
        <v>1.8581973077699394</v>
      </c>
      <c r="E35" s="15">
        <f>IF(18605.90427="","-",18605.90427/1331502.34087*100)</f>
        <v>1.3973617393599889</v>
      </c>
      <c r="F35" s="15">
        <f>IF(14697.4172="","-",14697.4172/2291388.90956*100)</f>
        <v>0.64141958349716566</v>
      </c>
      <c r="G35" s="124">
        <f>IF(38535.4326="","-",38535.4326/2042225.30373*100)</f>
        <v>1.8869334607507497</v>
      </c>
    </row>
    <row r="36" spans="1:7" x14ac:dyDescent="0.2">
      <c r="A36" s="122" t="s">
        <v>59</v>
      </c>
      <c r="B36" s="15">
        <f>IF(OR(11119.41616="",11119.41616="***"),"-",11119.41616/1314797.53704*100)</f>
        <v>0.84571318752491054</v>
      </c>
      <c r="C36" s="15">
        <f>IF(11108.34418="","-",11108.34418/1361213.47779*100)</f>
        <v>0.81606187135576758</v>
      </c>
      <c r="D36" s="15">
        <f>IF(12371.62955="","-",12371.62955/1170176.53664*100)</f>
        <v>1.0572447115991079</v>
      </c>
      <c r="E36" s="15">
        <f>IF(11507.30844="","-",11507.30844/1331502.34087*100)</f>
        <v>0.86423493874454305</v>
      </c>
      <c r="F36" s="15">
        <f>IF(21462.14225="","-",21462.14225/2291388.90956*100)</f>
        <v>0.93664336771714718</v>
      </c>
      <c r="G36" s="124">
        <f>IF(27712.51277="","-",27712.51277/2042225.30373*100)</f>
        <v>1.3569762709033517</v>
      </c>
    </row>
    <row r="37" spans="1:7" x14ac:dyDescent="0.2">
      <c r="A37" s="122" t="s">
        <v>42</v>
      </c>
      <c r="B37" s="15">
        <f>IF(OR(29454.50956="",29454.50956="***"),"-",29454.50956/1314797.53704*100)</f>
        <v>2.2402315740802838</v>
      </c>
      <c r="C37" s="15">
        <f>IF(20120.47027="","-",20120.47027/1361213.47779*100)</f>
        <v>1.4781274648166591</v>
      </c>
      <c r="D37" s="15">
        <f>IF(18676.9623="","-",18676.9623/1170176.53664*100)</f>
        <v>1.5960807378370714</v>
      </c>
      <c r="E37" s="15">
        <f>IF(16463.55649="","-",16463.55649/1331502.34087*100)</f>
        <v>1.2364647049169104</v>
      </c>
      <c r="F37" s="15">
        <f>IF(111426.18143="","-",111426.18143/2291388.90956*100)</f>
        <v>4.8628227606895598</v>
      </c>
      <c r="G37" s="124">
        <f>IF(26816.17345="","-",26816.17345/2042225.30373*100)</f>
        <v>1.3130859460521762</v>
      </c>
    </row>
    <row r="38" spans="1:7" x14ac:dyDescent="0.2">
      <c r="A38" s="122" t="s">
        <v>40</v>
      </c>
      <c r="B38" s="15">
        <f>IF(OR(3844.23494="",3844.23494="***"),"-",3844.23494/1314797.53704*100)</f>
        <v>0.29238227420584578</v>
      </c>
      <c r="C38" s="15">
        <f>IF(4194.6282="","-",4194.6282/1361213.47779*100)</f>
        <v>0.30815359004600767</v>
      </c>
      <c r="D38" s="15">
        <f>IF(8639.94947="","-",8639.94947/1170176.53664*100)</f>
        <v>0.73834581359906759</v>
      </c>
      <c r="E38" s="15">
        <f>IF(19218.27851="","-",19218.27851/1331502.34087*100)</f>
        <v>1.4433529645500158</v>
      </c>
      <c r="F38" s="15">
        <f>IF(27394.40994="","-",27394.40994/2291388.90956*100)</f>
        <v>1.1955373365781179</v>
      </c>
      <c r="G38" s="124">
        <f>IF(25329.02256="","-",25329.02256/2042225.30373*100)</f>
        <v>1.2402658273667497</v>
      </c>
    </row>
    <row r="39" spans="1:7" x14ac:dyDescent="0.2">
      <c r="A39" s="122" t="s">
        <v>91</v>
      </c>
      <c r="B39" s="15">
        <f>IF(OR(8492.50015="",8492.50015="***"),"-",8492.50015/1314797.53704*100)</f>
        <v>0.64591695000578886</v>
      </c>
      <c r="C39" s="15">
        <f>IF(7795.97754="","-",7795.97754/1361213.47779*100)</f>
        <v>0.57272262339461777</v>
      </c>
      <c r="D39" s="15">
        <f>IF(8269.452="","-",8269.452/1170176.53664*100)</f>
        <v>0.70668414047546935</v>
      </c>
      <c r="E39" s="15">
        <f>IF(14266.01887="","-",14266.01887/1331502.34087*100)</f>
        <v>1.0714227404721364</v>
      </c>
      <c r="F39" s="15">
        <f>IF(15398.39887="","-",15398.39887/2291388.90956*100)</f>
        <v>0.67201158239684644</v>
      </c>
      <c r="G39" s="124">
        <f>IF(25215.41852="","-",25215.41852/2042225.30373*100)</f>
        <v>1.2347030699279642</v>
      </c>
    </row>
    <row r="40" spans="1:7" x14ac:dyDescent="0.2">
      <c r="A40" s="122" t="s">
        <v>100</v>
      </c>
      <c r="B40" s="15">
        <f>IF(OR(26992.63284="",26992.63284="***"),"-",26992.63284/1314797.53704*100)</f>
        <v>2.0529877855390901</v>
      </c>
      <c r="C40" s="15">
        <f>IF(17926.68986="","-",17926.68986/1361213.47779*100)</f>
        <v>1.3169638820433149</v>
      </c>
      <c r="D40" s="15">
        <f>IF(18384.844="","-",18384.844/1170176.53664*100)</f>
        <v>1.5711171284282912</v>
      </c>
      <c r="E40" s="15">
        <f>IF(17840.99208="","-",17840.99208/1331502.34087*100)</f>
        <v>1.3399144359252682</v>
      </c>
      <c r="F40" s="15">
        <f>IF(23355.90786="","-",23355.90786/2291388.90956*100)</f>
        <v>1.0192904295973431</v>
      </c>
      <c r="G40" s="124">
        <f>IF(23739.32319="","-",23739.32319/2042225.30373*100)</f>
        <v>1.1624242999360341</v>
      </c>
    </row>
    <row r="41" spans="1:7" x14ac:dyDescent="0.2">
      <c r="A41" s="122" t="s">
        <v>89</v>
      </c>
      <c r="B41" s="15">
        <f>IF(OR(4733.02703="",4733.02703="***"),"-",4733.02703/1314797.53704*100)</f>
        <v>0.359981434149584</v>
      </c>
      <c r="C41" s="15">
        <f>IF(4795.85849="","-",4795.85849/1361213.47779*100)</f>
        <v>0.35232228950497335</v>
      </c>
      <c r="D41" s="15">
        <f>IF(7969.26089="","-",7969.26089/1170176.53664*100)</f>
        <v>0.68103065139920071</v>
      </c>
      <c r="E41" s="15">
        <f>IF(4228.19008="","-",4228.19008/1331502.34087*100)</f>
        <v>0.31755033019598844</v>
      </c>
      <c r="F41" s="15">
        <f>IF(11777.62325="","-",11777.62325/2291388.90956*100)</f>
        <v>0.5139949486908173</v>
      </c>
      <c r="G41" s="124">
        <f>IF(21768.94945="","-",21768.94945/2042225.30373*100)</f>
        <v>1.0659425975302697</v>
      </c>
    </row>
    <row r="42" spans="1:7" x14ac:dyDescent="0.2">
      <c r="A42" s="122" t="s">
        <v>81</v>
      </c>
      <c r="B42" s="15">
        <f>IF(OR(7882.82533="",7882.82533="***"),"-",7882.82533/1314797.53704*100)</f>
        <v>0.59954670646452402</v>
      </c>
      <c r="C42" s="15">
        <f>IF(4211.57803="","-",4211.57803/1361213.47779*100)</f>
        <v>0.30939879002944587</v>
      </c>
      <c r="D42" s="15">
        <f>IF(6308.44855="","-",6308.44855/1170176.53664*100)</f>
        <v>0.53910229375422591</v>
      </c>
      <c r="E42" s="15">
        <f>IF(5890.31615="","-",5890.31615/1331502.34087*100)</f>
        <v>0.44238120874434839</v>
      </c>
      <c r="F42" s="15">
        <f>IF(5461.77389="","-",5461.77389/2291388.90956*100)</f>
        <v>0.23836084163682139</v>
      </c>
      <c r="G42" s="124">
        <f>IF(21599.90489="","-",21599.90489/2042225.30373*100)</f>
        <v>1.0576651288449463</v>
      </c>
    </row>
    <row r="43" spans="1:7" x14ac:dyDescent="0.2">
      <c r="A43" s="122" t="s">
        <v>102</v>
      </c>
      <c r="B43" s="15">
        <f>IF(OR(42788.61837="",42788.61837="***"),"-",42788.61837/1314797.53704*100)</f>
        <v>3.2543883879133122</v>
      </c>
      <c r="C43" s="15">
        <f>IF(26145.7018="","-",26145.7018/1361213.47779*100)</f>
        <v>1.9207642465051764</v>
      </c>
      <c r="D43" s="15">
        <f>IF(18617.51527="","-",18617.51527/1170176.53664*100)</f>
        <v>1.5910005616295826</v>
      </c>
      <c r="E43" s="15">
        <f>IF(25929.58601="","-",25929.58601/1331502.34087*100)</f>
        <v>1.9473931974507592</v>
      </c>
      <c r="F43" s="15">
        <f>IF(37637.61874="","-",37637.61874/2291388.90956*100)</f>
        <v>1.6425679020689377</v>
      </c>
      <c r="G43" s="124">
        <f>IF(20835.87232="","-",20835.87232/2042225.30373*100)</f>
        <v>1.0202533619549492</v>
      </c>
    </row>
    <row r="44" spans="1:7" x14ac:dyDescent="0.2">
      <c r="A44" s="122" t="s">
        <v>74</v>
      </c>
      <c r="B44" s="15">
        <f>IF(OR(19187.60976="",19187.60976="***"),"-",19187.60976/1314797.53704*100)</f>
        <v>1.4593585110599621</v>
      </c>
      <c r="C44" s="15">
        <f>IF(18630.32793="","-",18630.32793/1361213.47779*100)</f>
        <v>1.3686558525887722</v>
      </c>
      <c r="D44" s="15">
        <f>IF(17246.15189="","-",17246.15189/1170176.53664*100)</f>
        <v>1.4738076990946971</v>
      </c>
      <c r="E44" s="15">
        <f>IF(18798.03581="","-",18798.03581/1331502.34087*100)</f>
        <v>1.4117914203378279</v>
      </c>
      <c r="F44" s="15">
        <f>IF(44975.93727="","-",44975.93727/2291388.90956*100)</f>
        <v>1.9628242539864795</v>
      </c>
      <c r="G44" s="124">
        <f>IF(19341.10297="","-",19341.10297/2042225.30373*100)</f>
        <v>0.94706019628072646</v>
      </c>
    </row>
    <row r="45" spans="1:7" x14ac:dyDescent="0.2">
      <c r="A45" s="122" t="s">
        <v>57</v>
      </c>
      <c r="B45" s="125">
        <f>IF(OR(17761.18814="",17761.18814="***"),"-",17761.18814/1314797.53704*100)</f>
        <v>1.350868680510743</v>
      </c>
      <c r="C45" s="125">
        <f>IF(10646.02983="","-",10646.02983/1361213.47779*100)</f>
        <v>0.78209847343595051</v>
      </c>
      <c r="D45" s="125">
        <f>IF(20594.02363="","-",20594.02363/1170176.53664*100)</f>
        <v>1.7599074144088451</v>
      </c>
      <c r="E45" s="125">
        <f>IF(13606.23085="","-",13606.23085/1331502.34087*100)</f>
        <v>1.0218705917640165</v>
      </c>
      <c r="F45" s="125">
        <f>IF(19684.66888="","-",19684.66888/2291388.90956*100)</f>
        <v>0.85907149143791206</v>
      </c>
      <c r="G45" s="124">
        <f>IF(17265.37049="","-",17265.37049/2042225.30373*100)</f>
        <v>0.84541947739389256</v>
      </c>
    </row>
    <row r="46" spans="1:7" x14ac:dyDescent="0.2">
      <c r="A46" s="123" t="s">
        <v>101</v>
      </c>
      <c r="B46" s="10">
        <f>IF(OR(29088.33905="",29088.33905="***"),"-",29088.33905/1314797.53704*100)</f>
        <v>2.2123816200239084</v>
      </c>
      <c r="C46" s="10">
        <f>IF(33581.89443="","-",33581.89443/1361213.47779*100)</f>
        <v>2.467055680680001</v>
      </c>
      <c r="D46" s="10">
        <f>IF(40324.65371="","-",40324.65371/1170176.53664*100)</f>
        <v>3.4460316411561847</v>
      </c>
      <c r="E46" s="10">
        <f>IF(15743.33442="","-",15743.33442/1331502.34087*100)</f>
        <v>1.1823737695957297</v>
      </c>
      <c r="F46" s="10">
        <f>IF(55010.29349="","-",55010.29349/2291388.90956*100)</f>
        <v>2.4007401476235324</v>
      </c>
      <c r="G46" s="12">
        <f>IF(17180.79984="","-",17180.79984/2042225.30373*100)</f>
        <v>0.84127837455643695</v>
      </c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58"/>
  <sheetViews>
    <sheetView zoomScaleNormal="100" workbookViewId="0">
      <selection activeCell="A2" sqref="A2:G2"/>
    </sheetView>
  </sheetViews>
  <sheetFormatPr defaultRowHeight="12" x14ac:dyDescent="0.2"/>
  <cols>
    <col min="1" max="1" width="47.140625" style="3" customWidth="1"/>
    <col min="2" max="2" width="13.5703125" style="3" customWidth="1"/>
    <col min="3" max="3" width="10.7109375" style="3" customWidth="1"/>
    <col min="4" max="4" width="12" style="3" customWidth="1"/>
    <col min="5" max="5" width="11.85546875" style="3" customWidth="1"/>
    <col min="6" max="6" width="8.28515625" style="3" customWidth="1"/>
    <col min="7" max="7" width="8" style="3" customWidth="1"/>
    <col min="8" max="8" width="6" style="3" customWidth="1"/>
    <col min="9" max="16384" width="9.140625" style="3"/>
  </cols>
  <sheetData>
    <row r="2" spans="1:8" ht="15" customHeight="1" x14ac:dyDescent="0.2">
      <c r="A2" s="150" t="s">
        <v>82</v>
      </c>
      <c r="B2" s="150"/>
      <c r="C2" s="150"/>
      <c r="D2" s="150"/>
      <c r="E2" s="150"/>
      <c r="F2" s="150"/>
      <c r="G2" s="150"/>
    </row>
    <row r="3" spans="1:8" ht="15" customHeight="1" x14ac:dyDescent="0.2">
      <c r="A3" s="107"/>
      <c r="B3" s="107"/>
      <c r="C3" s="107"/>
      <c r="D3" s="107"/>
      <c r="E3" s="107"/>
      <c r="F3" s="107"/>
      <c r="G3" s="107"/>
    </row>
    <row r="4" spans="1:8" ht="15" customHeight="1" x14ac:dyDescent="0.2">
      <c r="A4" s="48"/>
      <c r="B4" s="48"/>
      <c r="C4" s="48"/>
      <c r="D4" s="48"/>
      <c r="E4" s="48"/>
      <c r="F4" s="48"/>
      <c r="G4" s="48"/>
    </row>
    <row r="5" spans="1:8" ht="15" customHeight="1" x14ac:dyDescent="0.2">
      <c r="A5" s="48"/>
      <c r="B5" s="48"/>
      <c r="C5" s="48"/>
      <c r="D5" s="48"/>
      <c r="E5" s="48"/>
      <c r="F5" s="48"/>
      <c r="G5" s="48"/>
    </row>
    <row r="6" spans="1:8" x14ac:dyDescent="0.2">
      <c r="A6" s="149"/>
      <c r="B6" s="149"/>
      <c r="C6" s="149"/>
      <c r="D6" s="149"/>
      <c r="E6" s="149"/>
      <c r="F6" s="149"/>
      <c r="G6" s="149"/>
      <c r="H6" s="149"/>
    </row>
    <row r="30" spans="1:6" x14ac:dyDescent="0.2">
      <c r="A30" s="96" t="s">
        <v>117</v>
      </c>
      <c r="B30" s="37" t="s">
        <v>44</v>
      </c>
    </row>
    <row r="31" spans="1:6" ht="15" x14ac:dyDescent="0.2">
      <c r="A31" s="126" t="s">
        <v>65</v>
      </c>
      <c r="B31" s="129">
        <v>12.3</v>
      </c>
      <c r="C31" s="102"/>
      <c r="D31" s="104"/>
      <c r="E31" s="105"/>
      <c r="F31" s="105"/>
    </row>
    <row r="32" spans="1:6" ht="15" x14ac:dyDescent="0.2">
      <c r="A32" s="127" t="s">
        <v>79</v>
      </c>
      <c r="B32" s="130">
        <v>8.6999999999999993</v>
      </c>
      <c r="C32" s="102"/>
      <c r="D32" s="104"/>
      <c r="E32" s="105"/>
      <c r="F32" s="105"/>
    </row>
    <row r="33" spans="1:6" ht="15" x14ac:dyDescent="0.2">
      <c r="A33" s="127" t="s">
        <v>60</v>
      </c>
      <c r="B33" s="130">
        <v>14.6</v>
      </c>
      <c r="C33" s="102"/>
      <c r="D33" s="104"/>
      <c r="E33" s="105"/>
      <c r="F33" s="105"/>
    </row>
    <row r="34" spans="1:6" ht="15" x14ac:dyDescent="0.2">
      <c r="A34" s="127" t="s">
        <v>61</v>
      </c>
      <c r="B34" s="130">
        <v>8.3000000000000007</v>
      </c>
      <c r="C34" s="102"/>
      <c r="D34" s="104"/>
      <c r="E34" s="105"/>
      <c r="F34" s="105"/>
    </row>
    <row r="35" spans="1:6" ht="15" x14ac:dyDescent="0.2">
      <c r="A35" s="127" t="s">
        <v>67</v>
      </c>
      <c r="B35" s="130">
        <v>6.4</v>
      </c>
      <c r="C35" s="102"/>
      <c r="D35" s="104"/>
      <c r="E35" s="105"/>
      <c r="F35" s="105"/>
    </row>
    <row r="36" spans="1:6" ht="15" x14ac:dyDescent="0.2">
      <c r="A36" s="127" t="s">
        <v>63</v>
      </c>
      <c r="B36" s="130">
        <v>10</v>
      </c>
      <c r="C36" s="102"/>
      <c r="D36" s="104"/>
      <c r="E36" s="105"/>
      <c r="F36" s="105"/>
    </row>
    <row r="37" spans="1:6" ht="15" x14ac:dyDescent="0.2">
      <c r="A37" s="127" t="s">
        <v>69</v>
      </c>
      <c r="B37" s="130">
        <v>3.2</v>
      </c>
      <c r="C37" s="102"/>
      <c r="D37" s="104"/>
      <c r="E37" s="105"/>
      <c r="F37" s="105"/>
    </row>
    <row r="38" spans="1:6" ht="15" x14ac:dyDescent="0.2">
      <c r="A38" s="127" t="s">
        <v>62</v>
      </c>
      <c r="B38" s="130">
        <v>11.2</v>
      </c>
      <c r="C38" s="102"/>
      <c r="D38" s="104"/>
      <c r="E38" s="105"/>
      <c r="F38" s="105"/>
    </row>
    <row r="39" spans="1:6" ht="15" x14ac:dyDescent="0.2">
      <c r="A39" s="127" t="s">
        <v>66</v>
      </c>
      <c r="B39" s="130">
        <v>3.3</v>
      </c>
      <c r="C39" s="102"/>
      <c r="D39" s="104"/>
      <c r="E39" s="105"/>
      <c r="F39" s="105"/>
    </row>
    <row r="40" spans="1:6" ht="15" x14ac:dyDescent="0.2">
      <c r="A40" s="127" t="s">
        <v>76</v>
      </c>
      <c r="B40" s="130">
        <v>1.8</v>
      </c>
      <c r="C40" s="102"/>
      <c r="D40" s="104"/>
      <c r="E40" s="105"/>
      <c r="F40" s="105"/>
    </row>
    <row r="41" spans="1:6" ht="15" x14ac:dyDescent="0.2">
      <c r="A41" s="127" t="s">
        <v>78</v>
      </c>
      <c r="B41" s="130">
        <v>2</v>
      </c>
      <c r="C41" s="102"/>
      <c r="D41" s="104"/>
      <c r="E41" s="105"/>
      <c r="F41" s="105"/>
    </row>
    <row r="42" spans="1:6" ht="15" x14ac:dyDescent="0.2">
      <c r="A42" s="127" t="s">
        <v>72</v>
      </c>
      <c r="B42" s="130">
        <v>2</v>
      </c>
      <c r="C42" s="102"/>
      <c r="D42" s="104"/>
      <c r="E42" s="105"/>
      <c r="F42" s="105"/>
    </row>
    <row r="43" spans="1:6" ht="15" x14ac:dyDescent="0.2">
      <c r="A43" s="128" t="s">
        <v>68</v>
      </c>
      <c r="B43" s="131">
        <v>16.2</v>
      </c>
      <c r="C43" s="103"/>
      <c r="D43" s="104"/>
      <c r="E43" s="106"/>
      <c r="F43" s="106"/>
    </row>
    <row r="44" spans="1:6" x14ac:dyDescent="0.2">
      <c r="A44" s="59"/>
      <c r="B44" s="80"/>
    </row>
    <row r="45" spans="1:6" x14ac:dyDescent="0.2">
      <c r="A45" s="96" t="s">
        <v>118</v>
      </c>
      <c r="B45" s="27" t="s">
        <v>44</v>
      </c>
    </row>
    <row r="46" spans="1:6" ht="15" x14ac:dyDescent="0.2">
      <c r="A46" s="126" t="s">
        <v>65</v>
      </c>
      <c r="B46" s="129">
        <v>15.9</v>
      </c>
      <c r="D46" s="105"/>
    </row>
    <row r="47" spans="1:6" ht="15" x14ac:dyDescent="0.2">
      <c r="A47" s="127" t="s">
        <v>79</v>
      </c>
      <c r="B47" s="130">
        <v>13.1</v>
      </c>
      <c r="D47" s="105"/>
    </row>
    <row r="48" spans="1:6" ht="15" x14ac:dyDescent="0.2">
      <c r="A48" s="127" t="s">
        <v>60</v>
      </c>
      <c r="B48" s="130">
        <v>9.3000000000000007</v>
      </c>
      <c r="D48" s="105"/>
    </row>
    <row r="49" spans="1:4" ht="15" x14ac:dyDescent="0.2">
      <c r="A49" s="127" t="s">
        <v>61</v>
      </c>
      <c r="B49" s="130">
        <v>7.8</v>
      </c>
      <c r="D49" s="105"/>
    </row>
    <row r="50" spans="1:4" ht="15" x14ac:dyDescent="0.2">
      <c r="A50" s="127" t="s">
        <v>67</v>
      </c>
      <c r="B50" s="130">
        <v>7.2</v>
      </c>
      <c r="D50" s="105"/>
    </row>
    <row r="51" spans="1:4" ht="15" x14ac:dyDescent="0.2">
      <c r="A51" s="127" t="s">
        <v>63</v>
      </c>
      <c r="B51" s="130">
        <v>6.9</v>
      </c>
      <c r="D51" s="105"/>
    </row>
    <row r="52" spans="1:4" ht="15" x14ac:dyDescent="0.2">
      <c r="A52" s="127" t="s">
        <v>69</v>
      </c>
      <c r="B52" s="130">
        <v>4.9000000000000004</v>
      </c>
      <c r="D52" s="105"/>
    </row>
    <row r="53" spans="1:4" ht="15" x14ac:dyDescent="0.2">
      <c r="A53" s="127" t="s">
        <v>62</v>
      </c>
      <c r="B53" s="130">
        <v>4.5</v>
      </c>
      <c r="D53" s="105"/>
    </row>
    <row r="54" spans="1:4" ht="15" x14ac:dyDescent="0.2">
      <c r="A54" s="127" t="s">
        <v>66</v>
      </c>
      <c r="B54" s="130">
        <v>3.5</v>
      </c>
      <c r="D54" s="105"/>
    </row>
    <row r="55" spans="1:4" ht="15" x14ac:dyDescent="0.2">
      <c r="A55" s="127" t="s">
        <v>76</v>
      </c>
      <c r="B55" s="130">
        <v>2.9</v>
      </c>
      <c r="D55" s="105"/>
    </row>
    <row r="56" spans="1:4" ht="15" x14ac:dyDescent="0.2">
      <c r="A56" s="127" t="s">
        <v>78</v>
      </c>
      <c r="B56" s="130">
        <v>2.1</v>
      </c>
      <c r="D56" s="105"/>
    </row>
    <row r="57" spans="1:4" ht="15" x14ac:dyDescent="0.2">
      <c r="A57" s="127" t="s">
        <v>72</v>
      </c>
      <c r="B57" s="130">
        <v>2</v>
      </c>
      <c r="D57" s="105"/>
    </row>
    <row r="58" spans="1:4" ht="15" x14ac:dyDescent="0.2">
      <c r="A58" s="128" t="s">
        <v>68</v>
      </c>
      <c r="B58" s="131">
        <v>19.899999999999999</v>
      </c>
      <c r="D58" s="106"/>
    </row>
  </sheetData>
  <mergeCells count="2">
    <mergeCell ref="A6:H6"/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30"/>
  <sheetViews>
    <sheetView workbookViewId="0">
      <selection activeCell="A2" sqref="A2:M2"/>
    </sheetView>
  </sheetViews>
  <sheetFormatPr defaultRowHeight="12" x14ac:dyDescent="0.2"/>
  <cols>
    <col min="1" max="1" width="8.5703125" style="3" customWidth="1"/>
    <col min="2" max="2" width="9.7109375" style="3" customWidth="1"/>
    <col min="3" max="3" width="10" style="3" customWidth="1"/>
    <col min="4" max="4" width="9.5703125" style="3" customWidth="1"/>
    <col min="5" max="5" width="9.28515625" style="3" bestFit="1" customWidth="1"/>
    <col min="6" max="6" width="10.28515625" style="3" customWidth="1"/>
    <col min="7" max="7" width="9.28515625" style="3" bestFit="1" customWidth="1"/>
    <col min="8" max="8" width="10" style="3" customWidth="1"/>
    <col min="9" max="9" width="9.28515625" style="3" bestFit="1" customWidth="1"/>
    <col min="10" max="10" width="11.85546875" style="3" bestFit="1" customWidth="1"/>
    <col min="11" max="11" width="11.140625" style="3" bestFit="1" customWidth="1"/>
    <col min="12" max="12" width="11.28515625" style="3" bestFit="1" customWidth="1"/>
    <col min="13" max="13" width="11.42578125" style="3" bestFit="1" customWidth="1"/>
    <col min="14" max="14" width="11.28515625" style="3" bestFit="1" customWidth="1"/>
    <col min="15" max="15" width="9.28515625" style="3" bestFit="1" customWidth="1"/>
    <col min="16" max="16" width="11.28515625" style="3" bestFit="1" customWidth="1"/>
    <col min="17" max="17" width="9.28515625" style="3" bestFit="1" customWidth="1"/>
    <col min="18" max="18" width="11.28515625" style="3" bestFit="1" customWidth="1"/>
    <col min="19" max="19" width="9.28515625" style="3" bestFit="1" customWidth="1"/>
    <col min="20" max="20" width="11.28515625" style="3" bestFit="1" customWidth="1"/>
    <col min="21" max="21" width="9.28515625" style="3" bestFit="1" customWidth="1"/>
    <col min="22" max="22" width="11.28515625" style="3" bestFit="1" customWidth="1"/>
    <col min="23" max="23" width="9.28515625" style="3" bestFit="1" customWidth="1"/>
    <col min="24" max="24" width="11.28515625" style="3" bestFit="1" customWidth="1"/>
    <col min="25" max="25" width="9.28515625" style="3" bestFit="1" customWidth="1"/>
    <col min="26" max="16384" width="9.140625" style="3"/>
  </cols>
  <sheetData>
    <row r="2" spans="1:13" ht="12.75" x14ac:dyDescent="0.2">
      <c r="A2" s="148" t="s">
        <v>86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x14ac:dyDescent="0.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3" x14ac:dyDescent="0.2">
      <c r="A22" s="25" t="s">
        <v>0</v>
      </c>
      <c r="B22" s="25" t="s">
        <v>1</v>
      </c>
      <c r="C22" s="37" t="s">
        <v>2</v>
      </c>
      <c r="D22" s="37" t="s">
        <v>3</v>
      </c>
      <c r="E22" s="37" t="s">
        <v>4</v>
      </c>
      <c r="F22" s="37" t="s">
        <v>5</v>
      </c>
      <c r="G22" s="37" t="s">
        <v>6</v>
      </c>
      <c r="H22" s="37" t="s">
        <v>7</v>
      </c>
      <c r="I22" s="37" t="s">
        <v>8</v>
      </c>
      <c r="J22" s="37" t="s">
        <v>9</v>
      </c>
      <c r="K22" s="37" t="s">
        <v>10</v>
      </c>
      <c r="L22" s="37" t="s">
        <v>11</v>
      </c>
      <c r="M22" s="37" t="s">
        <v>12</v>
      </c>
    </row>
    <row r="23" spans="1:13" x14ac:dyDescent="0.2">
      <c r="A23" s="28">
        <v>2018</v>
      </c>
      <c r="B23" s="33">
        <v>374.3</v>
      </c>
      <c r="C23" s="33">
        <v>427.6</v>
      </c>
      <c r="D23" s="33">
        <v>524.1</v>
      </c>
      <c r="E23" s="33">
        <v>444.6</v>
      </c>
      <c r="F23" s="33">
        <v>505.6</v>
      </c>
      <c r="G23" s="33">
        <v>458.7</v>
      </c>
      <c r="H23" s="33">
        <v>488</v>
      </c>
      <c r="I23" s="33">
        <v>480.7</v>
      </c>
      <c r="J23" s="33">
        <v>474</v>
      </c>
      <c r="K23" s="33">
        <v>540.6</v>
      </c>
      <c r="L23" s="33">
        <v>522.6</v>
      </c>
      <c r="M23" s="34">
        <v>519.29999999999995</v>
      </c>
    </row>
    <row r="24" spans="1:13" x14ac:dyDescent="0.2">
      <c r="A24" s="28">
        <v>2019</v>
      </c>
      <c r="B24" s="33">
        <v>372.6</v>
      </c>
      <c r="C24" s="33">
        <v>459.3</v>
      </c>
      <c r="D24" s="33">
        <v>533.79999999999995</v>
      </c>
      <c r="E24" s="33">
        <v>515.6</v>
      </c>
      <c r="F24" s="33">
        <v>481.6</v>
      </c>
      <c r="G24" s="33">
        <v>445.4</v>
      </c>
      <c r="H24" s="33">
        <v>499.1</v>
      </c>
      <c r="I24" s="33">
        <v>464.3</v>
      </c>
      <c r="J24" s="33">
        <v>501.7</v>
      </c>
      <c r="K24" s="33">
        <v>525.29999999999995</v>
      </c>
      <c r="L24" s="33">
        <v>504.1</v>
      </c>
      <c r="M24" s="34">
        <v>539.70000000000005</v>
      </c>
    </row>
    <row r="25" spans="1:13" x14ac:dyDescent="0.2">
      <c r="A25" s="28">
        <v>2020</v>
      </c>
      <c r="B25" s="33">
        <v>379.8</v>
      </c>
      <c r="C25" s="33">
        <v>484.8</v>
      </c>
      <c r="D25" s="33">
        <v>500.5</v>
      </c>
      <c r="E25" s="33">
        <v>285.60000000000002</v>
      </c>
      <c r="F25" s="33">
        <v>329.4</v>
      </c>
      <c r="G25" s="33">
        <v>413.5</v>
      </c>
      <c r="H25" s="33">
        <v>496.6</v>
      </c>
      <c r="I25" s="33">
        <v>433.6</v>
      </c>
      <c r="J25" s="33">
        <v>508.3</v>
      </c>
      <c r="K25" s="33">
        <v>493.6</v>
      </c>
      <c r="L25" s="33">
        <v>522.9</v>
      </c>
      <c r="M25" s="34">
        <v>567.29999999999995</v>
      </c>
    </row>
    <row r="26" spans="1:13" x14ac:dyDescent="0.2">
      <c r="A26" s="28">
        <v>2021</v>
      </c>
      <c r="B26" s="33">
        <v>399.4</v>
      </c>
      <c r="C26" s="33">
        <v>521.4</v>
      </c>
      <c r="D26" s="33">
        <v>630.1</v>
      </c>
      <c r="E26" s="33">
        <v>562.20000000000005</v>
      </c>
      <c r="F26" s="33">
        <v>563.4</v>
      </c>
      <c r="G26" s="33">
        <v>589.6</v>
      </c>
      <c r="H26" s="33">
        <v>562</v>
      </c>
      <c r="I26" s="33">
        <v>574.9</v>
      </c>
      <c r="J26" s="33">
        <v>671.2</v>
      </c>
      <c r="K26" s="33">
        <v>646.79999999999995</v>
      </c>
      <c r="L26" s="33">
        <v>701.5</v>
      </c>
      <c r="M26" s="34">
        <v>754.2</v>
      </c>
    </row>
    <row r="27" spans="1:13" x14ac:dyDescent="0.2">
      <c r="A27" s="28">
        <v>2022</v>
      </c>
      <c r="B27" s="33">
        <v>621.70000000000005</v>
      </c>
      <c r="C27" s="33">
        <v>669.1</v>
      </c>
      <c r="D27" s="15">
        <v>748.3</v>
      </c>
      <c r="E27" s="15">
        <v>770.4</v>
      </c>
      <c r="F27" s="15">
        <v>772.7</v>
      </c>
      <c r="G27" s="33">
        <v>768.4</v>
      </c>
      <c r="H27" s="33">
        <v>761</v>
      </c>
      <c r="I27" s="33">
        <v>780</v>
      </c>
      <c r="J27" s="33">
        <v>844.1</v>
      </c>
      <c r="K27" s="33">
        <v>751.2</v>
      </c>
      <c r="L27" s="33">
        <v>858.3</v>
      </c>
      <c r="M27" s="34">
        <v>873.8</v>
      </c>
    </row>
    <row r="28" spans="1:13" x14ac:dyDescent="0.2">
      <c r="A28" s="29">
        <v>2023</v>
      </c>
      <c r="B28" s="10">
        <v>733.3</v>
      </c>
      <c r="C28" s="10">
        <v>752.5</v>
      </c>
      <c r="D28" s="10">
        <v>821.1</v>
      </c>
      <c r="E28" s="10">
        <v>690.4</v>
      </c>
      <c r="F28" s="10">
        <v>709.2</v>
      </c>
      <c r="G28" s="35">
        <v>665.2</v>
      </c>
      <c r="H28" s="35"/>
      <c r="I28" s="35"/>
      <c r="J28" s="35"/>
      <c r="K28" s="35"/>
      <c r="L28" s="35"/>
      <c r="M28" s="36"/>
    </row>
    <row r="29" spans="1:13" x14ac:dyDescent="0.2">
      <c r="E29" s="109"/>
    </row>
    <row r="30" spans="1:13" x14ac:dyDescent="0.2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</sheetData>
  <mergeCells count="1">
    <mergeCell ref="A2:M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AE32"/>
  <sheetViews>
    <sheetView workbookViewId="0">
      <selection activeCell="A2" sqref="A2:T2"/>
    </sheetView>
  </sheetViews>
  <sheetFormatPr defaultRowHeight="12" x14ac:dyDescent="0.2"/>
  <cols>
    <col min="1" max="1" width="19.140625" style="3" customWidth="1"/>
    <col min="2" max="2" width="6.7109375" style="3" customWidth="1"/>
    <col min="3" max="4" width="5.42578125" style="3" customWidth="1"/>
    <col min="5" max="5" width="5.5703125" style="3" customWidth="1"/>
    <col min="6" max="6" width="5.42578125" style="3" customWidth="1"/>
    <col min="7" max="7" width="6" style="3" customWidth="1"/>
    <col min="8" max="8" width="5.28515625" style="3" customWidth="1"/>
    <col min="9" max="11" width="5.7109375" style="3" customWidth="1"/>
    <col min="12" max="12" width="5.42578125" style="3" customWidth="1"/>
    <col min="13" max="14" width="5.5703125" style="3" customWidth="1"/>
    <col min="15" max="16" width="5.85546875" style="3" customWidth="1"/>
    <col min="17" max="17" width="5.5703125" style="3" customWidth="1"/>
    <col min="18" max="18" width="5.42578125" style="3" customWidth="1"/>
    <col min="19" max="19" width="6" style="3" customWidth="1"/>
    <col min="20" max="20" width="0.140625" style="3" customWidth="1"/>
    <col min="21" max="24" width="6" style="3" customWidth="1"/>
    <col min="25" max="25" width="6.42578125" style="3" customWidth="1"/>
    <col min="26" max="28" width="6.28515625" style="3" customWidth="1"/>
    <col min="29" max="30" width="6.7109375" style="3" customWidth="1"/>
    <col min="31" max="31" width="6.5703125" style="3" customWidth="1"/>
    <col min="32" max="16384" width="9.140625" style="3"/>
  </cols>
  <sheetData>
    <row r="2" spans="1:20" ht="12.75" x14ac:dyDescent="0.2">
      <c r="A2" s="146" t="s">
        <v>87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x14ac:dyDescent="0.2">
      <c r="A3" s="4"/>
    </row>
    <row r="4" spans="1:20" x14ac:dyDescent="0.2">
      <c r="A4" s="4"/>
    </row>
    <row r="5" spans="1:20" x14ac:dyDescent="0.2">
      <c r="A5" s="4"/>
    </row>
    <row r="6" spans="1:20" x14ac:dyDescent="0.2">
      <c r="A6" s="4"/>
    </row>
    <row r="7" spans="1:20" x14ac:dyDescent="0.2">
      <c r="A7" s="4"/>
    </row>
    <row r="8" spans="1:20" x14ac:dyDescent="0.2">
      <c r="A8" s="4"/>
    </row>
    <row r="9" spans="1:20" x14ac:dyDescent="0.2">
      <c r="A9" s="4"/>
    </row>
    <row r="10" spans="1:20" x14ac:dyDescent="0.2">
      <c r="A10" s="4"/>
    </row>
    <row r="11" spans="1:20" x14ac:dyDescent="0.2">
      <c r="A11" s="4"/>
    </row>
    <row r="12" spans="1:20" x14ac:dyDescent="0.2">
      <c r="A12" s="4"/>
    </row>
    <row r="13" spans="1:20" x14ac:dyDescent="0.2">
      <c r="A13" s="4"/>
    </row>
    <row r="14" spans="1:20" x14ac:dyDescent="0.2">
      <c r="A14" s="4"/>
    </row>
    <row r="15" spans="1:20" x14ac:dyDescent="0.2">
      <c r="A15" s="4"/>
    </row>
    <row r="16" spans="1:20" x14ac:dyDescent="0.2">
      <c r="A16" s="4"/>
    </row>
    <row r="17" spans="1:31" x14ac:dyDescent="0.2">
      <c r="A17" s="4"/>
    </row>
    <row r="18" spans="1:31" x14ac:dyDescent="0.2">
      <c r="A18" s="4"/>
    </row>
    <row r="19" spans="1:31" x14ac:dyDescent="0.2">
      <c r="A19" s="4"/>
    </row>
    <row r="20" spans="1:31" x14ac:dyDescent="0.2">
      <c r="A20" s="4"/>
    </row>
    <row r="21" spans="1:31" ht="15" customHeight="1" x14ac:dyDescent="0.2">
      <c r="A21" s="4"/>
    </row>
    <row r="22" spans="1:31" x14ac:dyDescent="0.2">
      <c r="A22" s="4"/>
    </row>
    <row r="23" spans="1:31" x14ac:dyDescent="0.2">
      <c r="A23" s="151"/>
      <c r="B23" s="143">
        <v>2021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5"/>
      <c r="N23" s="143">
        <v>2022</v>
      </c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5"/>
      <c r="Z23" s="147">
        <v>2023</v>
      </c>
      <c r="AA23" s="147"/>
      <c r="AB23" s="147"/>
      <c r="AC23" s="147"/>
      <c r="AD23" s="147"/>
      <c r="AE23" s="147"/>
    </row>
    <row r="24" spans="1:31" x14ac:dyDescent="0.2">
      <c r="A24" s="152"/>
      <c r="B24" s="21" t="s">
        <v>13</v>
      </c>
      <c r="C24" s="21" t="s">
        <v>14</v>
      </c>
      <c r="D24" s="22" t="s">
        <v>15</v>
      </c>
      <c r="E24" s="21" t="s">
        <v>16</v>
      </c>
      <c r="F24" s="21" t="s">
        <v>17</v>
      </c>
      <c r="G24" s="21" t="s">
        <v>22</v>
      </c>
      <c r="H24" s="21" t="s">
        <v>18</v>
      </c>
      <c r="I24" s="21" t="s">
        <v>23</v>
      </c>
      <c r="J24" s="41" t="s">
        <v>19</v>
      </c>
      <c r="K24" s="29" t="s">
        <v>24</v>
      </c>
      <c r="L24" s="27" t="s">
        <v>20</v>
      </c>
      <c r="M24" s="27" t="s">
        <v>21</v>
      </c>
      <c r="N24" s="49" t="s">
        <v>13</v>
      </c>
      <c r="O24" s="49" t="s">
        <v>14</v>
      </c>
      <c r="P24" s="49" t="s">
        <v>15</v>
      </c>
      <c r="Q24" s="21" t="s">
        <v>16</v>
      </c>
      <c r="R24" s="21" t="s">
        <v>17</v>
      </c>
      <c r="S24" s="21" t="s">
        <v>22</v>
      </c>
      <c r="T24" s="21" t="s">
        <v>18</v>
      </c>
      <c r="U24" s="21" t="s">
        <v>23</v>
      </c>
      <c r="V24" s="21" t="s">
        <v>19</v>
      </c>
      <c r="W24" s="22" t="s">
        <v>24</v>
      </c>
      <c r="X24" s="91" t="s">
        <v>20</v>
      </c>
      <c r="Y24" s="91" t="s">
        <v>21</v>
      </c>
      <c r="Z24" s="37" t="s">
        <v>13</v>
      </c>
      <c r="AA24" s="37" t="s">
        <v>14</v>
      </c>
      <c r="AB24" s="37" t="s">
        <v>15</v>
      </c>
      <c r="AC24" s="37" t="s">
        <v>16</v>
      </c>
      <c r="AD24" s="37" t="s">
        <v>17</v>
      </c>
      <c r="AE24" s="37" t="s">
        <v>22</v>
      </c>
    </row>
    <row r="25" spans="1:31" ht="27.75" customHeight="1" x14ac:dyDescent="0.2">
      <c r="A25" s="16" t="s">
        <v>55</v>
      </c>
      <c r="B25" s="55">
        <v>70.397914008513311</v>
      </c>
      <c r="C25" s="14">
        <v>130.56565598353049</v>
      </c>
      <c r="D25" s="14">
        <v>120.83026196604835</v>
      </c>
      <c r="E25" s="56">
        <v>89.231037795592442</v>
      </c>
      <c r="F25" s="14">
        <v>100.2114807539604</v>
      </c>
      <c r="G25" s="14">
        <v>104.66057637383682</v>
      </c>
      <c r="H25" s="14">
        <v>95.30942393156748</v>
      </c>
      <c r="I25" s="14">
        <v>102.30310816744974</v>
      </c>
      <c r="J25" s="14">
        <v>116.7433114933096</v>
      </c>
      <c r="K25" s="14">
        <v>96.368466717330918</v>
      </c>
      <c r="L25" s="15">
        <v>108.45193596997535</v>
      </c>
      <c r="M25" s="11">
        <v>107.60757399325725</v>
      </c>
      <c r="N25" s="92">
        <v>82.42810256467493</v>
      </c>
      <c r="O25" s="15">
        <v>107.62832847463979</v>
      </c>
      <c r="P25" s="15">
        <v>111.83649823538117</v>
      </c>
      <c r="Q25" s="15">
        <v>102.95945766976527</v>
      </c>
      <c r="R25" s="15">
        <v>100.28989015201115</v>
      </c>
      <c r="S25" s="15">
        <v>99.449492493428721</v>
      </c>
      <c r="T25" s="15">
        <v>99.042771669685536</v>
      </c>
      <c r="U25" s="15">
        <v>102.48436324688166</v>
      </c>
      <c r="V25" s="15">
        <v>108.22806008303567</v>
      </c>
      <c r="W25" s="88">
        <v>88.988673647198652</v>
      </c>
      <c r="X25" s="88">
        <v>114.26056736134905</v>
      </c>
      <c r="Y25" s="82">
        <v>101.80484196839581</v>
      </c>
      <c r="Z25" s="98">
        <v>83.923113131090105</v>
      </c>
      <c r="AA25" s="79">
        <v>102.61098940878497</v>
      </c>
      <c r="AB25" s="79">
        <v>109.12064094346417</v>
      </c>
      <c r="AC25" s="79">
        <v>84.078157654874644</v>
      </c>
      <c r="AD25" s="79">
        <v>102.7218186786998</v>
      </c>
      <c r="AE25" s="77">
        <v>93.799562886459725</v>
      </c>
    </row>
    <row r="26" spans="1:31" ht="42" customHeight="1" x14ac:dyDescent="0.2">
      <c r="A26" s="18" t="s">
        <v>56</v>
      </c>
      <c r="B26" s="19">
        <f>IF(379831.59944="","-",399368.86107/379831.59944*100)</f>
        <v>105.14366410240868</v>
      </c>
      <c r="C26" s="10">
        <f>IF(484785.07909="","-",521438.57325/484785.07909*100)</f>
        <v>107.56077192573727</v>
      </c>
      <c r="D26" s="10">
        <f>IF(500496.7331="","-",630055.59405/500496.7331*100)</f>
        <v>125.88605526903886</v>
      </c>
      <c r="E26" s="10">
        <f>IF(285604.18681="","-",562205.14526/285604.18681*100)</f>
        <v>196.84765533007069</v>
      </c>
      <c r="F26" s="10">
        <f>IF(329360.04715="","-",563394.10094/329360.04715*100)</f>
        <v>171.05720800538208</v>
      </c>
      <c r="G26" s="10">
        <f>IF(413539.17419="","-",589651.5133/413539.17419*100)</f>
        <v>142.58661575531545</v>
      </c>
      <c r="H26" s="10">
        <f>IF(496638.96559="","-",561993.46053/496638.96559*100)</f>
        <v>113.15935709199938</v>
      </c>
      <c r="I26" s="10">
        <f>IF(433625.62616="","-",574936.77782/433625.62616*100)</f>
        <v>132.58828425602752</v>
      </c>
      <c r="J26" s="10">
        <f>IF(508337.58442="","-",671200.23342/508337.58442*100)</f>
        <v>132.03828597207149</v>
      </c>
      <c r="K26" s="10">
        <f>IF(493580.30765="","-",646825.37355/493580.30765*100)</f>
        <v>131.0476458490858</v>
      </c>
      <c r="L26" s="10">
        <f>IF(522886.87074="","-",701494.63996/522886.87074*100)</f>
        <v>134.15801375299989</v>
      </c>
      <c r="M26" s="12">
        <f>IF(567302.1235="","-",754196.91196/567302.1235*100)</f>
        <v>132.94448949123316</v>
      </c>
      <c r="N26" s="19">
        <f>IF(399368.86107="","-",621670.20413/399368.86107*100)</f>
        <v>155.66316373900662</v>
      </c>
      <c r="O26" s="10">
        <f>IF(521438.57325="","-",669093.24933/521438.57325*100)</f>
        <v>128.31679197795137</v>
      </c>
      <c r="P26" s="10">
        <f>IF(630055.59405="","-",748290.45998/630055.59405*100)</f>
        <v>118.765783058918</v>
      </c>
      <c r="Q26" s="10">
        <f>IF(562205.14526="","-",770435.79939/562205.14526*100)</f>
        <v>137.03819786880473</v>
      </c>
      <c r="R26" s="10">
        <f>IF(563394.10094="","-",772669.2169/563394.10094*100)</f>
        <v>137.1454219365863</v>
      </c>
      <c r="S26" s="10">
        <f>IF(589651.5133="","-",768415.61486/589651.5133*100)</f>
        <v>130.31690711002199</v>
      </c>
      <c r="T26" s="10">
        <f>IF(561993.46053="","-",761060.1229/561993.46053*100)</f>
        <v>135.42152646798874</v>
      </c>
      <c r="U26" s="10">
        <f>IF(574936.77782="","-",779967.62088/574936.77782*100)</f>
        <v>135.66145895856928</v>
      </c>
      <c r="V26" s="10">
        <f>IF(671200.23342="","-",844143.83056/671200.23342*100)</f>
        <v>125.76631957631956</v>
      </c>
      <c r="W26" s="10">
        <f>IF(646825.37355="","-",751192.39849/646825.37355*100)</f>
        <v>116.13527069403568</v>
      </c>
      <c r="X26" s="10">
        <f>IF(701494.63996="","-",858316.69649/701494.63996*100)</f>
        <v>122.35541764637607</v>
      </c>
      <c r="Y26" s="12">
        <f>IF(754196.91196="","-",873807.95645/754196.91196*100)</f>
        <v>115.85939196955289</v>
      </c>
      <c r="Z26" s="99">
        <f>IF(621670.20413="","-",733326.83984/621670.20413*100)</f>
        <v>117.96075072735046</v>
      </c>
      <c r="AA26" s="78">
        <f>IF(669093.24933="","-",752473.92596/669093.24933*100)</f>
        <v>112.46174232268726</v>
      </c>
      <c r="AB26" s="78">
        <f>IF(748290.45998="","-",821104.37094/748290.45998*100)</f>
        <v>109.73070149283291</v>
      </c>
      <c r="AC26" s="78">
        <f>IF(770435.79939="","-",690369.42751/770435.79939*100)</f>
        <v>89.607651676701252</v>
      </c>
      <c r="AD26" s="78">
        <f>IF(772669.2169="","-",709160.03154/772669.2169*100)</f>
        <v>91.780546711204167</v>
      </c>
      <c r="AE26" s="108">
        <f>IF(768415.61486="","-",665189.00975/768415.61486*100)</f>
        <v>86.566305640625586</v>
      </c>
    </row>
    <row r="27" spans="1:31" x14ac:dyDescent="0.2">
      <c r="A27" s="7"/>
      <c r="B27" s="8"/>
      <c r="C27" s="8"/>
      <c r="D27" s="8"/>
      <c r="E27" s="8"/>
      <c r="F27" s="8"/>
      <c r="G27" s="8"/>
      <c r="H27" s="8"/>
    </row>
    <row r="28" spans="1:31" x14ac:dyDescent="0.2">
      <c r="A28" s="7"/>
      <c r="B28" s="8"/>
      <c r="C28" s="8"/>
      <c r="D28" s="8"/>
      <c r="E28" s="8"/>
      <c r="F28" s="8"/>
      <c r="G28" s="8"/>
      <c r="H28" s="8"/>
      <c r="N28" s="58"/>
      <c r="O28" s="15"/>
      <c r="P28" s="15"/>
      <c r="Q28" s="15"/>
      <c r="R28" s="15"/>
      <c r="S28" s="15"/>
      <c r="T28" s="15"/>
      <c r="U28" s="15"/>
      <c r="V28" s="15"/>
      <c r="W28" s="88"/>
      <c r="X28" s="88"/>
      <c r="Y28" s="88"/>
    </row>
    <row r="29" spans="1:31" x14ac:dyDescent="0.2"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31" ht="15.75" x14ac:dyDescent="0.25">
      <c r="N30" s="62"/>
      <c r="O30" s="62"/>
      <c r="P30" s="62"/>
      <c r="Q30" s="15"/>
      <c r="R30" s="15"/>
      <c r="S30" s="15"/>
      <c r="T30" s="15"/>
      <c r="U30" s="15"/>
      <c r="V30" s="67"/>
      <c r="W30" s="76"/>
    </row>
    <row r="31" spans="1:31" ht="15.75" x14ac:dyDescent="0.25">
      <c r="G31" s="42"/>
      <c r="H31" s="42"/>
      <c r="I31" s="45"/>
      <c r="J31" s="42"/>
      <c r="K31" s="42"/>
      <c r="L31" s="42"/>
      <c r="M31" s="45"/>
      <c r="N31" s="42"/>
      <c r="O31" s="45"/>
      <c r="P31" s="42"/>
      <c r="Q31" s="45"/>
      <c r="R31" s="42"/>
      <c r="S31" s="45"/>
      <c r="T31" s="42"/>
      <c r="U31" s="45"/>
      <c r="V31" s="42"/>
      <c r="W31" s="46"/>
      <c r="X31" s="42"/>
      <c r="Y31" s="42"/>
      <c r="Z31" s="42"/>
      <c r="AA31" s="45"/>
      <c r="AB31" s="42"/>
      <c r="AC31" s="44"/>
    </row>
    <row r="32" spans="1:31" ht="15.75" x14ac:dyDescent="0.2">
      <c r="L32" s="45"/>
    </row>
  </sheetData>
  <mergeCells count="5">
    <mergeCell ref="A23:A24"/>
    <mergeCell ref="B23:M23"/>
    <mergeCell ref="N23:Y23"/>
    <mergeCell ref="A2:T2"/>
    <mergeCell ref="Z23:AE2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15</vt:i4>
      </vt:variant>
    </vt:vector>
  </HeadingPairs>
  <TitlesOfParts>
    <vt:vector size="15" baseType="lpstr">
      <vt:lpstr>Figura 1</vt:lpstr>
      <vt:lpstr>Figura 2</vt:lpstr>
      <vt:lpstr>Sheet1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Petrusca</dc:creator>
  <cp:lastModifiedBy>Inga Daghi</cp:lastModifiedBy>
  <cp:lastPrinted>2023-02-01T07:21:59Z</cp:lastPrinted>
  <dcterms:created xsi:type="dcterms:W3CDTF">2017-02-13T11:50:10Z</dcterms:created>
  <dcterms:modified xsi:type="dcterms:W3CDTF">2023-08-16T13:36:02Z</dcterms:modified>
</cp:coreProperties>
</file>