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tilizator Inga\Desktop\Comert_ect_comunicat\"/>
    </mc:Choice>
  </mc:AlternateContent>
  <xr:revisionPtr revIDLastSave="0" documentId="13_ncr:1_{D95B9442-5552-4BA2-ADF0-8B3F6F458318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2" l="1"/>
  <c r="G40" i="16" l="1"/>
  <c r="G49" i="16"/>
  <c r="G48" i="16"/>
  <c r="G47" i="16"/>
  <c r="G46" i="16"/>
  <c r="G45" i="16"/>
  <c r="G44" i="16"/>
  <c r="G43" i="16"/>
  <c r="G42" i="16"/>
  <c r="G41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AE26" i="8"/>
  <c r="F49" i="16" l="1"/>
  <c r="E49" i="16"/>
  <c r="D49" i="16"/>
  <c r="C49" i="16"/>
  <c r="B49" i="16"/>
  <c r="F48" i="16"/>
  <c r="E48" i="16"/>
  <c r="D48" i="16"/>
  <c r="C48" i="16"/>
  <c r="B48" i="16"/>
  <c r="F47" i="16"/>
  <c r="E47" i="16"/>
  <c r="D47" i="16"/>
  <c r="C47" i="16"/>
  <c r="B47" i="16"/>
  <c r="F46" i="16"/>
  <c r="E46" i="16"/>
  <c r="D46" i="16"/>
  <c r="C46" i="16"/>
  <c r="B46" i="16"/>
  <c r="F45" i="16"/>
  <c r="E45" i="16"/>
  <c r="D45" i="16"/>
  <c r="C45" i="16"/>
  <c r="B45" i="16"/>
  <c r="F44" i="16"/>
  <c r="E44" i="16"/>
  <c r="D44" i="16"/>
  <c r="C44" i="16"/>
  <c r="B44" i="16"/>
  <c r="F43" i="16"/>
  <c r="E43" i="16"/>
  <c r="D43" i="16"/>
  <c r="C43" i="16"/>
  <c r="B43" i="16"/>
  <c r="F42" i="16"/>
  <c r="E42" i="16"/>
  <c r="D42" i="16"/>
  <c r="C42" i="16"/>
  <c r="B42" i="16"/>
  <c r="F41" i="16"/>
  <c r="E41" i="16"/>
  <c r="D41" i="16"/>
  <c r="C41" i="16"/>
  <c r="B41" i="16"/>
  <c r="F40" i="16"/>
  <c r="E40" i="16"/>
  <c r="D40" i="16"/>
  <c r="C40" i="16"/>
  <c r="B40" i="16"/>
  <c r="F39" i="16"/>
  <c r="E39" i="16"/>
  <c r="D39" i="16"/>
  <c r="C39" i="16"/>
  <c r="B39" i="16"/>
  <c r="F38" i="16"/>
  <c r="E38" i="16"/>
  <c r="D38" i="16"/>
  <c r="C38" i="16"/>
  <c r="B38" i="16"/>
  <c r="F37" i="16"/>
  <c r="E37" i="16"/>
  <c r="D37" i="16"/>
  <c r="C37" i="16"/>
  <c r="B37" i="16"/>
  <c r="F36" i="16"/>
  <c r="E36" i="16"/>
  <c r="D36" i="16"/>
  <c r="C36" i="16"/>
  <c r="B36" i="16"/>
  <c r="F35" i="16"/>
  <c r="E35" i="16"/>
  <c r="D35" i="16"/>
  <c r="C35" i="16"/>
  <c r="B35" i="16"/>
  <c r="F34" i="16"/>
  <c r="E34" i="16"/>
  <c r="D34" i="16"/>
  <c r="C34" i="16"/>
  <c r="B34" i="16"/>
  <c r="F33" i="16"/>
  <c r="E33" i="16"/>
  <c r="D33" i="16"/>
  <c r="C33" i="16"/>
  <c r="B33" i="16"/>
  <c r="F32" i="16"/>
  <c r="E32" i="16"/>
  <c r="D32" i="16"/>
  <c r="C32" i="16"/>
  <c r="B32" i="16"/>
  <c r="F31" i="16"/>
  <c r="E31" i="16"/>
  <c r="D31" i="16"/>
  <c r="C31" i="16"/>
  <c r="B31" i="16"/>
  <c r="F30" i="16"/>
  <c r="E30" i="16"/>
  <c r="D30" i="16"/>
  <c r="C30" i="16"/>
  <c r="B30" i="16"/>
  <c r="F29" i="16"/>
  <c r="E29" i="16"/>
  <c r="D29" i="16"/>
  <c r="C29" i="16"/>
  <c r="B29" i="16"/>
  <c r="F28" i="16"/>
  <c r="E28" i="16"/>
  <c r="D28" i="16"/>
  <c r="C28" i="16"/>
  <c r="B28" i="16"/>
  <c r="F27" i="16"/>
  <c r="E27" i="16"/>
  <c r="D27" i="16"/>
  <c r="C27" i="16"/>
  <c r="B27" i="16"/>
  <c r="F26" i="16"/>
  <c r="E26" i="16"/>
  <c r="D26" i="16"/>
  <c r="C26" i="16"/>
  <c r="B26" i="16"/>
  <c r="F25" i="16"/>
  <c r="E25" i="16"/>
  <c r="D25" i="16"/>
  <c r="C25" i="16"/>
  <c r="B25" i="16"/>
  <c r="AD26" i="8" l="1"/>
  <c r="AC26" i="8"/>
  <c r="AB26" i="8"/>
  <c r="AA26" i="8"/>
  <c r="Z26" i="8"/>
  <c r="G46" i="5" l="1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E26" i="2" l="1"/>
  <c r="AD26" i="2"/>
  <c r="AC26" i="2"/>
  <c r="AB26" i="2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<sst xmlns="http://schemas.openxmlformats.org/spreadsheetml/2006/main" count="293" uniqueCount="119">
  <si>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</si>
  <si>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</si>
  <si>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</si>
  <si>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</si>
  <si>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</si>
  <si>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</si>
  <si>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</si>
  <si>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</si>
  <si>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</si>
  <si>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</si>
  <si>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</si>
  <si>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</si>
  <si>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</si>
  <si>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</si>
  <si>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</si>
  <si>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</si>
  <si>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</si>
  <si>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</si>
  <si>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</si>
  <si>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</si>
  <si>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</si>
  <si>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</si>
  <si>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</si>
  <si>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</si>
  <si>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</si>
  <si>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</si>
  <si>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</si>
  <si>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</si>
  <si>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</si>
  <si>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</si>
  <si>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</si>
  <si>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</si>
  <si>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</si>
  <si>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</si>
  <si>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</si>
  <si>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</si>
  <si>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</si>
  <si>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</si>
  <si>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</si>
  <si>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</si>
  <si>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</si>
  <si>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</si>
  <si>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</si>
  <si>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</si>
  <si>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</si>
  <si>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</si>
  <si>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</si>
  <si>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</si>
  <si>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</si>
  <si>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</si>
  <si>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</si>
  <si>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</si>
  <si>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</si>
  <si>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</si>
  <si>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</si>
  <si>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</si>
  <si>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</si>
  <si>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</si>
  <si>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</si>
  <si>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</si>
  <si>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</si>
  <si>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</si>
  <si>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</si>
  <si>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</si>
  <si>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</si>
  <si>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</si>
  <si>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</si>
  <si>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</si>
  <si>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</si>
  <si>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</si>
  <si>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</si>
  <si>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</si>
  <si>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</si>
  <si>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</si>
  <si>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</si>
  <si>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</si>
  <si>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</si>
  <si>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</si>
  <si>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</si>
  <si>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</si>
  <si>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</si>
  <si>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</si>
  <si>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</si>
  <si>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</si>
  <si>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</si>
  <si>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</si>
  <si>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</si>
  <si>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</si>
  <si>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</si>
  <si>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</si>
  <si>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Îngrăşăminte minerale sau chimice</t>
  </si>
  <si>
    <t>Liban</t>
  </si>
  <si>
    <t>Articole prelucrate din metal</t>
  </si>
  <si>
    <t>Ianuarie-iunie 2023</t>
  </si>
  <si>
    <t>Ianuarie-iunie 2022</t>
  </si>
  <si>
    <t>Ianuarie-iunie 2021</t>
  </si>
  <si>
    <t>Ianuarie-iunie 2020</t>
  </si>
  <si>
    <t>Ianuarie-iunie 2019</t>
  </si>
  <si>
    <t>Ianuarie-iunie 2018</t>
  </si>
  <si>
    <t>Federația Rusă</t>
  </si>
  <si>
    <t>Franța</t>
  </si>
  <si>
    <t>Elveția</t>
  </si>
  <si>
    <t>Regatul Unit</t>
  </si>
  <si>
    <t>China</t>
  </si>
  <si>
    <t>India</t>
  </si>
  <si>
    <t>Austria</t>
  </si>
  <si>
    <t>Japonia</t>
  </si>
  <si>
    <t>Slovacia</t>
  </si>
  <si>
    <t>Belgia</t>
  </si>
  <si>
    <t>Coreea de Sud</t>
  </si>
  <si>
    <r>
      <rPr>
        <b/>
        <sz val="10"/>
        <color rgb="FF000000"/>
        <rFont val="Arial"/>
        <family val="2"/>
        <charset val="204"/>
      </rPr>
      <t xml:space="preserve">Figura 3. </t>
    </r>
    <r>
      <rPr>
        <b/>
        <i/>
        <sz val="10"/>
        <color indexed="8"/>
        <rFont val="Arial"/>
        <family val="2"/>
        <charset val="204"/>
      </rPr>
      <t>Structura exporturilor de mărfuri, în ianuarie-iunie 2018-2023, după modul de transport (%)</t>
    </r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</si>
  <si>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exporturilor, în ianuarie-iunie 2018-2023, pe principalele ţări de destinaţie a mărfurilor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</si>
  <si>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ianuarie-iunie 2018-2023, după modul de transport (%)</t>
    </r>
  </si>
  <si>
    <r>
      <t xml:space="preserve">    </t>
    </r>
    <r>
      <rPr>
        <b/>
        <sz val="10"/>
        <color theme="1"/>
        <rFont val="Arial"/>
        <family val="2"/>
        <charset val="204"/>
      </rPr>
      <t>Figura 10.</t>
    </r>
    <r>
      <rPr>
        <b/>
        <i/>
        <sz val="10"/>
        <color theme="1"/>
        <rFont val="Arial"/>
        <family val="2"/>
        <charset val="204"/>
      </rPr>
      <t xml:space="preserve"> Structura importurilor de mărfuri, în ianuarie-iunie 2018-2023, pe grupe de ţări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</si>
  <si>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ianuarie-iunie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</si>
  <si>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ianuarie-iunie 2018-2023 (milioane dolari SUA)</t>
    </r>
  </si>
  <si>
    <r>
      <rPr>
        <b/>
        <sz val="10"/>
        <color rgb="FF000000"/>
        <rFont val="Arial"/>
        <family val="2"/>
        <charset val="204"/>
      </rPr>
      <t xml:space="preserve">Figura 4. </t>
    </r>
    <r>
      <rPr>
        <b/>
        <i/>
        <sz val="10"/>
        <color indexed="8"/>
        <rFont val="Arial"/>
        <family val="2"/>
        <charset val="204"/>
      </rPr>
      <t>Structura exporturilor de mărfuri, în ianuarie-iunie 2018-2023, pe grupe de ţări (%)</t>
    </r>
  </si>
  <si>
    <t xml:space="preserve">   Ianuarie-iunie 2022</t>
  </si>
  <si>
    <t xml:space="preserve">   Ianuarie-iunie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</si>
</sst>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3" fillId="0" borderId="0" xfId="0" applyFont="1"/>
    <xf numFmtId="164" fontId="4" fillId="0" borderId="1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inden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8" fontId="6" fillId="0" borderId="10" xfId="0" applyNumberFormat="1" applyFont="1" applyBorder="1" applyAlignment="1">
      <alignment horizontal="left" wrapText="1" indent="1"/>
    </xf>
    <xf numFmtId="38" fontId="6" fillId="0" borderId="11" xfId="0" applyNumberFormat="1" applyFont="1" applyBorder="1" applyAlignment="1">
      <alignment horizontal="left" wrapText="1" indent="1"/>
    </xf>
    <xf numFmtId="38" fontId="6" fillId="0" borderId="9" xfId="0" applyNumberFormat="1" applyFont="1" applyBorder="1" applyAlignment="1">
      <alignment horizontal="left" wrapText="1" indent="1"/>
    </xf>
    <xf numFmtId="165" fontId="4" fillId="0" borderId="5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left" wrapText="1" indent="1"/>
    </xf>
    <xf numFmtId="38" fontId="4" fillId="0" borderId="11" xfId="0" applyNumberFormat="1" applyFont="1" applyBorder="1" applyAlignment="1">
      <alignment horizontal="left" wrapText="1" indent="1"/>
    </xf>
    <xf numFmtId="38" fontId="4" fillId="0" borderId="9" xfId="0" applyNumberFormat="1" applyFont="1" applyBorder="1" applyAlignment="1">
      <alignment horizontal="left" wrapText="1" indent="1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left" wrapText="1" indent="1"/>
    </xf>
    <xf numFmtId="0" fontId="3" fillId="0" borderId="3" xfId="0" applyFont="1" applyBorder="1" applyAlignment="1">
      <alignment horizontal="left" indent="1"/>
    </xf>
    <xf numFmtId="38" fontId="4" fillId="0" borderId="2" xfId="0" applyNumberFormat="1" applyFont="1" applyBorder="1" applyAlignment="1">
      <alignment horizontal="left" wrapText="1" indent="1"/>
    </xf>
    <xf numFmtId="38" fontId="4" fillId="0" borderId="0" xfId="0" applyNumberFormat="1" applyFont="1" applyAlignment="1">
      <alignment horizontal="left" wrapText="1" indent="1"/>
    </xf>
    <xf numFmtId="38" fontId="4" fillId="0" borderId="3" xfId="0" applyNumberFormat="1" applyFont="1" applyBorder="1" applyAlignment="1">
      <alignment horizontal="left" wrapText="1" indent="1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#\ 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#\ 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#\ 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#\ 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#\ 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#\ 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#\ 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#\ 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#\ 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#\ 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#\ 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#\ 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213056"/>
        <c:axId val="132369792"/>
      </c:barChart>
      <c:catAx>
        <c:axId val="13521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369792"/>
        <c:crosses val="autoZero"/>
        <c:auto val="0"/>
        <c:lblAlgn val="ctr"/>
        <c:lblOffset val="100"/>
        <c:tickLblSkip val="1"/>
        <c:noMultiLvlLbl val="0"/>
      </c:catAx>
      <c:valAx>
        <c:axId val="13236979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21305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Ianuarie-iunie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0.0</c:formatCode>
                <c:ptCount val="7"/>
                <c:pt idx="0">
                  <c:v>7.6</c:v>
                </c:pt>
                <c:pt idx="1">
                  <c:v>4.2</c:v>
                </c:pt>
                <c:pt idx="2">
                  <c:v>77.2</c:v>
                </c:pt>
                <c:pt idx="3">
                  <c:v>1.7</c:v>
                </c:pt>
                <c:pt idx="4">
                  <c:v>0.1</c:v>
                </c:pt>
                <c:pt idx="5">
                  <c:v>8.5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0.0</c:formatCode>
                <c:ptCount val="7"/>
                <c:pt idx="0">
                  <c:v>6.8</c:v>
                </c:pt>
                <c:pt idx="1">
                  <c:v>4.9000000000000004</c:v>
                </c:pt>
                <c:pt idx="2">
                  <c:v>76.400000000000006</c:v>
                </c:pt>
                <c:pt idx="3">
                  <c:v>1.6</c:v>
                </c:pt>
                <c:pt idx="4">
                  <c:v>0.1</c:v>
                </c:pt>
                <c:pt idx="5">
                  <c:v>9.6999999999999993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0.0</c:formatCode>
                <c:ptCount val="7"/>
                <c:pt idx="0">
                  <c:v>1.9</c:v>
                </c:pt>
                <c:pt idx="1">
                  <c:v>4.7</c:v>
                </c:pt>
                <c:pt idx="2">
                  <c:v>86.6</c:v>
                </c:pt>
                <c:pt idx="3">
                  <c:v>2.4</c:v>
                </c:pt>
                <c:pt idx="4">
                  <c:v>0.2</c:v>
                </c:pt>
                <c:pt idx="5">
                  <c:v>3.6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0.0</c:formatCode>
                <c:ptCount val="7"/>
                <c:pt idx="0">
                  <c:v>1.7</c:v>
                </c:pt>
                <c:pt idx="1">
                  <c:v>4</c:v>
                </c:pt>
                <c:pt idx="2">
                  <c:v>86.6</c:v>
                </c:pt>
                <c:pt idx="3">
                  <c:v>2.4</c:v>
                </c:pt>
                <c:pt idx="4">
                  <c:v>0.2</c:v>
                </c:pt>
                <c:pt idx="5">
                  <c:v>4.7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0.0</c:formatCode>
                <c:ptCount val="7"/>
                <c:pt idx="0">
                  <c:v>2.1</c:v>
                </c:pt>
                <c:pt idx="1">
                  <c:v>4.5999999999999996</c:v>
                </c:pt>
                <c:pt idx="2">
                  <c:v>83.8</c:v>
                </c:pt>
                <c:pt idx="3">
                  <c:v>2.6</c:v>
                </c:pt>
                <c:pt idx="4">
                  <c:v>0.2</c:v>
                </c:pt>
                <c:pt idx="5">
                  <c:v>6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0.0</c:formatCode>
                <c:ptCount val="7"/>
                <c:pt idx="0">
                  <c:v>2.7</c:v>
                </c:pt>
                <c:pt idx="1">
                  <c:v>5.2</c:v>
                </c:pt>
                <c:pt idx="2">
                  <c:v>83.4</c:v>
                </c:pt>
                <c:pt idx="3">
                  <c:v>2.6</c:v>
                </c:pt>
                <c:pt idx="4">
                  <c:v>0.3</c:v>
                </c:pt>
                <c:pt idx="5">
                  <c:v>5.2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760384"/>
        <c:axId val="136513792"/>
      </c:barChart>
      <c:catAx>
        <c:axId val="16776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13792"/>
        <c:crossesAt val="0"/>
        <c:auto val="1"/>
        <c:lblAlgn val="ctr"/>
        <c:lblOffset val="100"/>
        <c:noMultiLvlLbl val="0"/>
      </c:catAx>
      <c:valAx>
        <c:axId val="1365137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76038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172995484888454"/>
          <c:y val="0.91909764444001463"/>
          <c:w val="0.78771182892120173"/>
          <c:h val="7.92840293697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10'!$B$23:$G$23</c:f>
              <c:numCache>
                <c:formatCode>0.0</c:formatCode>
                <c:ptCount val="6"/>
                <c:pt idx="0">
                  <c:v>50</c:v>
                </c:pt>
                <c:pt idx="1">
                  <c:v>49</c:v>
                </c:pt>
                <c:pt idx="2">
                  <c:v>46.7</c:v>
                </c:pt>
                <c:pt idx="3">
                  <c:v>47.4</c:v>
                </c:pt>
                <c:pt idx="4">
                  <c:v>45.9</c:v>
                </c:pt>
                <c:pt idx="5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10'!$B$24:$G$24</c:f>
              <c:numCache>
                <c:formatCode>0.0</c:formatCode>
                <c:ptCount val="6"/>
                <c:pt idx="0">
                  <c:v>23.3</c:v>
                </c:pt>
                <c:pt idx="1">
                  <c:v>24.8</c:v>
                </c:pt>
                <c:pt idx="2">
                  <c:v>24.5</c:v>
                </c:pt>
                <c:pt idx="3">
                  <c:v>22.7</c:v>
                </c:pt>
                <c:pt idx="4">
                  <c:v>26.5</c:v>
                </c:pt>
                <c:pt idx="5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10'!$B$25:$G$25</c:f>
              <c:numCache>
                <c:formatCode>0.0</c:formatCode>
                <c:ptCount val="6"/>
                <c:pt idx="0">
                  <c:v>26.7</c:v>
                </c:pt>
                <c:pt idx="1">
                  <c:v>26.2</c:v>
                </c:pt>
                <c:pt idx="2">
                  <c:v>28.8</c:v>
                </c:pt>
                <c:pt idx="3">
                  <c:v>29.9</c:v>
                </c:pt>
                <c:pt idx="4">
                  <c:v>27.6</c:v>
                </c:pt>
                <c:pt idx="5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198336"/>
        <c:axId val="136516096"/>
      </c:barChart>
      <c:catAx>
        <c:axId val="157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516096"/>
        <c:crosses val="autoZero"/>
        <c:auto val="0"/>
        <c:lblAlgn val="ctr"/>
        <c:lblOffset val="100"/>
        <c:noMultiLvlLbl val="0"/>
      </c:catAx>
      <c:valAx>
        <c:axId val="136516096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19833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Japonia</c:v>
                </c:pt>
                <c:pt idx="19">
                  <c:v>Netherlands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  <c:pt idx="24">
                  <c:v>Coreea de Sud</c:v>
                </c:pt>
              </c:strCache>
            </c:strRef>
          </c:cat>
          <c:val>
            <c:numRef>
              <c:f>'Figura 11'!$B$25:$B$49</c:f>
              <c:numCache>
                <c:formatCode>#\ ##0.0</c:formatCode>
                <c:ptCount val="25"/>
                <c:pt idx="0">
                  <c:v>14.139015355680339</c:v>
                </c:pt>
                <c:pt idx="1">
                  <c:v>9.3518282270953801</c:v>
                </c:pt>
                <c:pt idx="2">
                  <c:v>10.443558450436951</c:v>
                </c:pt>
                <c:pt idx="3">
                  <c:v>5.8988937145565741</c:v>
                </c:pt>
                <c:pt idx="4">
                  <c:v>8.6277816200444715</c:v>
                </c:pt>
                <c:pt idx="5">
                  <c:v>7.156083138053301</c:v>
                </c:pt>
                <c:pt idx="6">
                  <c:v>11.83065665513511</c:v>
                </c:pt>
                <c:pt idx="7">
                  <c:v>3.5166946934202516</c:v>
                </c:pt>
                <c:pt idx="8">
                  <c:v>2.7956147749851934</c:v>
                </c:pt>
                <c:pt idx="9">
                  <c:v>0.53510309382486876</c:v>
                </c:pt>
                <c:pt idx="10">
                  <c:v>2.2487419514763651</c:v>
                </c:pt>
                <c:pt idx="11">
                  <c:v>1.4788027466060283</c:v>
                </c:pt>
                <c:pt idx="12">
                  <c:v>1.2061991017453999</c:v>
                </c:pt>
                <c:pt idx="13">
                  <c:v>0.42686956944459831</c:v>
                </c:pt>
                <c:pt idx="14">
                  <c:v>1.4618325411043904</c:v>
                </c:pt>
                <c:pt idx="15">
                  <c:v>1.3807398614042621</c:v>
                </c:pt>
                <c:pt idx="16">
                  <c:v>6.041522535681184E-2</c:v>
                </c:pt>
                <c:pt idx="17">
                  <c:v>2.0344731166272028</c:v>
                </c:pt>
                <c:pt idx="18">
                  <c:v>1.0304864250454961</c:v>
                </c:pt>
                <c:pt idx="19">
                  <c:v>1.1200906480578525</c:v>
                </c:pt>
                <c:pt idx="20">
                  <c:v>1.8258268112910636</c:v>
                </c:pt>
                <c:pt idx="21">
                  <c:v>0.52196547899875267</c:v>
                </c:pt>
                <c:pt idx="22">
                  <c:v>1.0805138159356096</c:v>
                </c:pt>
                <c:pt idx="23">
                  <c:v>0.85867313405425549</c:v>
                </c:pt>
                <c:pt idx="24">
                  <c:v>0.639244059024342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Japonia</c:v>
                </c:pt>
                <c:pt idx="19">
                  <c:v>Netherlands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  <c:pt idx="24">
                  <c:v>Coreea de Sud</c:v>
                </c:pt>
              </c:strCache>
            </c:strRef>
          </c:cat>
          <c:val>
            <c:numRef>
              <c:f>'Figura 11'!$C$25:$C$49</c:f>
              <c:numCache>
                <c:formatCode>#\ ##0.0</c:formatCode>
                <c:ptCount val="25"/>
                <c:pt idx="0">
                  <c:v>14.198556170110946</c:v>
                </c:pt>
                <c:pt idx="1">
                  <c:v>9.6977678108540779</c:v>
                </c:pt>
                <c:pt idx="2">
                  <c:v>9.89707503286437</c:v>
                </c:pt>
                <c:pt idx="3">
                  <c:v>6.4704781380766878</c:v>
                </c:pt>
                <c:pt idx="4">
                  <c:v>8.4760774473974543</c:v>
                </c:pt>
                <c:pt idx="5">
                  <c:v>7.1469719616262601</c:v>
                </c:pt>
                <c:pt idx="6">
                  <c:v>12.436527185618736</c:v>
                </c:pt>
                <c:pt idx="7">
                  <c:v>3.3462200572891363</c:v>
                </c:pt>
                <c:pt idx="8">
                  <c:v>2.7215256142856434</c:v>
                </c:pt>
                <c:pt idx="9">
                  <c:v>0.64949592925857758</c:v>
                </c:pt>
                <c:pt idx="10">
                  <c:v>2.0337658563855014</c:v>
                </c:pt>
                <c:pt idx="11">
                  <c:v>1.9129447282554433</c:v>
                </c:pt>
                <c:pt idx="12">
                  <c:v>0.83936822687135648</c:v>
                </c:pt>
                <c:pt idx="13">
                  <c:v>0.37302540413096003</c:v>
                </c:pt>
                <c:pt idx="14">
                  <c:v>1.4690843881570459</c:v>
                </c:pt>
                <c:pt idx="15">
                  <c:v>1.2795590994507835</c:v>
                </c:pt>
                <c:pt idx="16">
                  <c:v>0.1523587232940731</c:v>
                </c:pt>
                <c:pt idx="17">
                  <c:v>1.6750335914339369</c:v>
                </c:pt>
                <c:pt idx="18">
                  <c:v>0.80963721819061651</c:v>
                </c:pt>
                <c:pt idx="19">
                  <c:v>1.0596006789405017</c:v>
                </c:pt>
                <c:pt idx="20">
                  <c:v>2.2577749920432999</c:v>
                </c:pt>
                <c:pt idx="21">
                  <c:v>0.61645464521311166</c:v>
                </c:pt>
                <c:pt idx="22">
                  <c:v>0.98084319461756941</c:v>
                </c:pt>
                <c:pt idx="23">
                  <c:v>0.73971161990681567</c:v>
                </c:pt>
                <c:pt idx="24">
                  <c:v>0.58372059024270651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Japonia</c:v>
                </c:pt>
                <c:pt idx="19">
                  <c:v>Netherlands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  <c:pt idx="24">
                  <c:v>Coreea de Sud</c:v>
                </c:pt>
              </c:strCache>
            </c:strRef>
          </c:cat>
          <c:val>
            <c:numRef>
              <c:f>'Figura 11'!$D$25:$D$49</c:f>
              <c:numCache>
                <c:formatCode>#\ ##0.0</c:formatCode>
                <c:ptCount val="25"/>
                <c:pt idx="0">
                  <c:v>12.284593693949148</c:v>
                </c:pt>
                <c:pt idx="1">
                  <c:v>9.5531514722986</c:v>
                </c:pt>
                <c:pt idx="2">
                  <c:v>10.970096423960381</c:v>
                </c:pt>
                <c:pt idx="3">
                  <c:v>6.8274689599240208</c:v>
                </c:pt>
                <c:pt idx="4">
                  <c:v>8.2657867568872092</c:v>
                </c:pt>
                <c:pt idx="5">
                  <c:v>6.7186773363658556</c:v>
                </c:pt>
                <c:pt idx="6">
                  <c:v>12.352346322381507</c:v>
                </c:pt>
                <c:pt idx="7">
                  <c:v>3.889265969837076</c:v>
                </c:pt>
                <c:pt idx="8">
                  <c:v>2.7593556075558738</c:v>
                </c:pt>
                <c:pt idx="9">
                  <c:v>0.70843337370759929</c:v>
                </c:pt>
                <c:pt idx="10">
                  <c:v>2.0287704560190756</c:v>
                </c:pt>
                <c:pt idx="11">
                  <c:v>1.6151330739543053</c:v>
                </c:pt>
                <c:pt idx="12">
                  <c:v>1.079046561528336</c:v>
                </c:pt>
                <c:pt idx="13">
                  <c:v>0.51209087138377485</c:v>
                </c:pt>
                <c:pt idx="14">
                  <c:v>1.5336452926234876</c:v>
                </c:pt>
                <c:pt idx="15">
                  <c:v>1.3601023154989453</c:v>
                </c:pt>
                <c:pt idx="16">
                  <c:v>0.21334603131963961</c:v>
                </c:pt>
                <c:pt idx="17">
                  <c:v>1.1486096652064359</c:v>
                </c:pt>
                <c:pt idx="18">
                  <c:v>1.0104631075504817</c:v>
                </c:pt>
                <c:pt idx="19">
                  <c:v>1.1010509348117929</c:v>
                </c:pt>
                <c:pt idx="20">
                  <c:v>1.9520536772587735</c:v>
                </c:pt>
                <c:pt idx="21">
                  <c:v>0.49952667073499918</c:v>
                </c:pt>
                <c:pt idx="22">
                  <c:v>0.98669712064317527</c:v>
                </c:pt>
                <c:pt idx="23">
                  <c:v>0.77117413896250042</c:v>
                </c:pt>
                <c:pt idx="24">
                  <c:v>0.76866353369337781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Japonia</c:v>
                </c:pt>
                <c:pt idx="19">
                  <c:v>Netherlands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  <c:pt idx="24">
                  <c:v>Coreea de Sud</c:v>
                </c:pt>
              </c:strCache>
            </c:strRef>
          </c:cat>
          <c:val>
            <c:numRef>
              <c:f>'Figura 11'!$E$25:$E$49</c:f>
              <c:numCache>
                <c:formatCode>#\ ##0.0</c:formatCode>
                <c:ptCount val="25"/>
                <c:pt idx="0">
                  <c:v>12.859368660082863</c:v>
                </c:pt>
                <c:pt idx="1">
                  <c:v>9.030433136022129</c:v>
                </c:pt>
                <c:pt idx="2">
                  <c:v>11.775738363078379</c:v>
                </c:pt>
                <c:pt idx="3">
                  <c:v>7.1790047343363623</c:v>
                </c:pt>
                <c:pt idx="4">
                  <c:v>8.3236366800708872</c:v>
                </c:pt>
                <c:pt idx="5">
                  <c:v>6.7367613022904811</c:v>
                </c:pt>
                <c:pt idx="6">
                  <c:v>11.486881629579432</c:v>
                </c:pt>
                <c:pt idx="7">
                  <c:v>3.8124334624362497</c:v>
                </c:pt>
                <c:pt idx="8">
                  <c:v>2.6475204691625942</c:v>
                </c:pt>
                <c:pt idx="9">
                  <c:v>0.67543172292189779</c:v>
                </c:pt>
                <c:pt idx="10">
                  <c:v>1.9544178122964015</c:v>
                </c:pt>
                <c:pt idx="11">
                  <c:v>1.7119031834608409</c:v>
                </c:pt>
                <c:pt idx="12">
                  <c:v>1.1354130342220654</c:v>
                </c:pt>
                <c:pt idx="13">
                  <c:v>0.4353772386256492</c:v>
                </c:pt>
                <c:pt idx="14">
                  <c:v>1.4077742857815614</c:v>
                </c:pt>
                <c:pt idx="15">
                  <c:v>1.6296335099430563</c:v>
                </c:pt>
                <c:pt idx="16">
                  <c:v>0.20970709181772754</c:v>
                </c:pt>
                <c:pt idx="17">
                  <c:v>1.5010298101699615</c:v>
                </c:pt>
                <c:pt idx="18">
                  <c:v>0.973966471044032</c:v>
                </c:pt>
                <c:pt idx="19">
                  <c:v>1.0904066720598138</c:v>
                </c:pt>
                <c:pt idx="20">
                  <c:v>1.7825116741559546</c:v>
                </c:pt>
                <c:pt idx="21">
                  <c:v>0.5547773913234284</c:v>
                </c:pt>
                <c:pt idx="22">
                  <c:v>0.94829635100370202</c:v>
                </c:pt>
                <c:pt idx="23">
                  <c:v>0.7024855479687051</c:v>
                </c:pt>
                <c:pt idx="24">
                  <c:v>0.66228393941249197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Japonia</c:v>
                </c:pt>
                <c:pt idx="19">
                  <c:v>Netherlands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  <c:pt idx="24">
                  <c:v>Coreea de Sud</c:v>
                </c:pt>
              </c:strCache>
            </c:strRef>
          </c:cat>
          <c:val>
            <c:numRef>
              <c:f>'Figura 11'!$F$25:$F$49</c:f>
              <c:numCache>
                <c:formatCode>#\ ##0.0</c:formatCode>
                <c:ptCount val="25"/>
                <c:pt idx="0">
                  <c:v>16.146577921611062</c:v>
                </c:pt>
                <c:pt idx="1">
                  <c:v>9.190303958983888</c:v>
                </c:pt>
                <c:pt idx="2">
                  <c:v>9.416538954135028</c:v>
                </c:pt>
                <c:pt idx="3">
                  <c:v>7.0851621288343924</c:v>
                </c:pt>
                <c:pt idx="4">
                  <c:v>6.6139368414641684</c:v>
                </c:pt>
                <c:pt idx="5">
                  <c:v>5.2479836242299518</c:v>
                </c:pt>
                <c:pt idx="6">
                  <c:v>15.253946208213776</c:v>
                </c:pt>
                <c:pt idx="7">
                  <c:v>3.3353653758316413</c:v>
                </c:pt>
                <c:pt idx="8">
                  <c:v>2.3658808356242083</c:v>
                </c:pt>
                <c:pt idx="9">
                  <c:v>2.5849943702228524</c:v>
                </c:pt>
                <c:pt idx="10">
                  <c:v>2.1283467105544385</c:v>
                </c:pt>
                <c:pt idx="11">
                  <c:v>1.4814238078082129</c:v>
                </c:pt>
                <c:pt idx="12">
                  <c:v>1.4517272638975567</c:v>
                </c:pt>
                <c:pt idx="13">
                  <c:v>0.50634872944295284</c:v>
                </c:pt>
                <c:pt idx="14">
                  <c:v>1.2513705969640065</c:v>
                </c:pt>
                <c:pt idx="15">
                  <c:v>1.6146654187859715</c:v>
                </c:pt>
                <c:pt idx="16">
                  <c:v>0.21328356208810717</c:v>
                </c:pt>
                <c:pt idx="17">
                  <c:v>0.93867690052070063</c:v>
                </c:pt>
                <c:pt idx="18">
                  <c:v>0.66239824705074291</c:v>
                </c:pt>
                <c:pt idx="19">
                  <c:v>1.0143008133230051</c:v>
                </c:pt>
                <c:pt idx="20">
                  <c:v>1.2647225063278478</c:v>
                </c:pt>
                <c:pt idx="21">
                  <c:v>0.57253504369840402</c:v>
                </c:pt>
                <c:pt idx="22">
                  <c:v>0.83197974104386052</c:v>
                </c:pt>
                <c:pt idx="23">
                  <c:v>0.61644985840663125</c:v>
                </c:pt>
                <c:pt idx="24">
                  <c:v>0.70868233641323797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Ianuarie-iunie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11'!$A$25:$A$49</c:f>
              <c:strCache>
                <c:ptCount val="25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Franța</c:v>
                </c:pt>
                <c:pt idx="9">
                  <c:v>India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Spania</c:v>
                </c:pt>
                <c:pt idx="15">
                  <c:v>S.U.A.</c:v>
                </c:pt>
                <c:pt idx="16">
                  <c:v>Kazahstan</c:v>
                </c:pt>
                <c:pt idx="17">
                  <c:v>Austria</c:v>
                </c:pt>
                <c:pt idx="18">
                  <c:v>Japonia</c:v>
                </c:pt>
                <c:pt idx="19">
                  <c:v>Netherlands</c:v>
                </c:pt>
                <c:pt idx="20">
                  <c:v>Belarus</c:v>
                </c:pt>
                <c:pt idx="21">
                  <c:v>Slovacia</c:v>
                </c:pt>
                <c:pt idx="22">
                  <c:v>Regatul Unit </c:v>
                </c:pt>
                <c:pt idx="23">
                  <c:v>Belgia</c:v>
                </c:pt>
                <c:pt idx="24">
                  <c:v>Coreea de Sud</c:v>
                </c:pt>
              </c:strCache>
            </c:strRef>
          </c:cat>
          <c:val>
            <c:numRef>
              <c:f>'Figura 11'!$G$25:$G$49</c:f>
              <c:numCache>
                <c:formatCode>#\ ##0.0</c:formatCode>
                <c:ptCount val="25"/>
                <c:pt idx="0">
                  <c:v>15.572040595336457</c:v>
                </c:pt>
                <c:pt idx="1">
                  <c:v>13.042380821337229</c:v>
                </c:pt>
                <c:pt idx="2">
                  <c:v>10.522677956698827</c:v>
                </c:pt>
                <c:pt idx="3">
                  <c:v>8.6286109051560373</c:v>
                </c:pt>
                <c:pt idx="4">
                  <c:v>6.9857951446914814</c:v>
                </c:pt>
                <c:pt idx="5">
                  <c:v>5.2238464233425521</c:v>
                </c:pt>
                <c:pt idx="6">
                  <c:v>4.5274294202543057</c:v>
                </c:pt>
                <c:pt idx="7">
                  <c:v>3.4062448684121396</c:v>
                </c:pt>
                <c:pt idx="8">
                  <c:v>2.5642742544884056</c:v>
                </c:pt>
                <c:pt idx="9">
                  <c:v>2.4779789820587474</c:v>
                </c:pt>
                <c:pt idx="10">
                  <c:v>2.2303284966354329</c:v>
                </c:pt>
                <c:pt idx="11">
                  <c:v>1.7235744709245775</c:v>
                </c:pt>
                <c:pt idx="12">
                  <c:v>1.7069094776466394</c:v>
                </c:pt>
                <c:pt idx="13">
                  <c:v>1.6407307859053446</c:v>
                </c:pt>
                <c:pt idx="14">
                  <c:v>1.3272171290426782</c:v>
                </c:pt>
                <c:pt idx="15">
                  <c:v>1.3187648924518667</c:v>
                </c:pt>
                <c:pt idx="16">
                  <c:v>1.068663332790043</c:v>
                </c:pt>
                <c:pt idx="17">
                  <c:v>1.0455564985529899</c:v>
                </c:pt>
                <c:pt idx="18">
                  <c:v>1.0396855397706568</c:v>
                </c:pt>
                <c:pt idx="19">
                  <c:v>0.97997552844461167</c:v>
                </c:pt>
                <c:pt idx="20">
                  <c:v>0.95624591620888788</c:v>
                </c:pt>
                <c:pt idx="21">
                  <c:v>0.95203567977026271</c:v>
                </c:pt>
                <c:pt idx="22">
                  <c:v>0.86686257645731002</c:v>
                </c:pt>
                <c:pt idx="23">
                  <c:v>0.66987453363754723</c:v>
                </c:pt>
                <c:pt idx="24">
                  <c:v>0.63648017465957041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394944"/>
        <c:axId val="138070272"/>
      </c:barChart>
      <c:catAx>
        <c:axId val="1573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70272"/>
        <c:crosses val="autoZero"/>
        <c:auto val="1"/>
        <c:lblAlgn val="ctr"/>
        <c:lblOffset val="100"/>
        <c:noMultiLvlLbl val="0"/>
      </c:catAx>
      <c:valAx>
        <c:axId val="138070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39494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447659864083099"/>
          <c:y val="0.91682624943199931"/>
          <c:w val="0.78552340135916898"/>
          <c:h val="8.3173750568000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iunie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81800272677584"/>
          <c:y val="1.20364366218928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4.8817696414950422E-2"/>
                  <c:y val="1.888574688221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1.9832189168573607E-2"/>
                  <c:y val="-4.2396122443881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4744469870327"/>
                      <c:h val="0.16958805873556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1.8306636155606407E-2"/>
                  <c:y val="-7.832618153396281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59026889373381"/>
                      <c:h val="0.168404353655388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2.5934521342726898E-2"/>
                  <c:y val="-9.035536135125592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5545385202132"/>
                      <c:h val="0.12747383047707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5.1253536099749544E-2"/>
                  <c:y val="-4.3791734526476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1.0076097467221632E-2"/>
                  <c:y val="4.24617020846295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6.5893679766001842E-2"/>
                  <c:y val="2.49348367379227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46593632317698"/>
                      <c:h val="0.147309717921294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1501924959608882"/>
                  <c:y val="1.3122471243104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16778560574665008"/>
                  <c:y val="-7.4187080126721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1647095142855427"/>
                  <c:y val="-0.18707120432177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5432566352546892"/>
                  <c:y val="-0.307597066790707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2163606551469396"/>
                  <c:y val="-0.446099186158145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2.2845817041748488E-2"/>
                  <c:y val="-0.567991365496008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20442410373760483"/>
                  <c:y val="-0.215297514457262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12'!$A$45:$A$58</c:f>
              <c:strCache>
                <c:ptCount val="14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Legume şi fructe</c:v>
                </c:pt>
                <c:pt idx="7">
                  <c:v>Maşini şi aparate industriale 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Îngrăşăminte minerale sau chimice</c:v>
                </c:pt>
                <c:pt idx="13">
                  <c:v>Alte mărfuri</c:v>
                </c:pt>
              </c:strCache>
            </c:strRef>
          </c:cat>
          <c:val>
            <c:numRef>
              <c:f>'Figura 12'!$B$45:$B$58</c:f>
              <c:numCache>
                <c:formatCode>0.0</c:formatCode>
                <c:ptCount val="14"/>
                <c:pt idx="0">
                  <c:v>15.9</c:v>
                </c:pt>
                <c:pt idx="1">
                  <c:v>8.4</c:v>
                </c:pt>
                <c:pt idx="2">
                  <c:v>7.4</c:v>
                </c:pt>
                <c:pt idx="3">
                  <c:v>6.4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2.7</c:v>
                </c:pt>
                <c:pt idx="8">
                  <c:v>2.5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</c:v>
                </c:pt>
                <c:pt idx="13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iunie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319716334156549"/>
          <c:y val="1.09127236442937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5.5692070057993009E-2"/>
                  <c:y val="6.7797883345645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3.6036045331642536E-2"/>
                  <c:y val="-8.831705691236756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-2.129402678687968E-2"/>
                  <c:y val="-0.1222931861426745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21286288194468"/>
                      <c:h val="0.155669559179197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1.9343127639827335E-2"/>
                  <c:y val="-0.1150893098486000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44982735200328"/>
                      <c:h val="0.13255262505715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5.2416065936934597E-2"/>
                  <c:y val="-7.46442126780415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4.7207993243692922E-3"/>
                  <c:y val="-2.8478068382852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5.4054067997463928E-2"/>
                  <c:y val="3.4592742476874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20956727338953"/>
                      <c:h val="0.114873421277859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146601442370445"/>
                  <c:y val="1.8215672090694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1633219610418622"/>
                  <c:y val="-4.13145662088843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7263006897149463"/>
                  <c:y val="-0.176075760918490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9550928113837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2820627058704538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4414418132657014"/>
                  <c:y val="-0.419941420262887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6.2244078300109848E-2"/>
                  <c:y val="-0.5454989598902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17690422253715427"/>
                  <c:y val="-0.21971837483815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Legume şi fructe</c:v>
                </c:pt>
                <c:pt idx="7">
                  <c:v>Maşini şi aparate industriale 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Îngrăşăminte minerale sau chimice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0.0</c:formatCode>
                <c:ptCount val="14"/>
                <c:pt idx="0">
                  <c:v>14.7</c:v>
                </c:pt>
                <c:pt idx="1">
                  <c:v>10</c:v>
                </c:pt>
                <c:pt idx="2">
                  <c:v>6.1</c:v>
                </c:pt>
                <c:pt idx="3">
                  <c:v>5.6</c:v>
                </c:pt>
                <c:pt idx="4">
                  <c:v>3.8</c:v>
                </c:pt>
                <c:pt idx="5">
                  <c:v>3.4</c:v>
                </c:pt>
                <c:pt idx="6">
                  <c:v>2.5</c:v>
                </c:pt>
                <c:pt idx="7">
                  <c:v>2.7</c:v>
                </c:pt>
                <c:pt idx="8">
                  <c:v>3.6</c:v>
                </c:pt>
                <c:pt idx="9">
                  <c:v>2</c:v>
                </c:pt>
                <c:pt idx="10">
                  <c:v>2.1</c:v>
                </c:pt>
                <c:pt idx="11">
                  <c:v>2.2000000000000002</c:v>
                </c:pt>
                <c:pt idx="12">
                  <c:v>1.9</c:v>
                </c:pt>
                <c:pt idx="13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#\ 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#\ 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#\ 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#\ 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#\ 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#\ 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#\ 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#\ 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#\ 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#\ 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#\ 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#\ 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7897728"/>
        <c:axId val="138072576"/>
      </c:barChart>
      <c:catAx>
        <c:axId val="157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7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072576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9772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2216044423018551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14'!$B$28:$B$33</c:f>
              <c:numCache>
                <c:formatCode>General</c:formatCode>
                <c:ptCount val="6"/>
                <c:pt idx="0">
                  <c:v>1314.8</c:v>
                </c:pt>
                <c:pt idx="1">
                  <c:v>1361.2</c:v>
                </c:pt>
                <c:pt idx="2">
                  <c:v>1170.2</c:v>
                </c:pt>
                <c:pt idx="3">
                  <c:v>1331.5</c:v>
                </c:pt>
                <c:pt idx="4">
                  <c:v>2291.4</c:v>
                </c:pt>
                <c:pt idx="5">
                  <c:v>2042.2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14'!$C$28:$C$33</c:f>
              <c:numCache>
                <c:formatCode>General</c:formatCode>
                <c:ptCount val="6"/>
                <c:pt idx="0">
                  <c:v>2734.9</c:v>
                </c:pt>
                <c:pt idx="1">
                  <c:v>2808.3</c:v>
                </c:pt>
                <c:pt idx="2">
                  <c:v>2393.6</c:v>
                </c:pt>
                <c:pt idx="3">
                  <c:v>3266.1</c:v>
                </c:pt>
                <c:pt idx="4">
                  <c:v>4350.6000000000004</c:v>
                </c:pt>
                <c:pt idx="5">
                  <c:v>4371.6000000000004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8124544"/>
        <c:axId val="156729920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53138000607062E-2"/>
                  <c:y val="-2.930799066640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7411466423839843E-2"/>
                  <c:y val="2.7894031748129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3.9784598353777206E-2"/>
                  <c:y val="-3.901005914062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7879836449015304E-2"/>
                  <c:y val="3.154049581266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7191636759690755E-2"/>
                  <c:y val="-3.0717562948953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6.0542432195975502E-3"/>
                  <c:y val="1.951848191989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14'!$D$28:$D$33</c:f>
              <c:numCache>
                <c:formatCode>#\ ##0.0</c:formatCode>
                <c:ptCount val="6"/>
                <c:pt idx="0">
                  <c:v>-1420.1000000000001</c:v>
                </c:pt>
                <c:pt idx="1">
                  <c:v>-1447.1000000000001</c:v>
                </c:pt>
                <c:pt idx="2">
                  <c:v>-1223.3999999999999</c:v>
                </c:pt>
                <c:pt idx="3">
                  <c:v>-1934.6</c:v>
                </c:pt>
                <c:pt idx="4">
                  <c:v>-2059.2000000000003</c:v>
                </c:pt>
                <c:pt idx="5">
                  <c:v>-2329.4000000000005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24544"/>
        <c:axId val="156729920"/>
      </c:lineChart>
      <c:catAx>
        <c:axId val="1581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729920"/>
        <c:crosses val="autoZero"/>
        <c:auto val="1"/>
        <c:lblAlgn val="ctr"/>
        <c:lblOffset val="100"/>
        <c:noMultiLvlLbl val="0"/>
      </c:catAx>
      <c:valAx>
        <c:axId val="15672992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124544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3443222211951362E-2"/>
                  <c:y val="-2.8264641306757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A467-4F44-B57D-57C60A5D0C66}"/>
                </c:ext>
              </c:extLst>
            </c:dLbl>
            <c:dLbl>
              <c:idx val="1"/>
              <c:layout>
                <c:manualLayout>
                  <c:x val="-3.6457225130743419E-2"/>
                  <c:y val="-2.53046979481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7-4F44-B57D-57C60A5D0C66}"/>
                </c:ext>
              </c:extLst>
            </c:dLbl>
            <c:dLbl>
              <c:idx val="2"/>
              <c:layout>
                <c:manualLayout>
                  <c:x val="-6.885436012067302E-3"/>
                  <c:y val="1.4989951869094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7-4F44-B57D-57C60A5D0C66}"/>
                </c:ext>
              </c:extLst>
            </c:dLbl>
            <c:dLbl>
              <c:idx val="3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7-4F44-B57D-57C60A5D0C66}"/>
                </c:ext>
              </c:extLst>
            </c:dLbl>
            <c:dLbl>
              <c:idx val="4"/>
              <c:layout>
                <c:manualLayout>
                  <c:x val="-1.0186544651580191E-2"/>
                  <c:y val="2.18143849185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7-4F44-B57D-57C60A5D0C66}"/>
                </c:ext>
              </c:extLst>
            </c:dLbl>
            <c:dLbl>
              <c:idx val="5"/>
              <c:layout>
                <c:manualLayout>
                  <c:x val="-2.1906626666330531E-2"/>
                  <c:y val="2.896665164810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7-4F44-B57D-57C60A5D0C66}"/>
                </c:ext>
              </c:extLst>
            </c:dLbl>
            <c:dLbl>
              <c:idx val="6"/>
              <c:layout>
                <c:manualLayout>
                  <c:x val="-1.8928999102650092E-2"/>
                  <c:y val="-2.76824933668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7-4F44-B57D-57C60A5D0C66}"/>
                </c:ext>
              </c:extLst>
            </c:dLbl>
            <c:dLbl>
              <c:idx val="7"/>
              <c:layout>
                <c:manualLayout>
                  <c:x val="-7.2465445903276667E-3"/>
                  <c:y val="1.248170954107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7-4F44-B57D-57C60A5D0C66}"/>
                </c:ext>
              </c:extLst>
            </c:dLbl>
            <c:dLbl>
              <c:idx val="8"/>
              <c:layout>
                <c:manualLayout>
                  <c:x val="-4.4687657916739405E-2"/>
                  <c:y val="-2.0645511954057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7-4F44-B57D-57C60A5D0C66}"/>
                </c:ext>
              </c:extLst>
            </c:dLbl>
            <c:dLbl>
              <c:idx val="9"/>
              <c:layout>
                <c:manualLayout>
                  <c:x val="-3.498856108564026E-2"/>
                  <c:y val="2.612142147081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7-4F44-B57D-57C60A5D0C66}"/>
                </c:ext>
              </c:extLst>
            </c:dLbl>
            <c:dLbl>
              <c:idx val="10"/>
              <c:layout>
                <c:manualLayout>
                  <c:x val="-1.7704798639764478E-2"/>
                  <c:y val="-1.7988228310698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774622174355458E-2"/>
                  <c:y val="2.73735227541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23417783354493E-2"/>
                  <c:y val="-2.500770736991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1.4220270307518445E-2"/>
                  <c:y val="3.155871183676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2.6059378650240862E-2"/>
                  <c:y val="-2.523632774785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2.3586567703530924E-2"/>
                  <c:y val="-2.876362676887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9.8505131432666607E-3"/>
                  <c:y val="-2.442160669970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9806465598779351E-2"/>
                  <c:y val="2.82600786012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3958691277942649E-2"/>
                  <c:y val="-2.674705171390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3712580217761039E-2"/>
                  <c:y val="2.9805545423988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92084697278002E-2"/>
                      <c:h val="4.2169824139829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0179531234208441E-2"/>
                  <c:y val="-2.3376887153411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01612338479032E-2"/>
                      <c:h val="3.7039198438069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134608611496605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067285929982217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788660314776883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2.9111202231278933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2.0570176530156473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5-47A2-BA65-A68496B03D77}"/>
                </c:ext>
              </c:extLst>
            </c:dLbl>
            <c:dLbl>
              <c:idx val="27"/>
              <c:layout>
                <c:manualLayout>
                  <c:x val="-2.1913988917710132E-2"/>
                  <c:y val="-4.213435173464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8-4289-A3E3-B060B2DBC62B}"/>
                </c:ext>
              </c:extLst>
            </c:dLbl>
            <c:dLbl>
              <c:idx val="28"/>
              <c:layout>
                <c:manualLayout>
                  <c:x val="-2.6613932540714178E-2"/>
                  <c:y val="-2.3969047465797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7-4475-99F9-38F5443B2E52}"/>
                </c:ext>
              </c:extLst>
            </c:dLbl>
            <c:dLbl>
              <c:idx val="29"/>
              <c:layout>
                <c:manualLayout>
                  <c:x val="-1.2219568387600102E-3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E-4A7A-B1BC-91559A5D21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2'!$B$23:$AE$24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2'!$B$25:$AE$25</c:f>
              <c:numCache>
                <c:formatCode>#\ ##0.0</c:formatCode>
                <c:ptCount val="30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94.738709353020752</c:v>
                </c:pt>
                <c:pt idx="25" formatCode="0.0">
                  <c:v>107.53426152887265</c:v>
                </c:pt>
                <c:pt idx="26" formatCode="0.0">
                  <c:v>108.10569775638508</c:v>
                </c:pt>
                <c:pt idx="27" formatCode="0.0">
                  <c:v>82.37132224691446</c:v>
                </c:pt>
                <c:pt idx="28">
                  <c:v>106.1352271642845</c:v>
                </c:pt>
                <c:pt idx="29" formatCode="0.0">
                  <c:v>94.094090343677621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8418201695077237E-2"/>
                  <c:y val="2.7569849543454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A467-4F44-B57D-57C60A5D0C66}"/>
                </c:ext>
              </c:extLst>
            </c:dLbl>
            <c:dLbl>
              <c:idx val="1"/>
              <c:layout>
                <c:manualLayout>
                  <c:x val="-1.2682096184884722E-2"/>
                  <c:y val="2.411951912005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7-4F44-B57D-57C60A5D0C66}"/>
                </c:ext>
              </c:extLst>
            </c:dLbl>
            <c:dLbl>
              <c:idx val="2"/>
              <c:layout>
                <c:manualLayout>
                  <c:x val="-4.0328182029540839E-2"/>
                  <c:y val="-2.399593783747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67-4F44-B57D-57C60A5D0C66}"/>
                </c:ext>
              </c:extLst>
            </c:dLbl>
            <c:dLbl>
              <c:idx val="3"/>
              <c:layout>
                <c:manualLayout>
                  <c:x val="-2.1732731647604933E-2"/>
                  <c:y val="-2.501948836776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67-4F44-B57D-57C60A5D0C66}"/>
                </c:ext>
              </c:extLst>
            </c:dLbl>
            <c:dLbl>
              <c:idx val="4"/>
              <c:layout>
                <c:manualLayout>
                  <c:x val="-1.6865015672400608E-2"/>
                  <c:y val="-2.6931565434429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67-4F44-B57D-57C60A5D0C66}"/>
                </c:ext>
              </c:extLst>
            </c:dLbl>
            <c:dLbl>
              <c:idx val="5"/>
              <c:layout>
                <c:manualLayout>
                  <c:x val="-2.2986613254440045E-2"/>
                  <c:y val="-2.982542713495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7-4F44-B57D-57C60A5D0C66}"/>
                </c:ext>
              </c:extLst>
            </c:dLbl>
            <c:dLbl>
              <c:idx val="6"/>
              <c:layout>
                <c:manualLayout>
                  <c:x val="-2.9936572980886141E-2"/>
                  <c:y val="-3.310233359794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67-4F44-B57D-57C60A5D0C66}"/>
                </c:ext>
              </c:extLst>
            </c:dLbl>
            <c:dLbl>
              <c:idx val="7"/>
              <c:layout>
                <c:manualLayout>
                  <c:x val="-2.5682853211020699E-2"/>
                  <c:y val="-2.862614395422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67-4F44-B57D-57C60A5D0C66}"/>
                </c:ext>
              </c:extLst>
            </c:dLbl>
            <c:dLbl>
              <c:idx val="8"/>
              <c:layout>
                <c:manualLayout>
                  <c:x val="-2.2505251020697559E-2"/>
                  <c:y val="-2.9384382507742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2-A467-4F44-B57D-57C60A5D0C66}"/>
                </c:ext>
              </c:extLst>
            </c:dLbl>
            <c:dLbl>
              <c:idx val="9"/>
              <c:layout>
                <c:manualLayout>
                  <c:x val="-2.0040392496295488E-2"/>
                  <c:y val="-2.75368848648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67-4F44-B57D-57C60A5D0C66}"/>
                </c:ext>
              </c:extLst>
            </c:dLbl>
            <c:dLbl>
              <c:idx val="10"/>
              <c:layout>
                <c:manualLayout>
                  <c:x val="-3.0093992043293306E-2"/>
                  <c:y val="3.041086485442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8975214154240054E-2"/>
                      <c:h val="4.43785534982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6944477622910907E-2"/>
                  <c:y val="-3.5240404213778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9082589880465699E-2"/>
                  <c:y val="-2.452974032196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2.4691761837821614E-2"/>
                  <c:y val="3.110157551831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9.7441715196486239E-3"/>
                  <c:y val="1.925121757600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4.7228168824287861E-2"/>
                  <c:y val="-2.149742181409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9013497000156308E-2"/>
                  <c:y val="-2.853526143019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6.6476749104334206E-3"/>
                  <c:y val="-9.8784927088473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7839499934153503E-2"/>
                  <c:y val="3.131326567830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6284534603932247E-2"/>
                      <c:h val="5.3560185085856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7.3126664929956354E-3"/>
                  <c:y val="-6.47514428543843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8060560399611774E-2"/>
                  <c:y val="-2.737039341471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880612648039879E-2"/>
                  <c:y val="2.9955731010462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9778112005662211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222867415785407E-2"/>
                  <c:y val="3.415992619451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4134608611496376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5058174612654281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4907982456924466E-2"/>
                  <c:y val="2.689380448697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2.551845267967795E-2"/>
                  <c:y val="3.052700837463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45-47A2-BA65-A68496B03D77}"/>
                </c:ext>
              </c:extLst>
            </c:dLbl>
            <c:dLbl>
              <c:idx val="27"/>
              <c:layout>
                <c:manualLayout>
                  <c:x val="-2.337026921821404E-2"/>
                  <c:y val="3.052700837463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4.4305320145608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748-4289-A3E3-B060B2DBC62B}"/>
                </c:ext>
              </c:extLst>
            </c:dLbl>
            <c:dLbl>
              <c:idx val="28"/>
              <c:layout>
                <c:manualLayout>
                  <c:x val="-2.092599601833754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7-4FC2-99FE-11B7B13BF1D9}"/>
                </c:ext>
              </c:extLst>
            </c:dLbl>
            <c:dLbl>
              <c:idx val="29"/>
              <c:layout>
                <c:manualLayout>
                  <c:x val="-4.2385477323847931E-3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E-4A7A-B1BC-91559A5D21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2'!$B$23:$AE$24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2'!$B$26:$AE$26</c:f>
              <c:numCache>
                <c:formatCode>#\ ##0.0</c:formatCode>
                <c:ptCount val="30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100.22420542342689</c:v>
                </c:pt>
                <c:pt idx="25">
                  <c:v>105.8191402559811</c:v>
                </c:pt>
                <c:pt idx="26" formatCode="0.0">
                  <c:v>97.239900027586913</c:v>
                </c:pt>
                <c:pt idx="27" formatCode="0.0">
                  <c:v>79.994859496749626</c:v>
                </c:pt>
                <c:pt idx="28" formatCode="0.0">
                  <c:v>80.896473977298172</c:v>
                </c:pt>
                <c:pt idx="29" formatCode="0.0">
                  <c:v>76.033163425643508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228928"/>
        <c:axId val="132373248"/>
      </c:lineChart>
      <c:catAx>
        <c:axId val="1352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2373248"/>
        <c:crossesAt val="30"/>
        <c:auto val="0"/>
        <c:lblAlgn val="ctr"/>
        <c:lblOffset val="100"/>
        <c:noMultiLvlLbl val="0"/>
      </c:catAx>
      <c:valAx>
        <c:axId val="132373248"/>
        <c:scaling>
          <c:orientation val="minMax"/>
          <c:max val="240"/>
          <c:min val="30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22892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Ianuarie-iunie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3'!$B$24:$B$30</c:f>
              <c:numCache>
                <c:formatCode>0.0</c:formatCode>
                <c:ptCount val="7"/>
                <c:pt idx="0">
                  <c:v>13.4</c:v>
                </c:pt>
                <c:pt idx="1">
                  <c:v>3</c:v>
                </c:pt>
                <c:pt idx="2">
                  <c:v>81.400000000000006</c:v>
                </c:pt>
                <c:pt idx="3">
                  <c:v>1.1000000000000001</c:v>
                </c:pt>
                <c:pt idx="4">
                  <c:v>0</c:v>
                </c:pt>
                <c:pt idx="5">
                  <c:v>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3'!$C$24:$C$30</c:f>
              <c:numCache>
                <c:formatCode>0.0</c:formatCode>
                <c:ptCount val="7"/>
                <c:pt idx="0">
                  <c:v>16.600000000000001</c:v>
                </c:pt>
                <c:pt idx="1">
                  <c:v>9.5</c:v>
                </c:pt>
                <c:pt idx="2">
                  <c:v>73.099999999999994</c:v>
                </c:pt>
                <c:pt idx="3">
                  <c:v>0.7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3'!$D$24:$D$30</c:f>
              <c:numCache>
                <c:formatCode>0.0</c:formatCode>
                <c:ptCount val="7"/>
                <c:pt idx="0">
                  <c:v>6.1</c:v>
                </c:pt>
                <c:pt idx="1">
                  <c:v>0.7</c:v>
                </c:pt>
                <c:pt idx="2">
                  <c:v>92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3'!$E$24:$E$30</c:f>
              <c:numCache>
                <c:formatCode>0.0</c:formatCode>
                <c:ptCount val="7"/>
                <c:pt idx="0">
                  <c:v>9.5</c:v>
                </c:pt>
                <c:pt idx="1">
                  <c:v>4.3</c:v>
                </c:pt>
                <c:pt idx="2">
                  <c:v>85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3'!$F$24:$F$30</c:f>
              <c:numCache>
                <c:formatCode>0.0</c:formatCode>
                <c:ptCount val="7"/>
                <c:pt idx="0">
                  <c:v>7.4</c:v>
                </c:pt>
                <c:pt idx="1">
                  <c:v>4.3</c:v>
                </c:pt>
                <c:pt idx="2">
                  <c:v>86.6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3'!$A$24:$A$30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3'!$G$24:$G$30</c:f>
              <c:numCache>
                <c:formatCode>0.0</c:formatCode>
                <c:ptCount val="7"/>
                <c:pt idx="0">
                  <c:v>7.8</c:v>
                </c:pt>
                <c:pt idx="1">
                  <c:v>2.9</c:v>
                </c:pt>
                <c:pt idx="2">
                  <c:v>87</c:v>
                </c:pt>
                <c:pt idx="3">
                  <c:v>2.2000000000000002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135616"/>
        <c:axId val="138077312"/>
      </c:barChart>
      <c:catAx>
        <c:axId val="15313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77312"/>
        <c:crossesAt val="0"/>
        <c:auto val="1"/>
        <c:lblAlgn val="ctr"/>
        <c:lblOffset val="100"/>
        <c:noMultiLvlLbl val="0"/>
      </c:catAx>
      <c:valAx>
        <c:axId val="13807731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135616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915633622720236"/>
          <c:y val="0.91790928058487742"/>
          <c:w val="0.77084366377279767"/>
          <c:h val="8.2090719415122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4'!$B$22:$G$22</c:f>
              <c:numCache>
                <c:formatCode>General</c:formatCode>
                <c:ptCount val="6"/>
                <c:pt idx="0">
                  <c:v>65.2</c:v>
                </c:pt>
                <c:pt idx="1">
                  <c:v>62.7</c:v>
                </c:pt>
                <c:pt idx="2" formatCode="0.0">
                  <c:v>63.4</c:v>
                </c:pt>
                <c:pt idx="3">
                  <c:v>64.5</c:v>
                </c:pt>
                <c:pt idx="4">
                  <c:v>61.6</c:v>
                </c:pt>
                <c:pt idx="5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4'!$B$23:$G$23</c:f>
              <c:numCache>
                <c:formatCode>General</c:formatCode>
                <c:ptCount val="6"/>
                <c:pt idx="0">
                  <c:v>15.9</c:v>
                </c:pt>
                <c:pt idx="1">
                  <c:v>14.9</c:v>
                </c:pt>
                <c:pt idx="2" formatCode="0.0">
                  <c:v>16.600000000000001</c:v>
                </c:pt>
                <c:pt idx="3">
                  <c:v>15.7</c:v>
                </c:pt>
                <c:pt idx="4">
                  <c:v>17.899999999999999</c:v>
                </c:pt>
                <c:pt idx="5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Ianuarie-iunie 2018</c:v>
                </c:pt>
                <c:pt idx="1">
                  <c:v>Ianuarie-iunie 2019</c:v>
                </c:pt>
                <c:pt idx="2">
                  <c:v>Ianuarie-iunie 2020</c:v>
                </c:pt>
                <c:pt idx="3">
                  <c:v>Ianuarie-iunie 2021</c:v>
                </c:pt>
                <c:pt idx="4">
                  <c:v>Ianuarie-iunie 2022</c:v>
                </c:pt>
                <c:pt idx="5">
                  <c:v>Ianuarie-iunie 2023</c:v>
                </c:pt>
              </c:strCache>
            </c:strRef>
          </c:cat>
          <c:val>
            <c:numRef>
              <c:f>'Figura 4'!$B$24:$G$24</c:f>
              <c:numCache>
                <c:formatCode>General</c:formatCode>
                <c:ptCount val="6"/>
                <c:pt idx="0">
                  <c:v>18.899999999999999</c:v>
                </c:pt>
                <c:pt idx="1">
                  <c:v>22.4</c:v>
                </c:pt>
                <c:pt idx="2" formatCode="0.0">
                  <c:v>20</c:v>
                </c:pt>
                <c:pt idx="3">
                  <c:v>19.8</c:v>
                </c:pt>
                <c:pt idx="4">
                  <c:v>20.5</c:v>
                </c:pt>
                <c:pt idx="5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30240"/>
        <c:axId val="138080192"/>
      </c:barChart>
      <c:catAx>
        <c:axId val="1555302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080192"/>
        <c:crosses val="autoZero"/>
        <c:auto val="1"/>
        <c:lblAlgn val="ctr"/>
        <c:lblOffset val="100"/>
        <c:noMultiLvlLbl val="0"/>
      </c:catAx>
      <c:valAx>
        <c:axId val="138080192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530240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Ianuarie-iunie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Ungaria</c:v>
                </c:pt>
                <c:pt idx="13">
                  <c:v>Liban</c:v>
                </c:pt>
                <c:pt idx="14">
                  <c:v>Franța</c:v>
                </c:pt>
                <c:pt idx="15">
                  <c:v>Cipru</c:v>
                </c:pt>
                <c:pt idx="16">
                  <c:v>Kazahstan</c:v>
                </c:pt>
                <c:pt idx="17">
                  <c:v>Regatul Unit</c:v>
                </c:pt>
                <c:pt idx="18">
                  <c:v>Netherlands</c:v>
                </c:pt>
                <c:pt idx="19">
                  <c:v>Grecia</c:v>
                </c:pt>
                <c:pt idx="20">
                  <c:v>Elveția</c:v>
                </c:pt>
              </c:strCache>
            </c:strRef>
          </c:cat>
          <c:val>
            <c:numRef>
              <c:f>'Figura 5'!$B$26:$B$46</c:f>
              <c:numCache>
                <c:formatCode>#\ ##0.0</c:formatCode>
                <c:ptCount val="21"/>
                <c:pt idx="0">
                  <c:v>26.34514039399679</c:v>
                </c:pt>
                <c:pt idx="1">
                  <c:v>2.9377102384110194</c:v>
                </c:pt>
                <c:pt idx="2">
                  <c:v>11.208831829102861</c:v>
                </c:pt>
                <c:pt idx="3">
                  <c:v>8.6151322959585031</c:v>
                </c:pt>
                <c:pt idx="4">
                  <c:v>8.1724110057205746</c:v>
                </c:pt>
                <c:pt idx="5">
                  <c:v>3.8423150688076682</c:v>
                </c:pt>
                <c:pt idx="6">
                  <c:v>1.5784591410721982</c:v>
                </c:pt>
                <c:pt idx="7">
                  <c:v>3.5081966858443185</c:v>
                </c:pt>
                <c:pt idx="8">
                  <c:v>3.7285161204639974</c:v>
                </c:pt>
                <c:pt idx="9">
                  <c:v>1.3352143524334812</c:v>
                </c:pt>
                <c:pt idx="10">
                  <c:v>0.84571318752491054</c:v>
                </c:pt>
                <c:pt idx="11">
                  <c:v>2.2402315740802838</c:v>
                </c:pt>
                <c:pt idx="12">
                  <c:v>0.29238227420584578</c:v>
                </c:pt>
                <c:pt idx="13">
                  <c:v>0.64591695000578886</c:v>
                </c:pt>
                <c:pt idx="14">
                  <c:v>2.0529877855390901</c:v>
                </c:pt>
                <c:pt idx="15">
                  <c:v>0.359981434149584</c:v>
                </c:pt>
                <c:pt idx="16">
                  <c:v>0.59954670646452402</c:v>
                </c:pt>
                <c:pt idx="17">
                  <c:v>3.2543883879133122</c:v>
                </c:pt>
                <c:pt idx="18">
                  <c:v>1.4593585110599621</c:v>
                </c:pt>
                <c:pt idx="19">
                  <c:v>1.350868680510743</c:v>
                </c:pt>
                <c:pt idx="20">
                  <c:v>2.2123816200239084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Ianuarie-iunie 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Ungaria</c:v>
                </c:pt>
                <c:pt idx="13">
                  <c:v>Liban</c:v>
                </c:pt>
                <c:pt idx="14">
                  <c:v>Franța</c:v>
                </c:pt>
                <c:pt idx="15">
                  <c:v>Cipru</c:v>
                </c:pt>
                <c:pt idx="16">
                  <c:v>Kazahstan</c:v>
                </c:pt>
                <c:pt idx="17">
                  <c:v>Regatul Unit</c:v>
                </c:pt>
                <c:pt idx="18">
                  <c:v>Netherlands</c:v>
                </c:pt>
                <c:pt idx="19">
                  <c:v>Grecia</c:v>
                </c:pt>
                <c:pt idx="20">
                  <c:v>Elveția</c:v>
                </c:pt>
              </c:strCache>
            </c:strRef>
          </c:cat>
          <c:val>
            <c:numRef>
              <c:f>'Figura 5'!$C$26:$C$46</c:f>
              <c:numCache>
                <c:formatCode>#\ ##0.0</c:formatCode>
                <c:ptCount val="21"/>
                <c:pt idx="0">
                  <c:v>27.950415127956578</c:v>
                </c:pt>
                <c:pt idx="1">
                  <c:v>2.7038597222645273</c:v>
                </c:pt>
                <c:pt idx="2">
                  <c:v>9.9765345873948732</c:v>
                </c:pt>
                <c:pt idx="3">
                  <c:v>9.160723217525879</c:v>
                </c:pt>
                <c:pt idx="4">
                  <c:v>8.4064039231951728</c:v>
                </c:pt>
                <c:pt idx="5">
                  <c:v>8.9327299812967862</c:v>
                </c:pt>
                <c:pt idx="6">
                  <c:v>1.8097061388192031</c:v>
                </c:pt>
                <c:pt idx="7">
                  <c:v>3.8312638341394432</c:v>
                </c:pt>
                <c:pt idx="8">
                  <c:v>3.0711799847789547</c:v>
                </c:pt>
                <c:pt idx="9">
                  <c:v>1.4644868453965914</c:v>
                </c:pt>
                <c:pt idx="10">
                  <c:v>0.81606187135576758</c:v>
                </c:pt>
                <c:pt idx="11">
                  <c:v>1.4781274648166591</c:v>
                </c:pt>
                <c:pt idx="12">
                  <c:v>0.30815359004600767</c:v>
                </c:pt>
                <c:pt idx="13">
                  <c:v>0.57272262339461777</c:v>
                </c:pt>
                <c:pt idx="14">
                  <c:v>1.3169638820433149</c:v>
                </c:pt>
                <c:pt idx="15">
                  <c:v>0.35232228950497335</c:v>
                </c:pt>
                <c:pt idx="16">
                  <c:v>0.30939879002944587</c:v>
                </c:pt>
                <c:pt idx="17">
                  <c:v>1.9207642465051764</c:v>
                </c:pt>
                <c:pt idx="18">
                  <c:v>1.3686558525887722</c:v>
                </c:pt>
                <c:pt idx="19">
                  <c:v>0.78209847343595051</c:v>
                </c:pt>
                <c:pt idx="20">
                  <c:v>2.467055680680001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Ianuarie-iunie 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Ungaria</c:v>
                </c:pt>
                <c:pt idx="13">
                  <c:v>Liban</c:v>
                </c:pt>
                <c:pt idx="14">
                  <c:v>Franța</c:v>
                </c:pt>
                <c:pt idx="15">
                  <c:v>Cipru</c:v>
                </c:pt>
                <c:pt idx="16">
                  <c:v>Kazahstan</c:v>
                </c:pt>
                <c:pt idx="17">
                  <c:v>Regatul Unit</c:v>
                </c:pt>
                <c:pt idx="18">
                  <c:v>Netherlands</c:v>
                </c:pt>
                <c:pt idx="19">
                  <c:v>Grecia</c:v>
                </c:pt>
                <c:pt idx="20">
                  <c:v>Elveția</c:v>
                </c:pt>
              </c:strCache>
            </c:strRef>
          </c:cat>
          <c:val>
            <c:numRef>
              <c:f>'Figura 5'!$D$26:$D$46</c:f>
              <c:numCache>
                <c:formatCode>#\ ##0.0</c:formatCode>
                <c:ptCount val="21"/>
                <c:pt idx="0">
                  <c:v>25.13325321361145</c:v>
                </c:pt>
                <c:pt idx="1">
                  <c:v>2.3437733351542649</c:v>
                </c:pt>
                <c:pt idx="2">
                  <c:v>9.0715248542585911</c:v>
                </c:pt>
                <c:pt idx="3">
                  <c:v>8.8504403341887876</c:v>
                </c:pt>
                <c:pt idx="4">
                  <c:v>10.579742003328773</c:v>
                </c:pt>
                <c:pt idx="5">
                  <c:v>7.289897422224902</c:v>
                </c:pt>
                <c:pt idx="6">
                  <c:v>3.3524445980298099</c:v>
                </c:pt>
                <c:pt idx="7">
                  <c:v>3.9991225037181581</c:v>
                </c:pt>
                <c:pt idx="8">
                  <c:v>2.786895367398126</c:v>
                </c:pt>
                <c:pt idx="9">
                  <c:v>1.8581973077699394</c:v>
                </c:pt>
                <c:pt idx="10">
                  <c:v>1.0572447115991079</c:v>
                </c:pt>
                <c:pt idx="11">
                  <c:v>1.5960807378370714</c:v>
                </c:pt>
                <c:pt idx="12">
                  <c:v>0.73834581359906759</c:v>
                </c:pt>
                <c:pt idx="13">
                  <c:v>0.70668414047546935</c:v>
                </c:pt>
                <c:pt idx="14">
                  <c:v>1.5711171284282912</c:v>
                </c:pt>
                <c:pt idx="15">
                  <c:v>0.68103065139920071</c:v>
                </c:pt>
                <c:pt idx="16">
                  <c:v>0.53910229375422591</c:v>
                </c:pt>
                <c:pt idx="17">
                  <c:v>1.5910005616295826</c:v>
                </c:pt>
                <c:pt idx="18">
                  <c:v>1.4738076990946971</c:v>
                </c:pt>
                <c:pt idx="19">
                  <c:v>1.7599074144088451</c:v>
                </c:pt>
                <c:pt idx="20">
                  <c:v>3.4460316411561847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Ianuarie-iunie 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Ungaria</c:v>
                </c:pt>
                <c:pt idx="13">
                  <c:v>Liban</c:v>
                </c:pt>
                <c:pt idx="14">
                  <c:v>Franța</c:v>
                </c:pt>
                <c:pt idx="15">
                  <c:v>Cipru</c:v>
                </c:pt>
                <c:pt idx="16">
                  <c:v>Kazahstan</c:v>
                </c:pt>
                <c:pt idx="17">
                  <c:v>Regatul Unit</c:v>
                </c:pt>
                <c:pt idx="18">
                  <c:v>Netherlands</c:v>
                </c:pt>
                <c:pt idx="19">
                  <c:v>Grecia</c:v>
                </c:pt>
                <c:pt idx="20">
                  <c:v>Elveția</c:v>
                </c:pt>
              </c:strCache>
            </c:strRef>
          </c:cat>
          <c:val>
            <c:numRef>
              <c:f>'Figura 5'!$E$26:$E$46</c:f>
              <c:numCache>
                <c:formatCode>#\ ##0.0</c:formatCode>
                <c:ptCount val="21"/>
                <c:pt idx="0">
                  <c:v>27.998286917499144</c:v>
                </c:pt>
                <c:pt idx="1">
                  <c:v>2.7784198656254522</c:v>
                </c:pt>
                <c:pt idx="2">
                  <c:v>7.0793865040003876</c:v>
                </c:pt>
                <c:pt idx="3">
                  <c:v>10.111839304167276</c:v>
                </c:pt>
                <c:pt idx="4">
                  <c:v>9.6521564615520123</c:v>
                </c:pt>
                <c:pt idx="5">
                  <c:v>8.6332022837369671</c:v>
                </c:pt>
                <c:pt idx="6">
                  <c:v>3.1954097731589366</c:v>
                </c:pt>
                <c:pt idx="7">
                  <c:v>3.8889345576490895</c:v>
                </c:pt>
                <c:pt idx="8">
                  <c:v>2.3003011598152643</c:v>
                </c:pt>
                <c:pt idx="9">
                  <c:v>1.3973617393599889</c:v>
                </c:pt>
                <c:pt idx="10">
                  <c:v>0.86423493874454305</c:v>
                </c:pt>
                <c:pt idx="11">
                  <c:v>1.2364647049169104</c:v>
                </c:pt>
                <c:pt idx="12">
                  <c:v>1.4433529645500158</c:v>
                </c:pt>
                <c:pt idx="13">
                  <c:v>1.0714227404721364</c:v>
                </c:pt>
                <c:pt idx="14">
                  <c:v>1.3399144359252682</c:v>
                </c:pt>
                <c:pt idx="15">
                  <c:v>0.31755033019598844</c:v>
                </c:pt>
                <c:pt idx="16">
                  <c:v>0.44238120874434839</c:v>
                </c:pt>
                <c:pt idx="17">
                  <c:v>1.9473931974507592</c:v>
                </c:pt>
                <c:pt idx="18">
                  <c:v>1.4117914203378279</c:v>
                </c:pt>
                <c:pt idx="19">
                  <c:v>1.0218705917640165</c:v>
                </c:pt>
                <c:pt idx="20">
                  <c:v>1.1823737695957297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Ianuarie-iunie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Ungaria</c:v>
                </c:pt>
                <c:pt idx="13">
                  <c:v>Liban</c:v>
                </c:pt>
                <c:pt idx="14">
                  <c:v>Franța</c:v>
                </c:pt>
                <c:pt idx="15">
                  <c:v>Cipru</c:v>
                </c:pt>
                <c:pt idx="16">
                  <c:v>Kazahstan</c:v>
                </c:pt>
                <c:pt idx="17">
                  <c:v>Regatul Unit</c:v>
                </c:pt>
                <c:pt idx="18">
                  <c:v>Netherlands</c:v>
                </c:pt>
                <c:pt idx="19">
                  <c:v>Grecia</c:v>
                </c:pt>
                <c:pt idx="20">
                  <c:v>Elveția</c:v>
                </c:pt>
              </c:strCache>
            </c:strRef>
          </c:cat>
          <c:val>
            <c:numRef>
              <c:f>'Figura 5'!$F$26:$F$46</c:f>
              <c:numCache>
                <c:formatCode>#\ ##0.0</c:formatCode>
                <c:ptCount val="21"/>
                <c:pt idx="0">
                  <c:v>28.982097231478754</c:v>
                </c:pt>
                <c:pt idx="1">
                  <c:v>10.885064495572438</c:v>
                </c:pt>
                <c:pt idx="2">
                  <c:v>8.5048457312041936</c:v>
                </c:pt>
                <c:pt idx="3">
                  <c:v>5.6260589798680076</c:v>
                </c:pt>
                <c:pt idx="4">
                  <c:v>5.1015854913274836</c:v>
                </c:pt>
                <c:pt idx="5">
                  <c:v>9.2357297465770323</c:v>
                </c:pt>
                <c:pt idx="6">
                  <c:v>2.1923129949881002</c:v>
                </c:pt>
                <c:pt idx="7">
                  <c:v>2.7499547495889645</c:v>
                </c:pt>
                <c:pt idx="8">
                  <c:v>1.3602148256004671</c:v>
                </c:pt>
                <c:pt idx="9">
                  <c:v>0.64141958349716566</c:v>
                </c:pt>
                <c:pt idx="10">
                  <c:v>0.93664336771714718</c:v>
                </c:pt>
                <c:pt idx="11">
                  <c:v>4.8628227606895598</c:v>
                </c:pt>
                <c:pt idx="12">
                  <c:v>1.1955373365781179</c:v>
                </c:pt>
                <c:pt idx="13">
                  <c:v>0.67201158239684644</c:v>
                </c:pt>
                <c:pt idx="14">
                  <c:v>1.0192904295973431</c:v>
                </c:pt>
                <c:pt idx="15">
                  <c:v>0.5139949486908173</c:v>
                </c:pt>
                <c:pt idx="16">
                  <c:v>0.23836084163682139</c:v>
                </c:pt>
                <c:pt idx="17">
                  <c:v>1.6425679020689377</c:v>
                </c:pt>
                <c:pt idx="18">
                  <c:v>1.9628242539864795</c:v>
                </c:pt>
                <c:pt idx="19">
                  <c:v>0.85907149143791206</c:v>
                </c:pt>
                <c:pt idx="20">
                  <c:v>2.4007401476235324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Ianuarie-iunie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Federația Rusă</c:v>
                </c:pt>
                <c:pt idx="5">
                  <c:v>Turcia</c:v>
                </c:pt>
                <c:pt idx="6">
                  <c:v>Cehia</c:v>
                </c:pt>
                <c:pt idx="7">
                  <c:v>Polonia</c:v>
                </c:pt>
                <c:pt idx="8">
                  <c:v>Belarus</c:v>
                </c:pt>
                <c:pt idx="9">
                  <c:v>Spania</c:v>
                </c:pt>
                <c:pt idx="10">
                  <c:v>S.U.A.</c:v>
                </c:pt>
                <c:pt idx="11">
                  <c:v>Bulgaria</c:v>
                </c:pt>
                <c:pt idx="12">
                  <c:v>Ungaria</c:v>
                </c:pt>
                <c:pt idx="13">
                  <c:v>Liban</c:v>
                </c:pt>
                <c:pt idx="14">
                  <c:v>Franța</c:v>
                </c:pt>
                <c:pt idx="15">
                  <c:v>Cipru</c:v>
                </c:pt>
                <c:pt idx="16">
                  <c:v>Kazahstan</c:v>
                </c:pt>
                <c:pt idx="17">
                  <c:v>Regatul Unit</c:v>
                </c:pt>
                <c:pt idx="18">
                  <c:v>Netherlands</c:v>
                </c:pt>
                <c:pt idx="19">
                  <c:v>Grecia</c:v>
                </c:pt>
                <c:pt idx="20">
                  <c:v>Elveția</c:v>
                </c:pt>
              </c:strCache>
            </c:strRef>
          </c:cat>
          <c:val>
            <c:numRef>
              <c:f>'Figura 5'!$G$26:$G$46</c:f>
              <c:numCache>
                <c:formatCode>#\ ##0.0</c:formatCode>
                <c:ptCount val="21"/>
                <c:pt idx="0">
                  <c:v>31.580716376495737</c:v>
                </c:pt>
                <c:pt idx="1">
                  <c:v>17.592076162400669</c:v>
                </c:pt>
                <c:pt idx="2">
                  <c:v>6.7982540029459599</c:v>
                </c:pt>
                <c:pt idx="3">
                  <c:v>5.4828472840626246</c:v>
                </c:pt>
                <c:pt idx="4">
                  <c:v>3.9608971528390393</c:v>
                </c:pt>
                <c:pt idx="5">
                  <c:v>3.9111109094631016</c:v>
                </c:pt>
                <c:pt idx="6">
                  <c:v>3.8994910642106424</c:v>
                </c:pt>
                <c:pt idx="7">
                  <c:v>2.8026219548578797</c:v>
                </c:pt>
                <c:pt idx="8">
                  <c:v>2.3251968420560725</c:v>
                </c:pt>
                <c:pt idx="9">
                  <c:v>1.8869334607507497</c:v>
                </c:pt>
                <c:pt idx="10">
                  <c:v>1.3569762709033517</c:v>
                </c:pt>
                <c:pt idx="11">
                  <c:v>1.3130859460521762</c:v>
                </c:pt>
                <c:pt idx="12">
                  <c:v>1.2402658273667497</c:v>
                </c:pt>
                <c:pt idx="13">
                  <c:v>1.2347030699279642</c:v>
                </c:pt>
                <c:pt idx="14">
                  <c:v>1.1624242999360341</c:v>
                </c:pt>
                <c:pt idx="15">
                  <c:v>1.0659425975302697</c:v>
                </c:pt>
                <c:pt idx="16">
                  <c:v>1.0576651288449463</c:v>
                </c:pt>
                <c:pt idx="17">
                  <c:v>1.0202533619549492</c:v>
                </c:pt>
                <c:pt idx="18">
                  <c:v>0.94706019628072646</c:v>
                </c:pt>
                <c:pt idx="19">
                  <c:v>0.84541947739389256</c:v>
                </c:pt>
                <c:pt idx="20">
                  <c:v>0.84127837455643695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061184"/>
        <c:axId val="156076864"/>
      </c:barChart>
      <c:catAx>
        <c:axId val="1640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6864"/>
        <c:crosses val="autoZero"/>
        <c:auto val="1"/>
        <c:lblAlgn val="ctr"/>
        <c:lblOffset val="100"/>
        <c:noMultiLvlLbl val="0"/>
      </c:catAx>
      <c:valAx>
        <c:axId val="15607686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06118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23459331734477"/>
          <c:y val="0.88790627734033245"/>
          <c:w val="0.79450276262636998"/>
          <c:h val="8.1852478720533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unie 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8272511463091963"/>
          <c:y val="1.27826126997283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6'!$B$45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6.5235414270095174E-2"/>
                  <c:y val="3.62040305306664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2617771343258897E-2"/>
                  <c:y val="-7.8832775213443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3.2617771343258897E-2"/>
                  <c:y val="-0.170187950644100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0.10437686829842846"/>
                  <c:y val="-0.12694512323890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20549195946253104"/>
                  <c:y val="-2.0976860651039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5768039361174522"/>
                  <c:y val="2.91954022988505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7939774238792386"/>
                  <c:y val="9.88822517874920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8.1544428358147236E-2"/>
                  <c:y val="0.13048722357981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9570662805955336E-2"/>
                  <c:y val="9.8585090656771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3.2617771343258894E-3"/>
                  <c:y val="2.7176215042085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4.0772085762651025E-2"/>
                  <c:y val="-0.1038600778350982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33528834495112"/>
                      <c:h val="0.1976438290041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9.7853314029776692E-2"/>
                  <c:y val="-0.199990647720759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6308885671629442"/>
                  <c:y val="-5.0644703894771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6'!$A$46:$A$58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Grăsimi şi uleiuri vegetale 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6'!$B$46:$B$58</c:f>
              <c:numCache>
                <c:formatCode>0.0</c:formatCode>
                <c:ptCount val="13"/>
                <c:pt idx="0">
                  <c:v>15.9</c:v>
                </c:pt>
                <c:pt idx="1">
                  <c:v>13.1</c:v>
                </c:pt>
                <c:pt idx="2">
                  <c:v>9.3000000000000007</c:v>
                </c:pt>
                <c:pt idx="3">
                  <c:v>7.8</c:v>
                </c:pt>
                <c:pt idx="4">
                  <c:v>7.2</c:v>
                </c:pt>
                <c:pt idx="5">
                  <c:v>6.9</c:v>
                </c:pt>
                <c:pt idx="6">
                  <c:v>4.9000000000000004</c:v>
                </c:pt>
                <c:pt idx="7">
                  <c:v>4.5</c:v>
                </c:pt>
                <c:pt idx="8">
                  <c:v>3.5</c:v>
                </c:pt>
                <c:pt idx="9">
                  <c:v>2.9</c:v>
                </c:pt>
                <c:pt idx="10">
                  <c:v>2.1</c:v>
                </c:pt>
                <c:pt idx="11">
                  <c:v>2</c:v>
                </c:pt>
                <c:pt idx="12" formatCode="#\ ##0.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iunie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06091097678061"/>
          <c:y val="9.07543078854273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6'!$B$30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Lbls>
            <c:dLbl>
              <c:idx val="0"/>
              <c:layout>
                <c:manualLayout>
                  <c:x val="-1.9655895749810276E-2"/>
                  <c:y val="6.25816120810985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2.620803296846742E-2"/>
                  <c:y val="4.40731865038605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-1.6380149581832263E-2"/>
                  <c:y val="-7.353159115980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8.517610714751872E-2"/>
                  <c:y val="-0.1459107611548556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3431616896339491"/>
                  <c:y val="-5.06484080794249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26911058293784829"/>
                  <c:y val="2.556156567385598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19428252156358775"/>
                  <c:y val="0.10005989165473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0.10483213187386919"/>
                  <c:y val="0.192805355852257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3.6036045331642536E-2"/>
                  <c:y val="0.25868705542241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0"/>
                  <c:y val="0.17530313058693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0"/>
                  <c:y val="4.102035071702989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07362496820727"/>
                      <c:h val="0.21482140819354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5.2416065936934583E-2"/>
                  <c:y val="-7.7633687093461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0.10155612775281075"/>
                  <c:y val="-1.9323671497584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6'!$A$31:$A$43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Grăsimi şi uleiuri vegetale </c:v>
                </c:pt>
                <c:pt idx="6">
                  <c:v>Băuturi alcoolice şi nealcoolice</c:v>
                </c:pt>
                <c:pt idx="7">
                  <c:v>Seminţe şi fructe oleaginoase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6'!$B$31:$B$43</c:f>
              <c:numCache>
                <c:formatCode>0.0</c:formatCode>
                <c:ptCount val="13"/>
                <c:pt idx="0">
                  <c:v>12.3</c:v>
                </c:pt>
                <c:pt idx="1">
                  <c:v>8.6999999999999993</c:v>
                </c:pt>
                <c:pt idx="2">
                  <c:v>14.6</c:v>
                </c:pt>
                <c:pt idx="3">
                  <c:v>8.3000000000000007</c:v>
                </c:pt>
                <c:pt idx="4">
                  <c:v>6.4</c:v>
                </c:pt>
                <c:pt idx="5">
                  <c:v>10</c:v>
                </c:pt>
                <c:pt idx="6">
                  <c:v>3.2</c:v>
                </c:pt>
                <c:pt idx="7">
                  <c:v>11.2</c:v>
                </c:pt>
                <c:pt idx="8">
                  <c:v>3.3</c:v>
                </c:pt>
                <c:pt idx="9">
                  <c:v>1.8</c:v>
                </c:pt>
                <c:pt idx="10">
                  <c:v>2</c:v>
                </c:pt>
                <c:pt idx="11">
                  <c:v>2</c:v>
                </c:pt>
                <c:pt idx="12" formatCode="#\ ##0.0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#\ 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#\ 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#\ 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#\ 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#\ 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#\ 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#\ 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#\ 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#\ 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#\ 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#\ 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#\ 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887552"/>
        <c:axId val="156078016"/>
      </c:barChart>
      <c:catAx>
        <c:axId val="1648875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78016"/>
        <c:crosses val="autoZero"/>
        <c:auto val="0"/>
        <c:lblAlgn val="ctr"/>
        <c:lblOffset val="100"/>
        <c:tickLblSkip val="1"/>
        <c:noMultiLvlLbl val="0"/>
      </c:catAx>
      <c:valAx>
        <c:axId val="15607801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8755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474-912E-EE374058F04A}"/>
                </c:ext>
              </c:extLst>
            </c:dLbl>
            <c:dLbl>
              <c:idx val="1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6-4474-912E-EE374058F04A}"/>
                </c:ext>
              </c:extLst>
            </c:dLbl>
            <c:dLbl>
              <c:idx val="2"/>
              <c:layout>
                <c:manualLayout>
                  <c:x val="-2.7600746048223046E-2"/>
                  <c:y val="3.565825039258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474-912E-EE374058F04A}"/>
                </c:ext>
              </c:extLst>
            </c:dLbl>
            <c:dLbl>
              <c:idx val="3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6-4474-912E-EE374058F04A}"/>
                </c:ext>
              </c:extLst>
            </c:dLbl>
            <c:dLbl>
              <c:idx val="4"/>
              <c:layout>
                <c:manualLayout>
                  <c:x val="-3.1744157714715712E-2"/>
                  <c:y val="-3.242178309376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474-912E-EE374058F04A}"/>
                </c:ext>
              </c:extLst>
            </c:dLbl>
            <c:dLbl>
              <c:idx val="5"/>
              <c:layout>
                <c:manualLayout>
                  <c:x val="-2.7229845388010401E-2"/>
                  <c:y val="-3.46583105804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6-4474-912E-EE374058F04A}"/>
                </c:ext>
              </c:extLst>
            </c:dLbl>
            <c:dLbl>
              <c:idx val="6"/>
              <c:layout>
                <c:manualLayout>
                  <c:x val="-2.138142250432562E-2"/>
                  <c:y val="3.58542030301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474-912E-EE374058F04A}"/>
                </c:ext>
              </c:extLst>
            </c:dLbl>
            <c:dLbl>
              <c:idx val="7"/>
              <c:layout>
                <c:manualLayout>
                  <c:x val="-1.866639660396148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B6-4474-912E-EE374058F04A}"/>
                </c:ext>
              </c:extLst>
            </c:dLbl>
            <c:dLbl>
              <c:idx val="8"/>
              <c:layout>
                <c:manualLayout>
                  <c:x val="-2.9729051201149798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474-912E-EE374058F04A}"/>
                </c:ext>
              </c:extLst>
            </c:dLbl>
            <c:dLbl>
              <c:idx val="9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B6-4474-912E-EE374058F04A}"/>
                </c:ext>
              </c:extLst>
            </c:dLbl>
            <c:dLbl>
              <c:idx val="10"/>
              <c:layout>
                <c:manualLayout>
                  <c:x val="-2.7665337367494162E-2"/>
                  <c:y val="-2.981267201427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8706219862052127E-2"/>
                  <c:y val="-2.80369581037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962635699476472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4.0782640542025329E-2"/>
                  <c:y val="-2.972905871602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6432142515675553E-2"/>
                  <c:y val="2.780680779816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1.8748214612708296E-2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6679928816183522E-2"/>
                  <c:y val="3.866508035084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87652789382035E-2"/>
                      <c:h val="6.5993633762126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749935528031447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7315802622204654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7737155845873067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06655076475569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84399486560530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4304770364339121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7.0701444340610159E-3"/>
                  <c:y val="-6.9380228823436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2.0148150028407117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763567131274666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2.6710125093614309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5-4BB1-AA39-4F2259CD6BED}"/>
                </c:ext>
              </c:extLst>
            </c:dLbl>
            <c:dLbl>
              <c:idx val="27"/>
              <c:layout>
                <c:manualLayout>
                  <c:x val="-2.0109837594739482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21494994148508E-2"/>
                      <c:h val="8.7709152937442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A9-42EF-9314-3F5807FA0AAA}"/>
                </c:ext>
              </c:extLst>
            </c:dLbl>
            <c:dLbl>
              <c:idx val="28"/>
              <c:layout>
                <c:manualLayout>
                  <c:x val="-2.8145225239374894E-2"/>
                  <c:y val="-4.168285356284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66-4F94-A10A-2056241F922A}"/>
                </c:ext>
              </c:extLst>
            </c:dLbl>
            <c:dLbl>
              <c:idx val="29"/>
              <c:layout>
                <c:manualLayout>
                  <c:x val="-4.5649544426334555E-3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B-4017-9759-A88CF9472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8'!$B$23:$AE$24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8'!$B$25:$AE$25</c:f>
              <c:numCache>
                <c:formatCode>#\ ##0.0</c:formatCode>
                <c:ptCount val="30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83.923113131090105</c:v>
                </c:pt>
                <c:pt idx="25" formatCode="0.0">
                  <c:v>102.61098940878497</c:v>
                </c:pt>
                <c:pt idx="26" formatCode="0.0">
                  <c:v>109.12064094346417</c:v>
                </c:pt>
                <c:pt idx="27" formatCode="0.0">
                  <c:v>84.078157654874644</c:v>
                </c:pt>
                <c:pt idx="28" formatCode="0.0">
                  <c:v>102.7218186786998</c:v>
                </c:pt>
                <c:pt idx="29" formatCode="0.0">
                  <c:v>93.799562886459725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09583568934912E-2"/>
                  <c:y val="-3.039488731184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474-912E-EE374058F04A}"/>
                </c:ext>
              </c:extLst>
            </c:dLbl>
            <c:dLbl>
              <c:idx val="1"/>
              <c:layout>
                <c:manualLayout>
                  <c:x val="-1.7371108354220996E-2"/>
                  <c:y val="3.66982014762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B6-4474-912E-EE374058F04A}"/>
                </c:ext>
              </c:extLst>
            </c:dLbl>
            <c:dLbl>
              <c:idx val="2"/>
              <c:layout>
                <c:manualLayout>
                  <c:x val="-6.9016774832406664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474-912E-EE374058F04A}"/>
                </c:ext>
              </c:extLst>
            </c:dLbl>
            <c:dLbl>
              <c:idx val="3"/>
              <c:layout>
                <c:manualLayout>
                  <c:x val="-2.5269654797973405E-2"/>
                  <c:y val="-3.4842636010965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B6-4474-912E-EE374058F04A}"/>
                </c:ext>
              </c:extLst>
            </c:dLbl>
            <c:dLbl>
              <c:idx val="4"/>
              <c:layout>
                <c:manualLayout>
                  <c:x val="-1.2931502533244489E-2"/>
                  <c:y val="-2.879170063635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474-912E-EE374058F04A}"/>
                </c:ext>
              </c:extLst>
            </c:dLbl>
            <c:dLbl>
              <c:idx val="5"/>
              <c:layout>
                <c:manualLayout>
                  <c:x val="-1.1558008625127699E-2"/>
                  <c:y val="-2.511613528050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B6-4474-912E-EE374058F04A}"/>
                </c:ext>
              </c:extLst>
            </c:dLbl>
            <c:dLbl>
              <c:idx val="6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B6-4474-912E-EE374058F04A}"/>
                </c:ext>
              </c:extLst>
            </c:dLbl>
            <c:dLbl>
              <c:idx val="7"/>
              <c:layout>
                <c:manualLayout>
                  <c:x val="-2.7485218871730339E-2"/>
                  <c:y val="-3.2255924404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B6-4474-912E-EE374058F04A}"/>
                </c:ext>
              </c:extLst>
            </c:dLbl>
            <c:dLbl>
              <c:idx val="8"/>
              <c:layout>
                <c:manualLayout>
                  <c:x val="-2.5129861117536571E-2"/>
                  <c:y val="-3.643590536274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B6-4474-912E-EE374058F04A}"/>
                </c:ext>
              </c:extLst>
            </c:dLbl>
            <c:dLbl>
              <c:idx val="9"/>
              <c:layout>
                <c:manualLayout>
                  <c:x val="-2.2712695578152614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B6-4474-912E-EE374058F04A}"/>
                </c:ext>
              </c:extLst>
            </c:dLbl>
            <c:dLbl>
              <c:idx val="10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6.0340929769208329E-3"/>
                  <c:y val="5.6251744081067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109955556378014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3.148520653484707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3.034540188939367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382124991500659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489991781330364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2429908742846786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404621140122125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778877720670769E-2"/>
                  <c:y val="3.21495696565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557969240976E-2"/>
                      <c:h val="5.296432225693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7438338715298775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5871554539818833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016944709173512E-2"/>
                  <c:y val="-3.299681688106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90039817290751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820546879938106E-2"/>
                  <c:y val="-3.516819781025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9916376731978E-2"/>
                      <c:h val="5.73074260919999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1.4487352731047884E-2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5-4BB1-AA39-4F2259CD6BED}"/>
                </c:ext>
              </c:extLst>
            </c:dLbl>
            <c:dLbl>
              <c:idx val="27"/>
              <c:layout>
                <c:manualLayout>
                  <c:x val="-2.0870124633922568E-2"/>
                  <c:y val="-4.602544443289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801160338562965E-2"/>
                      <c:h val="6.1650529927063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CA9-42EF-9314-3F5807FA0AAA}"/>
                </c:ext>
              </c:extLst>
            </c:dLbl>
            <c:dLbl>
              <c:idx val="28"/>
              <c:layout>
                <c:manualLayout>
                  <c:x val="-2.0300178705163294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D-40F7-A435-2BCA796FB967}"/>
                </c:ext>
              </c:extLst>
            </c:dLbl>
            <c:dLbl>
              <c:idx val="29"/>
              <c:layout>
                <c:manualLayout>
                  <c:x val="-4.5649544426334555E-3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B-4017-9759-A88CF9472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8'!$B$23:$AE$24</c:f>
              <c:multiLvlStrCache>
                <c:ptCount val="3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8'!$B$26:$AE$26</c:f>
              <c:numCache>
                <c:formatCode>#\ ##0.0</c:formatCode>
                <c:ptCount val="30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117.96075072735046</c:v>
                </c:pt>
                <c:pt idx="25" formatCode="0.0">
                  <c:v>112.46174232268726</c:v>
                </c:pt>
                <c:pt idx="26" formatCode="0.0">
                  <c:v>109.73070149283291</c:v>
                </c:pt>
                <c:pt idx="27" formatCode="0.0">
                  <c:v>89.607651676701252</c:v>
                </c:pt>
                <c:pt idx="28" formatCode="0.0">
                  <c:v>91.780546711204167</c:v>
                </c:pt>
                <c:pt idx="29" formatCode="0.0">
                  <c:v>86.566305640625586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885504"/>
        <c:axId val="156080896"/>
      </c:lineChart>
      <c:catAx>
        <c:axId val="1648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080896"/>
        <c:crossesAt val="30"/>
        <c:auto val="1"/>
        <c:lblAlgn val="ctr"/>
        <c:lblOffset val="100"/>
        <c:noMultiLvlLbl val="0"/>
      </c:catAx>
      <c:valAx>
        <c:axId val="156080896"/>
        <c:scaling>
          <c:orientation val="minMax"/>
          <c:max val="240"/>
          <c:min val="30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85504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247649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95251</xdr:rowOff>
    </xdr:from>
    <xdr:to>
      <xdr:col>8</xdr:col>
      <xdr:colOff>66675</xdr:colOff>
      <xdr:row>23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66676</xdr:rowOff>
    </xdr:from>
    <xdr:to>
      <xdr:col>1</xdr:col>
      <xdr:colOff>733424</xdr:colOff>
      <xdr:row>23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2</xdr:row>
      <xdr:rowOff>85724</xdr:rowOff>
    </xdr:from>
    <xdr:to>
      <xdr:col>19</xdr:col>
      <xdr:colOff>228599</xdr:colOff>
      <xdr:row>20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726042</xdr:colOff>
      <xdr:row>2</xdr:row>
      <xdr:rowOff>133350</xdr:rowOff>
    </xdr:from>
    <xdr:to>
      <xdr:col>7</xdr:col>
      <xdr:colOff>323850</xdr:colOff>
      <xdr:row>23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733424</xdr:colOff>
      <xdr:row>23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RowHeight="12" x14ac:dyDescent="0.2"/>
  <cols>
    <col min="1" max="1" width="9" style="3" customWidth="1"/>
    <col min="2" max="2" width="9.5703125" style="3" customWidth="1"/>
    <col min="3" max="4" width="9.85546875" style="3" customWidth="1"/>
    <col min="5" max="5" width="9.28515625" style="3" customWidth="1"/>
    <col min="6" max="6" width="9.85546875" style="3" customWidth="1"/>
    <col min="7" max="7" width="9.140625" style="3" customWidth="1"/>
    <col min="8" max="8" width="8.7109375" style="3" customWidth="1"/>
    <col min="9" max="9" width="9.140625" style="3" customWidth="1"/>
    <col min="10" max="10" width="11" style="3" customWidth="1"/>
    <col min="11" max="11" width="10.140625" style="3" customWidth="1"/>
    <col min="12" max="12" width="9.85546875" style="3" customWidth="1"/>
    <col min="13" max="13" width="10.4257812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40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x14ac:dyDescent="0.2">
      <c r="A27" s="29">
        <v>2023</v>
      </c>
      <c r="B27" s="10">
        <v>331.1</v>
      </c>
      <c r="C27" s="10">
        <v>356</v>
      </c>
      <c r="D27" s="10">
        <v>384.9</v>
      </c>
      <c r="E27" s="10">
        <v>317.10000000000002</v>
      </c>
      <c r="F27" s="35">
        <v>336.5</v>
      </c>
      <c r="G27" s="35">
        <v>316.60000000000002</v>
      </c>
      <c r="H27" s="35"/>
      <c r="I27" s="35"/>
      <c r="J27" s="35"/>
      <c r="K27" s="35"/>
      <c r="L27" s="35"/>
      <c r="M27" s="36"/>
    </row>
    <row r="28" spans="1:21" x14ac:dyDescent="0.2">
      <c r="D28" s="6"/>
      <c r="E28" s="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RowHeight="12" x14ac:dyDescent="0.2"/>
  <cols>
    <col min="1" max="1" width="24" style="3" customWidth="1"/>
    <col min="2" max="2" width="14.28515625" style="3" customWidth="1"/>
    <col min="3" max="3" width="14.85546875" style="3" customWidth="1"/>
    <col min="4" max="4" width="14.5703125" style="3" customWidth="1"/>
    <col min="5" max="5" width="14.140625" style="3" customWidth="1"/>
    <col min="6" max="6" width="14.5703125" style="3" customWidth="1"/>
    <col min="7" max="7" width="14.7109375" style="3" customWidth="1"/>
    <col min="8" max="16384" width="9.140625" style="3"/>
  </cols>
  <sheetData>
    <row r="2" spans="1:13" ht="12.75" x14ac:dyDescent="0.2">
      <c r="A2" s="146" t="s">
        <v>112</v>
      </c>
      <c r="B2" s="146"/>
      <c r="C2" s="146"/>
      <c r="D2" s="146"/>
      <c r="E2" s="146"/>
      <c r="F2" s="146"/>
      <c r="G2" s="146"/>
      <c r="H2" s="39"/>
      <c r="I2" s="39"/>
      <c r="J2" s="39"/>
      <c r="K2" s="39"/>
      <c r="L2" s="39"/>
      <c r="M2" s="39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27.75" customHeight="1" x14ac:dyDescent="0.2">
      <c r="A23" s="38" t="s">
        <v>25</v>
      </c>
      <c r="B23" s="24" t="s">
        <v>93</v>
      </c>
      <c r="C23" s="24" t="s">
        <v>94</v>
      </c>
      <c r="D23" s="24" t="s">
        <v>95</v>
      </c>
      <c r="E23" s="24" t="s">
        <v>96</v>
      </c>
      <c r="F23" s="24" t="s">
        <v>97</v>
      </c>
      <c r="G23" s="24" t="s">
        <v>98</v>
      </c>
    </row>
    <row r="24" spans="1:7" x14ac:dyDescent="0.2">
      <c r="A24" s="30" t="s">
        <v>26</v>
      </c>
      <c r="B24" s="98">
        <v>7.6</v>
      </c>
      <c r="C24" s="79">
        <v>6.8</v>
      </c>
      <c r="D24" s="79">
        <v>1.9</v>
      </c>
      <c r="E24" s="79">
        <v>1.7</v>
      </c>
      <c r="F24" s="79">
        <v>2.1</v>
      </c>
      <c r="G24" s="77">
        <v>2.7</v>
      </c>
    </row>
    <row r="25" spans="1:7" x14ac:dyDescent="0.2">
      <c r="A25" s="31" t="s">
        <v>27</v>
      </c>
      <c r="B25" s="110">
        <v>4.2</v>
      </c>
      <c r="C25" s="88">
        <v>4.9000000000000004</v>
      </c>
      <c r="D25" s="88">
        <v>4.7</v>
      </c>
      <c r="E25" s="88">
        <v>4</v>
      </c>
      <c r="F25" s="88">
        <v>4.5999999999999996</v>
      </c>
      <c r="G25" s="82">
        <v>5.2</v>
      </c>
    </row>
    <row r="26" spans="1:7" x14ac:dyDescent="0.2">
      <c r="A26" s="31" t="s">
        <v>28</v>
      </c>
      <c r="B26" s="110">
        <v>77.2</v>
      </c>
      <c r="C26" s="88">
        <v>76.400000000000006</v>
      </c>
      <c r="D26" s="88">
        <v>86.6</v>
      </c>
      <c r="E26" s="88">
        <v>86.6</v>
      </c>
      <c r="F26" s="88">
        <v>83.8</v>
      </c>
      <c r="G26" s="82">
        <v>83.4</v>
      </c>
    </row>
    <row r="27" spans="1:7" x14ac:dyDescent="0.2">
      <c r="A27" s="31" t="s">
        <v>29</v>
      </c>
      <c r="B27" s="110">
        <v>1.7</v>
      </c>
      <c r="C27" s="88">
        <v>1.6</v>
      </c>
      <c r="D27" s="88">
        <v>2.4</v>
      </c>
      <c r="E27" s="88">
        <v>2.4</v>
      </c>
      <c r="F27" s="88">
        <v>2.6</v>
      </c>
      <c r="G27" s="82">
        <v>2.6</v>
      </c>
    </row>
    <row r="28" spans="1:7" x14ac:dyDescent="0.2">
      <c r="A28" s="31" t="s">
        <v>45</v>
      </c>
      <c r="B28" s="110">
        <v>0.1</v>
      </c>
      <c r="C28" s="88">
        <v>0.1</v>
      </c>
      <c r="D28" s="88">
        <v>0.2</v>
      </c>
      <c r="E28" s="88">
        <v>0.2</v>
      </c>
      <c r="F28" s="88">
        <v>0.2</v>
      </c>
      <c r="G28" s="82">
        <v>0.3</v>
      </c>
    </row>
    <row r="29" spans="1:7" x14ac:dyDescent="0.2">
      <c r="A29" s="31" t="s">
        <v>46</v>
      </c>
      <c r="B29" s="110">
        <v>8.5</v>
      </c>
      <c r="C29" s="88">
        <v>9.6999999999999993</v>
      </c>
      <c r="D29" s="88">
        <v>3.6</v>
      </c>
      <c r="E29" s="88">
        <v>4.7</v>
      </c>
      <c r="F29" s="88">
        <v>6</v>
      </c>
      <c r="G29" s="82">
        <v>5.2</v>
      </c>
    </row>
    <row r="30" spans="1:7" x14ac:dyDescent="0.2">
      <c r="A30" s="32" t="s">
        <v>47</v>
      </c>
      <c r="B30" s="99">
        <v>0.7</v>
      </c>
      <c r="C30" s="78">
        <v>0.5</v>
      </c>
      <c r="D30" s="78">
        <v>0.6</v>
      </c>
      <c r="E30" s="78">
        <v>0.4</v>
      </c>
      <c r="F30" s="78">
        <v>0.7</v>
      </c>
      <c r="G30" s="108">
        <v>0.6</v>
      </c>
    </row>
    <row r="35" spans="2:7" ht="15" x14ac:dyDescent="0.2">
      <c r="B35" s="50"/>
      <c r="C35" s="50"/>
      <c r="D35" s="51"/>
      <c r="E35" s="51"/>
      <c r="F35" s="51"/>
      <c r="G35" s="51"/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6.42578125" style="3" bestFit="1" customWidth="1"/>
    <col min="2" max="2" width="14.85546875" style="3" customWidth="1"/>
    <col min="3" max="3" width="15.140625" style="3" customWidth="1"/>
    <col min="4" max="4" width="14.85546875" style="3" customWidth="1"/>
    <col min="5" max="6" width="14.5703125" style="3" customWidth="1"/>
    <col min="7" max="7" width="14.85546875" style="3" customWidth="1"/>
    <col min="8" max="16384" width="9.140625" style="3"/>
  </cols>
  <sheetData>
    <row r="2" spans="1:13" ht="12.75" x14ac:dyDescent="0.2">
      <c r="A2" s="153" t="s">
        <v>113</v>
      </c>
      <c r="B2" s="153"/>
      <c r="C2" s="153"/>
      <c r="D2" s="153"/>
      <c r="E2" s="153"/>
      <c r="F2" s="153"/>
      <c r="G2" s="153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9.25" customHeight="1" x14ac:dyDescent="0.2">
      <c r="A22" s="20"/>
      <c r="B22" s="9" t="s">
        <v>98</v>
      </c>
      <c r="C22" s="9" t="s">
        <v>97</v>
      </c>
      <c r="D22" s="9" t="s">
        <v>96</v>
      </c>
      <c r="E22" s="9" t="s">
        <v>95</v>
      </c>
      <c r="F22" s="9" t="s">
        <v>94</v>
      </c>
      <c r="G22" s="9" t="s">
        <v>93</v>
      </c>
    </row>
    <row r="23" spans="1:7" ht="15" customHeight="1" x14ac:dyDescent="0.2">
      <c r="A23" s="16" t="s">
        <v>48</v>
      </c>
      <c r="B23" s="98">
        <v>50</v>
      </c>
      <c r="C23" s="79">
        <v>49</v>
      </c>
      <c r="D23" s="79">
        <v>46.7</v>
      </c>
      <c r="E23" s="79">
        <v>47.4</v>
      </c>
      <c r="F23" s="79">
        <v>45.9</v>
      </c>
      <c r="G23" s="77">
        <v>48.3</v>
      </c>
    </row>
    <row r="24" spans="1:7" ht="15" customHeight="1" x14ac:dyDescent="0.2">
      <c r="A24" s="17" t="s">
        <v>49</v>
      </c>
      <c r="B24" s="110">
        <v>23.3</v>
      </c>
      <c r="C24" s="88">
        <v>24.8</v>
      </c>
      <c r="D24" s="88">
        <v>24.5</v>
      </c>
      <c r="E24" s="88">
        <v>22.7</v>
      </c>
      <c r="F24" s="88">
        <v>26.5</v>
      </c>
      <c r="G24" s="82">
        <v>20.399999999999999</v>
      </c>
    </row>
    <row r="25" spans="1:7" ht="15.75" customHeight="1" x14ac:dyDescent="0.2">
      <c r="A25" s="18" t="s">
        <v>50</v>
      </c>
      <c r="B25" s="99">
        <v>26.7</v>
      </c>
      <c r="C25" s="78">
        <v>26.2</v>
      </c>
      <c r="D25" s="78">
        <v>28.8</v>
      </c>
      <c r="E25" s="78">
        <v>29.9</v>
      </c>
      <c r="F25" s="78">
        <v>27.6</v>
      </c>
      <c r="G25" s="108">
        <v>31.3</v>
      </c>
    </row>
    <row r="26" spans="1:7" x14ac:dyDescent="0.2">
      <c r="G26" s="6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9"/>
  <sheetViews>
    <sheetView workbookViewId="0">
      <selection activeCell="A2" sqref="A2:G2"/>
    </sheetView>
  </sheetViews>
  <sheetFormatPr defaultRowHeight="12" x14ac:dyDescent="0.2"/>
  <cols>
    <col min="1" max="1" width="22.85546875" style="3" customWidth="1"/>
    <col min="2" max="2" width="14.85546875" style="3" customWidth="1"/>
    <col min="3" max="3" width="14.42578125" style="3" customWidth="1"/>
    <col min="4" max="4" width="14.85546875" style="3" customWidth="1"/>
    <col min="5" max="5" width="14.28515625" style="3" customWidth="1"/>
    <col min="6" max="6" width="14.85546875" style="3" customWidth="1"/>
    <col min="7" max="7" width="14.42578125" style="3" customWidth="1"/>
    <col min="8" max="16384" width="9.140625" style="3"/>
  </cols>
  <sheetData>
    <row r="2" spans="1:10" ht="13.5" customHeight="1" x14ac:dyDescent="0.2">
      <c r="A2" s="146" t="s">
        <v>114</v>
      </c>
      <c r="B2" s="146"/>
      <c r="C2" s="146"/>
      <c r="D2" s="146"/>
      <c r="E2" s="146"/>
      <c r="F2" s="146"/>
      <c r="G2" s="146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6.25" customHeight="1" x14ac:dyDescent="0.2">
      <c r="A24" s="37"/>
      <c r="B24" s="9" t="s">
        <v>98</v>
      </c>
      <c r="C24" s="9" t="s">
        <v>97</v>
      </c>
      <c r="D24" s="9" t="s">
        <v>96</v>
      </c>
      <c r="E24" s="9" t="s">
        <v>95</v>
      </c>
      <c r="F24" s="9" t="s">
        <v>94</v>
      </c>
      <c r="G24" s="9" t="s">
        <v>93</v>
      </c>
    </row>
    <row r="25" spans="1:7" x14ac:dyDescent="0.2">
      <c r="A25" s="132" t="s">
        <v>33</v>
      </c>
      <c r="B25" s="15">
        <f>IF(OR(386686.37272="",386686.37272="***"),"-",386686.37272/2734888.97913*100)</f>
        <v>14.139015355680339</v>
      </c>
      <c r="C25" s="15">
        <f>IF(398735.55201="","-",398735.55201/2808282.38613*100)</f>
        <v>14.198556170110946</v>
      </c>
      <c r="D25" s="15">
        <f>IF(294046.1009="","-",294046.1009/2393616.81978*100)</f>
        <v>12.284593693949148</v>
      </c>
      <c r="E25" s="15">
        <f>IF(420001.61284="","-",420001.61284/3266113.78787*100)</f>
        <v>12.859368660082863</v>
      </c>
      <c r="F25" s="15">
        <f>IF(702468.90888="","-",702468.90888/4350574.54459*100)</f>
        <v>16.146577921611062</v>
      </c>
      <c r="G25" s="11">
        <f>IF(680751.00253="","-",680751.00253/4371623.60554*100)</f>
        <v>15.572040595336457</v>
      </c>
    </row>
    <row r="26" spans="1:7" x14ac:dyDescent="0.2">
      <c r="A26" s="132" t="s">
        <v>38</v>
      </c>
      <c r="B26" s="15">
        <f>IF(OR(255762.11953="",255762.11953="***"),"-",255762.11953/2734888.97913*100)</f>
        <v>9.3518282270953801</v>
      </c>
      <c r="C26" s="15">
        <f>IF(272340.70528="","-",272340.70528/2808282.38613*100)</f>
        <v>9.6977678108540779</v>
      </c>
      <c r="D26" s="15">
        <f>IF(228665.84046="","-",228665.84046/2393616.81978*100)</f>
        <v>9.5531514722986</v>
      </c>
      <c r="E26" s="15">
        <f>IF(294944.22176="","-",294944.22176/3266113.78787*100)</f>
        <v>9.030433136022129</v>
      </c>
      <c r="F26" s="15">
        <f>IF(399831.02461="","-",399831.02461/4350574.54459*100)</f>
        <v>9.190303958983888</v>
      </c>
      <c r="G26" s="124">
        <f>IF(570163.79871="","-",570163.79871/4371623.60554*100)</f>
        <v>13.042380821337229</v>
      </c>
    </row>
    <row r="27" spans="1:7" x14ac:dyDescent="0.2">
      <c r="A27" s="132" t="s">
        <v>103</v>
      </c>
      <c r="B27" s="15">
        <f>IF(OR(285619.72909="",285619.72909="***"),"-",285619.72909/2734888.97913*100)</f>
        <v>10.443558450436951</v>
      </c>
      <c r="C27" s="15">
        <f>IF(277937.81489="","-",277937.81489/2808282.38613*100)</f>
        <v>9.89707503286437</v>
      </c>
      <c r="D27" s="15">
        <f>IF(262582.07315="","-",262582.07315/2393616.81978*100)</f>
        <v>10.970096423960381</v>
      </c>
      <c r="E27" s="15">
        <f>IF(384609.0143="","-",384609.0143/3266113.78787*100)</f>
        <v>11.775738363078379</v>
      </c>
      <c r="F27" s="15">
        <f>IF(409673.54672="","-",409673.54672/4350574.54459*100)</f>
        <v>9.416538954135028</v>
      </c>
      <c r="G27" s="124">
        <f>IF(460011.87349="","-",460011.87349/4371623.60554*100)</f>
        <v>10.522677956698827</v>
      </c>
    </row>
    <row r="28" spans="1:7" x14ac:dyDescent="0.2">
      <c r="A28" s="132" t="s">
        <v>35</v>
      </c>
      <c r="B28" s="15">
        <f>IF(OR(161328.19409="",161328.19409="***"),"-",161328.19409/2734888.97913*100)</f>
        <v>5.8988937145565741</v>
      </c>
      <c r="C28" s="15">
        <f>IF(181709.29785="","-",181709.29785/2808282.38613*100)</f>
        <v>6.4704781380766878</v>
      </c>
      <c r="D28" s="15">
        <f>IF(163423.44539="","-",163423.44539/2393616.81978*100)</f>
        <v>6.8274689599240208</v>
      </c>
      <c r="E28" s="15">
        <f>IF(234474.46346="","-",234474.46346/3266113.78787*100)</f>
        <v>7.1790047343363623</v>
      </c>
      <c r="F28" s="15">
        <f>IF(308245.26002="","-",308245.26002/4350574.54459*100)</f>
        <v>7.0851621288343924</v>
      </c>
      <c r="G28" s="124">
        <f>IF(377210.39116="","-",377210.39116/4371623.60554*100)</f>
        <v>8.6286109051560373</v>
      </c>
    </row>
    <row r="29" spans="1:7" x14ac:dyDescent="0.2">
      <c r="A29" s="132" t="s">
        <v>34</v>
      </c>
      <c r="B29" s="15">
        <f>IF(OR(235960.24867="",235960.24867="***"),"-",235960.24867/2734888.97913*100)</f>
        <v>8.6277816200444715</v>
      </c>
      <c r="C29" s="15">
        <f>IF(238032.18999="","-",238032.18999/2808282.38613*100)</f>
        <v>8.4760774473974543</v>
      </c>
      <c r="D29" s="15">
        <f>IF(197851.2621="","-",197851.2621/2393616.81978*100)</f>
        <v>8.2657867568872092</v>
      </c>
      <c r="E29" s="15">
        <f>IF(271859.44526="","-",271859.44526/3266113.78787*100)</f>
        <v>8.3236366800708872</v>
      </c>
      <c r="F29" s="15">
        <f>IF(287744.25262="","-",287744.25262/4350574.54459*100)</f>
        <v>6.6139368414641684</v>
      </c>
      <c r="G29" s="124">
        <f>IF(305392.66958="","-",305392.66958/4371623.60554*100)</f>
        <v>6.9857951446914814</v>
      </c>
    </row>
    <row r="30" spans="1:7" x14ac:dyDescent="0.2">
      <c r="A30" s="132" t="s">
        <v>36</v>
      </c>
      <c r="B30" s="15">
        <f>IF(OR(195710.92908="",195710.92908="***"),"-",195710.92908/2734888.97913*100)</f>
        <v>7.156083138053301</v>
      </c>
      <c r="C30" s="15">
        <f>IF(200707.15474="","-",200707.15474/2808282.38613*100)</f>
        <v>7.1469719616262601</v>
      </c>
      <c r="D30" s="15">
        <f>IF(160819.39079="","-",160819.39079/2393616.81978*100)</f>
        <v>6.7186773363658556</v>
      </c>
      <c r="E30" s="15">
        <f>IF(220030.28975="","-",220030.28975/3266113.78787*100)</f>
        <v>6.7367613022904811</v>
      </c>
      <c r="F30" s="15">
        <f>IF(228317.43966="","-",228317.43966/4350574.54459*100)</f>
        <v>5.2479836242299518</v>
      </c>
      <c r="G30" s="124">
        <f>IF(228366.90336="","-",228366.90336/4371623.60554*100)</f>
        <v>5.2238464233425521</v>
      </c>
    </row>
    <row r="31" spans="1:7" x14ac:dyDescent="0.2">
      <c r="A31" s="132" t="s">
        <v>99</v>
      </c>
      <c r="B31" s="15">
        <f>IF(OR(323555.32502="",323555.32502="***"),"-",323555.32502/2734888.97913*100)</f>
        <v>11.83065665513511</v>
      </c>
      <c r="C31" s="15">
        <f>IF(349252.8024="","-",349252.8024/2808282.38613*100)</f>
        <v>12.436527185618736</v>
      </c>
      <c r="D31" s="15">
        <f>IF(295667.83921="","-",295667.83921/2393616.81978*100)</f>
        <v>12.352346322381507</v>
      </c>
      <c r="E31" s="15">
        <f>IF(375174.6247="","-",375174.6247/3266113.78787*100)</f>
        <v>11.486881629579432</v>
      </c>
      <c r="F31" s="15">
        <f>IF(663634.30078="","-",663634.30078/4350574.54459*100)</f>
        <v>15.253946208213776</v>
      </c>
      <c r="G31" s="124">
        <f>IF(197922.17326="","-",197922.17326/4371623.60554*100)</f>
        <v>4.5274294202543057</v>
      </c>
    </row>
    <row r="32" spans="1:7" x14ac:dyDescent="0.2">
      <c r="A32" s="132" t="s">
        <v>37</v>
      </c>
      <c r="B32" s="15">
        <f>IF(OR(96177.6956="",96177.6956="***"),"-",96177.6956/2734888.97913*100)</f>
        <v>3.5166946934202516</v>
      </c>
      <c r="C32" s="15">
        <f>IF(93971.30847="","-",93971.30847/2808282.38613*100)</f>
        <v>3.3462200572891363</v>
      </c>
      <c r="D32" s="15">
        <f>IF(93094.12442="","-",93094.12442/2393616.81978*100)</f>
        <v>3.889265969837076</v>
      </c>
      <c r="E32" s="15">
        <f>IF(124518.41497="","-",124518.41497/3266113.78787*100)</f>
        <v>3.8124334624362497</v>
      </c>
      <c r="F32" s="15">
        <f>IF(145107.55701="","-",145107.55701/4350574.54459*100)</f>
        <v>3.3353653758316413</v>
      </c>
      <c r="G32" s="124">
        <f>IF(148908.20473="","-",148908.20473/4371623.60554*100)</f>
        <v>3.4062448684121396</v>
      </c>
    </row>
    <row r="33" spans="1:7" x14ac:dyDescent="0.2">
      <c r="A33" s="132" t="s">
        <v>100</v>
      </c>
      <c r="B33" s="15">
        <f>IF(OR(76456.96038="",76456.96038="***"),"-",76456.96038/2734888.97913*100)</f>
        <v>2.7956147749851934</v>
      </c>
      <c r="C33" s="15">
        <f>IF(76428.12446="","-",76428.12446/2808282.38613*100)</f>
        <v>2.7215256142856434</v>
      </c>
      <c r="D33" s="15">
        <f>IF(66048.39994="","-",66048.39994/2393616.81978*100)</f>
        <v>2.7593556075558738</v>
      </c>
      <c r="E33" s="15">
        <f>IF(86471.03108="","-",86471.03108/3266113.78787*100)</f>
        <v>2.6475204691625942</v>
      </c>
      <c r="F33" s="15">
        <f>IF(102929.40939="","-",102929.40939/4350574.54459*100)</f>
        <v>2.3658808356242083</v>
      </c>
      <c r="G33" s="124">
        <f>IF(112100.41862="","-",112100.41862/4371623.60554*100)</f>
        <v>2.5642742544884056</v>
      </c>
    </row>
    <row r="34" spans="1:7" x14ac:dyDescent="0.2">
      <c r="A34" s="132" t="s">
        <v>104</v>
      </c>
      <c r="B34" s="15">
        <f>IF(OR(14634.47554="",14634.47554="***"),"-",14634.47554/2734888.97913*100)</f>
        <v>0.53510309382486876</v>
      </c>
      <c r="C34" s="15">
        <f>IF(18239.67978="","-",18239.67978/2808282.38613*100)</f>
        <v>0.64949592925857758</v>
      </c>
      <c r="D34" s="15">
        <f>IF(16957.18039="","-",16957.18039/2393616.81978*100)</f>
        <v>0.70843337370759929</v>
      </c>
      <c r="E34" s="15">
        <f>IF(22060.36863="","-",22060.36863/3266113.78787*100)</f>
        <v>0.67543172292189779</v>
      </c>
      <c r="F34" s="15">
        <f>IF(112462.10705="","-",112462.10705/4350574.54459*100)</f>
        <v>2.5849943702228524</v>
      </c>
      <c r="G34" s="124">
        <f>IF(108327.91412="","-",108327.91412/4371623.60554*100)</f>
        <v>2.4779789820587474</v>
      </c>
    </row>
    <row r="35" spans="1:7" x14ac:dyDescent="0.2">
      <c r="A35" s="132" t="s">
        <v>40</v>
      </c>
      <c r="B35" s="15">
        <f>IF(OR(61500.5958="",61500.5958="***"),"-",61500.5958/2734888.97913*100)</f>
        <v>2.2487419514763651</v>
      </c>
      <c r="C35" s="15">
        <f>IF(57113.88832="","-",57113.88832/2808282.38613*100)</f>
        <v>2.0337658563855014</v>
      </c>
      <c r="D35" s="15">
        <f>IF(48560.99087="","-",48560.99087/2393616.81978*100)</f>
        <v>2.0287704560190756</v>
      </c>
      <c r="E35" s="15">
        <f>IF(63833.50964="","-",63833.50964/3266113.78787*100)</f>
        <v>1.9544178122964015</v>
      </c>
      <c r="F35" s="15">
        <f>IF(92595.31021="","-",92595.31021/4350574.54459*100)</f>
        <v>2.1283467105544385</v>
      </c>
      <c r="G35" s="124">
        <f>IF(97501.56704="","-",97501.56704/4371623.60554*100)</f>
        <v>2.2303284966354329</v>
      </c>
    </row>
    <row r="36" spans="1:7" ht="13.5" customHeight="1" x14ac:dyDescent="0.2">
      <c r="A36" s="132" t="s">
        <v>58</v>
      </c>
      <c r="B36" s="15">
        <f>IF(OR(40443.61334="",40443.61334="***"),"-",40443.61334/2734888.97913*100)</f>
        <v>1.4788027466060283</v>
      </c>
      <c r="C36" s="15">
        <f>IF(53720.88986="","-",53720.88986/2808282.38613*100)</f>
        <v>1.9129447282554433</v>
      </c>
      <c r="D36" s="15">
        <f>IF(38660.09692="","-",38660.09692/2393616.81978*100)</f>
        <v>1.6151330739543053</v>
      </c>
      <c r="E36" s="15">
        <f>IF(55912.70591="","-",55912.70591/3266113.78787*100)</f>
        <v>1.7119031834608409</v>
      </c>
      <c r="F36" s="15">
        <f>IF(64450.44708="","-",64450.44708/4350574.54459*100)</f>
        <v>1.4814238078082129</v>
      </c>
      <c r="G36" s="124">
        <f>IF(75348.18843="","-",75348.18843/4371623.60554*100)</f>
        <v>1.7235744709245775</v>
      </c>
    </row>
    <row r="37" spans="1:7" ht="12" customHeight="1" x14ac:dyDescent="0.2">
      <c r="A37" s="132" t="s">
        <v>42</v>
      </c>
      <c r="B37" s="15">
        <f>IF(OR(32988.2063="",32988.2063="***"),"-",32988.2063/2734888.97913*100)</f>
        <v>1.2061991017453999</v>
      </c>
      <c r="C37" s="15">
        <f>IF(23571.83007="","-",23571.83007/2808282.38613*100)</f>
        <v>0.83936822687135648</v>
      </c>
      <c r="D37" s="15">
        <f>IF(25828.23999="","-",25828.23999/2393616.81978*100)</f>
        <v>1.079046561528336</v>
      </c>
      <c r="E37" s="15">
        <f>IF(37083.88166="","-",37083.88166/3266113.78787*100)</f>
        <v>1.1354130342220654</v>
      </c>
      <c r="F37" s="15">
        <f>IF(63158.4768="","-",63158.4768/4350574.54459*100)</f>
        <v>1.4517272638975567</v>
      </c>
      <c r="G37" s="124">
        <f>IF(74619.65765="","-",74619.65765/4371623.60554*100)</f>
        <v>1.7069094776466394</v>
      </c>
    </row>
    <row r="38" spans="1:7" ht="11.25" customHeight="1" x14ac:dyDescent="0.2">
      <c r="A38" s="132" t="s">
        <v>57</v>
      </c>
      <c r="B38" s="15">
        <f>IF(OR(11674.40881="",11674.40881="***"),"-",11674.40881/2734888.97913*100)</f>
        <v>0.42686956944459831</v>
      </c>
      <c r="C38" s="15">
        <f>IF(10475.60672="","-",10475.60672/2808282.38613*100)</f>
        <v>0.37302540413096003</v>
      </c>
      <c r="D38" s="15">
        <f>IF(12257.49323="","-",12257.49323/2393616.81978*100)</f>
        <v>0.51209087138377485</v>
      </c>
      <c r="E38" s="15">
        <f>IF(14219.91602="","-",14219.91602/3266113.78787*100)</f>
        <v>0.4353772386256492</v>
      </c>
      <c r="F38" s="15">
        <f>IF(22029.07893="","-",22029.07893/4350574.54459*100)</f>
        <v>0.50634872944295284</v>
      </c>
      <c r="G38" s="124">
        <f>IF(71726.57434="","-",71726.57434/4371623.60554*100)</f>
        <v>1.6407307859053446</v>
      </c>
    </row>
    <row r="39" spans="1:7" x14ac:dyDescent="0.2">
      <c r="A39" s="132" t="s">
        <v>41</v>
      </c>
      <c r="B39" s="15">
        <f>IF(OR(39979.49706="",39979.49706="***"),"-",39979.49706/2734888.97913*100)</f>
        <v>1.4618325411043904</v>
      </c>
      <c r="C39" s="15">
        <f>IF(41256.03811="","-",41256.03811/2808282.38613*100)</f>
        <v>1.4690843881570459</v>
      </c>
      <c r="D39" s="15">
        <f>IF(36709.59168="","-",36709.59168/2393616.81978*100)</f>
        <v>1.5336452926234876</v>
      </c>
      <c r="E39" s="15">
        <f>IF(45979.51005="","-",45979.51005/3266113.78787*100)</f>
        <v>1.4077742857815614</v>
      </c>
      <c r="F39" s="15">
        <f>IF(54441.81065="","-",54441.81065/4350574.54459*100)</f>
        <v>1.2513705969640065</v>
      </c>
      <c r="G39" s="124">
        <f>IF(58020.93731="","-",58020.93731/4371623.60554*100)</f>
        <v>1.3272171290426782</v>
      </c>
    </row>
    <row r="40" spans="1:7" x14ac:dyDescent="0.2">
      <c r="A40" s="132" t="s">
        <v>59</v>
      </c>
      <c r="B40" s="15">
        <f>IF(OR(37761.7023="",37761.7023="***"),"-",37761.7023/2734888.97913*100)</f>
        <v>1.3807398614042621</v>
      </c>
      <c r="C40" s="15">
        <f>IF(35933.63281="","-",35933.63281/2808282.38613*100)</f>
        <v>1.2795590994507835</v>
      </c>
      <c r="D40" s="15">
        <f>IF(32555.63779="","-",32555.63779/2393616.81978*100)</f>
        <v>1.3601023154989453</v>
      </c>
      <c r="E40" s="15">
        <f>IF(53225.68476="","-",53225.68476/3266113.78787*100)</f>
        <v>1.6296335099430563</v>
      </c>
      <c r="F40" s="15">
        <f>IF(70247.22269="","-",70247.22269/4350574.54459*100)</f>
        <v>1.6146654187859715</v>
      </c>
      <c r="G40" s="124">
        <f>IF(57651.43734="","-",57651.43734/4371623.60554*100)</f>
        <v>1.3187648924518667</v>
      </c>
    </row>
    <row r="41" spans="1:7" x14ac:dyDescent="0.2">
      <c r="A41" s="132" t="s">
        <v>81</v>
      </c>
      <c r="B41" s="15">
        <f>IF(OR(1652.28934="",1652.28934="***"),"-",1652.28934/2734888.97913*100)</f>
        <v>6.041522535681184E-2</v>
      </c>
      <c r="C41" s="15">
        <f>IF(4278.66319="","-",4278.66319/2808282.38613*100)</f>
        <v>0.1523587232940731</v>
      </c>
      <c r="D41" s="15">
        <f>IF(5106.68649="","-",5106.68649/2393616.81978*100)</f>
        <v>0.21334603131963961</v>
      </c>
      <c r="E41" s="15">
        <f>IF(6849.27224="","-",6849.27224/3266113.78787*100)</f>
        <v>0.20970709181772754</v>
      </c>
      <c r="F41" s="15">
        <f>IF(9279.06036="","-",9279.06036/4350574.54459*100)</f>
        <v>0.21328356208810717</v>
      </c>
      <c r="G41" s="124">
        <f>IF(46717.93852="","-",46717.93852/4371623.60554*100)</f>
        <v>1.068663332790043</v>
      </c>
    </row>
    <row r="42" spans="1:7" x14ac:dyDescent="0.2">
      <c r="A42" s="132" t="s">
        <v>105</v>
      </c>
      <c r="B42" s="15">
        <f>IF(OR(55640.58105="",55640.58105="***"),"-",55640.58105/2734888.97913*100)</f>
        <v>2.0344731166272028</v>
      </c>
      <c r="C42" s="15">
        <f>IF(47039.67331="","-",47039.67331/2808282.38613*100)</f>
        <v>1.6750335914339369</v>
      </c>
      <c r="D42" s="15">
        <f>IF(27493.31414="","-",27493.31414/2393616.81978*100)</f>
        <v>1.1486096652064359</v>
      </c>
      <c r="E42" s="15">
        <f>IF(49025.34159="","-",49025.34159/3266113.78787*100)</f>
        <v>1.5010298101699615</v>
      </c>
      <c r="F42" s="15">
        <f>IF(40837.83829="","-",40837.83829/4350574.54459*100)</f>
        <v>0.93867690052070063</v>
      </c>
      <c r="G42" s="124">
        <f>IF(45707.7947="","-",45707.7947/4371623.60554*100)</f>
        <v>1.0455564985529899</v>
      </c>
    </row>
    <row r="43" spans="1:7" x14ac:dyDescent="0.2">
      <c r="A43" s="132" t="s">
        <v>106</v>
      </c>
      <c r="B43" s="15">
        <f>IF(OR(28182.65967="",28182.65967="***"),"-",28182.65967/2734888.97913*100)</f>
        <v>1.0304864250454961</v>
      </c>
      <c r="C43" s="15">
        <f>IF(22736.89939="","-",22736.89939/2808282.38613*100)</f>
        <v>0.80963721819061651</v>
      </c>
      <c r="D43" s="15">
        <f>IF(24186.6149="","-",24186.6149/2393616.81978*100)</f>
        <v>1.0104631075504817</v>
      </c>
      <c r="E43" s="15">
        <f>IF(31810.8532="","-",31810.8532/3266113.78787*100)</f>
        <v>0.973966471044032</v>
      </c>
      <c r="F43" s="15">
        <f>IF(28818.12952="","-",28818.12952/4350574.54459*100)</f>
        <v>0.66239824705074291</v>
      </c>
      <c r="G43" s="124">
        <f>IF(45451.13848="","-",45451.13848/4371623.60554*100)</f>
        <v>1.0396855397706568</v>
      </c>
    </row>
    <row r="44" spans="1:7" ht="12" customHeight="1" x14ac:dyDescent="0.2">
      <c r="A44" s="132" t="s">
        <v>74</v>
      </c>
      <c r="B44" s="15">
        <f>IF(OR(30633.23569="",30633.23569="***"),"-",30633.23569/2734888.97913*100)</f>
        <v>1.1200906480578525</v>
      </c>
      <c r="C44" s="15">
        <f>IF(29756.57923="","-",29756.57923/2808282.38613*100)</f>
        <v>1.0596006789405017</v>
      </c>
      <c r="D44" s="15">
        <f>IF(26354.94037="","-",26354.94037/2393616.81978*100)</f>
        <v>1.1010509348117929</v>
      </c>
      <c r="E44" s="15">
        <f>IF(35613.92266="","-",35613.92266/3266113.78787*100)</f>
        <v>1.0904066720598138</v>
      </c>
      <c r="F44" s="15">
        <f>IF(44127.91299="","-",44127.91299/4350574.54459*100)</f>
        <v>1.0143008133230051</v>
      </c>
      <c r="G44" s="124">
        <f>IF(42840.84153="","-",42840.84153/4371623.60554*100)</f>
        <v>0.97997552844461167</v>
      </c>
    </row>
    <row r="45" spans="1:7" x14ac:dyDescent="0.2">
      <c r="A45" s="132" t="s">
        <v>39</v>
      </c>
      <c r="B45" s="15">
        <f>IF(OR(49934.33624="",49934.33624="***"),"-",49934.33624/2734888.97913*100)</f>
        <v>1.8258268112910636</v>
      </c>
      <c r="C45" s="15">
        <f>IF(63404.69742="","-",63404.69742/2808282.38613*100)</f>
        <v>2.2577749920432999</v>
      </c>
      <c r="D45" s="15">
        <f>IF(46724.68515="","-",46724.68515/2393616.81978*100)</f>
        <v>1.9520536772587735</v>
      </c>
      <c r="E45" s="15">
        <f>IF(58218.85956="","-",58218.85956/3266113.78787*100)</f>
        <v>1.7825116741559546</v>
      </c>
      <c r="F45" s="15">
        <f>IF(55022.69542="","-",55022.69542/4350574.54459*100)</f>
        <v>1.2647225063278478</v>
      </c>
      <c r="G45" s="124">
        <f>IF(41803.4722="","-",41803.4722/4371623.60554*100)</f>
        <v>0.95624591620888788</v>
      </c>
    </row>
    <row r="46" spans="1:7" x14ac:dyDescent="0.2">
      <c r="A46" s="132" t="s">
        <v>107</v>
      </c>
      <c r="B46" s="15">
        <f>IF(OR(14275.17636="",14275.17636="***"),"-",14275.17636/2734888.97913*100)</f>
        <v>0.52196547899875267</v>
      </c>
      <c r="C46" s="15">
        <f>IF(17311.78722="","-",17311.78722/2808282.38613*100)</f>
        <v>0.61645464521311166</v>
      </c>
      <c r="D46" s="15">
        <f>IF(11956.75441="","-",11956.75441/2393616.81978*100)</f>
        <v>0.49952667073499918</v>
      </c>
      <c r="E46" s="15">
        <f>IF(18119.66087="","-",18119.66087/3266113.78787*100)</f>
        <v>0.5547773913234284</v>
      </c>
      <c r="F46" s="15">
        <f>IF(24908.56387="","-",24908.56387/4350574.54459*100)</f>
        <v>0.57253504369840402</v>
      </c>
      <c r="G46" s="124">
        <f>IF(41619.41651="","-",41619.41651/4371623.60554*100)</f>
        <v>0.95203567977026271</v>
      </c>
    </row>
    <row r="47" spans="1:7" x14ac:dyDescent="0.2">
      <c r="A47" s="132" t="s">
        <v>43</v>
      </c>
      <c r="B47" s="15">
        <f>IF(OR(29550.85327="",29550.85327="***"),"-",29550.85327/2734888.97913*100)</f>
        <v>1.0805138159356096</v>
      </c>
      <c r="C47" s="15">
        <f>IF(27544.84667="","-",27544.84667/2808282.38613*100)</f>
        <v>0.98084319461756941</v>
      </c>
      <c r="D47" s="15">
        <f>IF(23617.74824="","-",23617.74824/2393616.81978*100)</f>
        <v>0.98669712064317527</v>
      </c>
      <c r="E47" s="15">
        <f>IF(30972.43787="","-",30972.43787/3266113.78787*100)</f>
        <v>0.94829635100370202</v>
      </c>
      <c r="F47" s="15">
        <f>IF(36195.89883="","-",36195.89883/4350574.54459*100)</f>
        <v>0.83197974104386052</v>
      </c>
      <c r="G47" s="124">
        <f>IF(37895.96902="","-",37895.96902/4371623.60554*100)</f>
        <v>0.86686257645731002</v>
      </c>
    </row>
    <row r="48" spans="1:7" x14ac:dyDescent="0.2">
      <c r="A48" s="132" t="s">
        <v>108</v>
      </c>
      <c r="B48" s="15">
        <f>IF(OR(23483.75691="",23483.75691="***"),"-",23483.75691/2734888.97913*100)</f>
        <v>0.85867313405425549</v>
      </c>
      <c r="C48" s="15">
        <f>IF(20773.19113="","-",20773.19113/2808282.38613*100)</f>
        <v>0.73971161990681567</v>
      </c>
      <c r="D48" s="15">
        <f>IF(18458.9539="","-",18458.9539/2393616.81978*100)</f>
        <v>0.77117413896250042</v>
      </c>
      <c r="E48" s="15">
        <f>IF(22943.97734="","-",22943.97734/3266113.78787*100)</f>
        <v>0.7024855479687051</v>
      </c>
      <c r="F48" s="15">
        <f>IF(26819.11062="","-",26819.11062/4350574.54459*100)</f>
        <v>0.61644985840663125</v>
      </c>
      <c r="G48" s="124">
        <f>IF(29284.39324="","-",29284.39324/4371623.60554*100)</f>
        <v>0.66987453363754723</v>
      </c>
    </row>
    <row r="49" spans="1:7" x14ac:dyDescent="0.2">
      <c r="A49" s="133" t="s">
        <v>109</v>
      </c>
      <c r="B49" s="10">
        <f>IF(OR(17482.61532="",17482.61532="***"),"-",17482.61532/2734888.97913*100)</f>
        <v>0.639244059024342</v>
      </c>
      <c r="C49" s="10">
        <f>IF(16392.52252="","-",16392.52252/2808282.38613*100)</f>
        <v>0.58372059024270651</v>
      </c>
      <c r="D49" s="10">
        <f>IF(18398.85963="","-",18398.85963/2393616.81978*100)</f>
        <v>0.76866353369337781</v>
      </c>
      <c r="E49" s="10">
        <f>IF(21630.94706="","-",21630.94706/3266113.78787*100)</f>
        <v>0.66228393941249197</v>
      </c>
      <c r="F49" s="10">
        <f>IF(30831.75333="","-",30831.75333/4350574.54459*100)</f>
        <v>0.70868233641323797</v>
      </c>
      <c r="G49" s="12">
        <f>IF(27824.51756="","-",27824.51756/4371623.60554*100)</f>
        <v>0.63648017465957041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8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40" t="s">
        <v>83</v>
      </c>
      <c r="B2" s="140"/>
      <c r="C2" s="140"/>
      <c r="D2" s="140"/>
      <c r="E2" s="140"/>
      <c r="F2" s="140"/>
      <c r="G2" s="140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7" t="s">
        <v>117</v>
      </c>
      <c r="B27" s="37" t="s">
        <v>44</v>
      </c>
    </row>
    <row r="28" spans="1:6" x14ac:dyDescent="0.2">
      <c r="A28" s="134" t="s">
        <v>77</v>
      </c>
      <c r="B28" s="129">
        <v>14.7</v>
      </c>
    </row>
    <row r="29" spans="1:6" ht="13.5" customHeight="1" x14ac:dyDescent="0.2">
      <c r="A29" s="135" t="s">
        <v>70</v>
      </c>
      <c r="B29" s="130">
        <v>10</v>
      </c>
    </row>
    <row r="30" spans="1:6" x14ac:dyDescent="0.2">
      <c r="A30" s="135" t="s">
        <v>65</v>
      </c>
      <c r="B30" s="130">
        <v>6.1</v>
      </c>
    </row>
    <row r="31" spans="1:6" x14ac:dyDescent="0.2">
      <c r="A31" s="135" t="s">
        <v>75</v>
      </c>
      <c r="B31" s="130">
        <v>5.6</v>
      </c>
    </row>
    <row r="32" spans="1:6" x14ac:dyDescent="0.2">
      <c r="A32" s="135" t="s">
        <v>78</v>
      </c>
      <c r="B32" s="130">
        <v>3.8</v>
      </c>
    </row>
    <row r="33" spans="1:5" x14ac:dyDescent="0.2">
      <c r="A33" s="135" t="s">
        <v>64</v>
      </c>
      <c r="B33" s="130">
        <v>3.4</v>
      </c>
    </row>
    <row r="34" spans="1:5" x14ac:dyDescent="0.2">
      <c r="A34" s="135" t="s">
        <v>61</v>
      </c>
      <c r="B34" s="130">
        <v>2.5</v>
      </c>
    </row>
    <row r="35" spans="1:5" x14ac:dyDescent="0.2">
      <c r="A35" s="135" t="s">
        <v>73</v>
      </c>
      <c r="B35" s="130">
        <v>2.7</v>
      </c>
    </row>
    <row r="36" spans="1:5" x14ac:dyDescent="0.2">
      <c r="A36" s="135" t="s">
        <v>71</v>
      </c>
      <c r="B36" s="130">
        <v>3.6</v>
      </c>
    </row>
    <row r="37" spans="1:5" x14ac:dyDescent="0.2">
      <c r="A37" s="135" t="s">
        <v>80</v>
      </c>
      <c r="B37" s="130">
        <v>2</v>
      </c>
    </row>
    <row r="38" spans="1:5" x14ac:dyDescent="0.2">
      <c r="A38" s="135" t="s">
        <v>67</v>
      </c>
      <c r="B38" s="130">
        <v>2.1</v>
      </c>
    </row>
    <row r="39" spans="1:5" x14ac:dyDescent="0.2">
      <c r="A39" s="135" t="s">
        <v>92</v>
      </c>
      <c r="B39" s="130">
        <v>2.2000000000000002</v>
      </c>
    </row>
    <row r="40" spans="1:5" x14ac:dyDescent="0.2">
      <c r="A40" s="135" t="s">
        <v>90</v>
      </c>
      <c r="B40" s="130">
        <v>1.9</v>
      </c>
    </row>
    <row r="41" spans="1:5" x14ac:dyDescent="0.2">
      <c r="A41" s="136" t="s">
        <v>68</v>
      </c>
      <c r="B41" s="137">
        <v>39.4</v>
      </c>
    </row>
    <row r="42" spans="1:5" x14ac:dyDescent="0.2">
      <c r="A42" s="135"/>
      <c r="B42" s="138"/>
    </row>
    <row r="43" spans="1:5" x14ac:dyDescent="0.2">
      <c r="A43" s="135"/>
      <c r="B43" s="33"/>
    </row>
    <row r="44" spans="1:5" ht="11.25" customHeight="1" x14ac:dyDescent="0.2">
      <c r="A44" s="97" t="s">
        <v>118</v>
      </c>
      <c r="B44" s="139" t="s">
        <v>44</v>
      </c>
    </row>
    <row r="45" spans="1:5" ht="12.75" customHeight="1" x14ac:dyDescent="0.2">
      <c r="A45" s="134" t="s">
        <v>77</v>
      </c>
      <c r="B45" s="129">
        <v>15.9</v>
      </c>
      <c r="E45" s="105"/>
    </row>
    <row r="46" spans="1:5" ht="12.75" customHeight="1" x14ac:dyDescent="0.2">
      <c r="A46" s="135" t="s">
        <v>70</v>
      </c>
      <c r="B46" s="130">
        <v>8.4</v>
      </c>
      <c r="E46" s="105"/>
    </row>
    <row r="47" spans="1:5" ht="12.75" customHeight="1" x14ac:dyDescent="0.2">
      <c r="A47" s="135" t="s">
        <v>65</v>
      </c>
      <c r="B47" s="130">
        <v>7.4</v>
      </c>
      <c r="E47" s="105"/>
    </row>
    <row r="48" spans="1:5" ht="12.75" customHeight="1" x14ac:dyDescent="0.2">
      <c r="A48" s="135" t="s">
        <v>75</v>
      </c>
      <c r="B48" s="130">
        <v>6.4</v>
      </c>
      <c r="E48" s="105"/>
    </row>
    <row r="49" spans="1:5" ht="12.75" customHeight="1" x14ac:dyDescent="0.2">
      <c r="A49" s="135" t="s">
        <v>78</v>
      </c>
      <c r="B49" s="130">
        <v>3.5</v>
      </c>
      <c r="E49" s="105"/>
    </row>
    <row r="50" spans="1:5" ht="12.75" customHeight="1" x14ac:dyDescent="0.2">
      <c r="A50" s="135" t="s">
        <v>64</v>
      </c>
      <c r="B50" s="130">
        <v>3.4</v>
      </c>
      <c r="E50" s="105"/>
    </row>
    <row r="51" spans="1:5" ht="12.75" customHeight="1" x14ac:dyDescent="0.2">
      <c r="A51" s="135" t="s">
        <v>61</v>
      </c>
      <c r="B51" s="130">
        <v>2.9</v>
      </c>
      <c r="E51" s="105"/>
    </row>
    <row r="52" spans="1:5" ht="12.75" customHeight="1" x14ac:dyDescent="0.2">
      <c r="A52" s="135" t="s">
        <v>73</v>
      </c>
      <c r="B52" s="130">
        <v>2.7</v>
      </c>
      <c r="E52" s="105"/>
    </row>
    <row r="53" spans="1:5" ht="12.75" customHeight="1" x14ac:dyDescent="0.2">
      <c r="A53" s="135" t="s">
        <v>71</v>
      </c>
      <c r="B53" s="130">
        <v>2.5</v>
      </c>
      <c r="E53" s="105"/>
    </row>
    <row r="54" spans="1:5" ht="12.75" customHeight="1" x14ac:dyDescent="0.2">
      <c r="A54" s="135" t="s">
        <v>80</v>
      </c>
      <c r="B54" s="130">
        <v>2.2999999999999998</v>
      </c>
      <c r="E54" s="105"/>
    </row>
    <row r="55" spans="1:5" ht="12.75" customHeight="1" x14ac:dyDescent="0.2">
      <c r="A55" s="135" t="s">
        <v>67</v>
      </c>
      <c r="B55" s="130">
        <v>2.2000000000000002</v>
      </c>
      <c r="E55" s="105"/>
    </row>
    <row r="56" spans="1:5" ht="12.75" customHeight="1" x14ac:dyDescent="0.2">
      <c r="A56" s="135" t="s">
        <v>92</v>
      </c>
      <c r="B56" s="130">
        <v>2.1</v>
      </c>
      <c r="E56" s="105"/>
    </row>
    <row r="57" spans="1:5" ht="12.75" customHeight="1" x14ac:dyDescent="0.2">
      <c r="A57" s="135" t="s">
        <v>90</v>
      </c>
      <c r="B57" s="130">
        <v>2</v>
      </c>
      <c r="E57" s="105"/>
    </row>
    <row r="58" spans="1:5" ht="12.75" customHeight="1" x14ac:dyDescent="0.2">
      <c r="A58" s="136" t="s">
        <v>68</v>
      </c>
      <c r="B58" s="137">
        <v>38.299999999999997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9.140625" style="3"/>
    <col min="2" max="2" width="9.85546875" style="3" customWidth="1"/>
    <col min="3" max="3" width="9.7109375" style="3" customWidth="1"/>
    <col min="4" max="4" width="10" style="3" customWidth="1"/>
    <col min="5" max="6" width="9.7109375" style="3" customWidth="1"/>
    <col min="7" max="7" width="9.5703125" style="3" customWidth="1"/>
    <col min="8" max="9" width="9.140625" style="3"/>
    <col min="10" max="10" width="10.7109375" style="3" customWidth="1"/>
    <col min="11" max="11" width="10.85546875" style="3" customWidth="1"/>
    <col min="12" max="12" width="10.42578125" style="3" customWidth="1"/>
    <col min="13" max="13" width="10.5703125" style="3" customWidth="1"/>
    <col min="14" max="16384" width="9.140625" style="3"/>
  </cols>
  <sheetData>
    <row r="2" spans="1:13" ht="12.75" x14ac:dyDescent="0.2">
      <c r="A2" s="146" t="s">
        <v>88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-373.3</v>
      </c>
      <c r="F28" s="35">
        <v>-372.7</v>
      </c>
      <c r="G28" s="35">
        <v>-348.6</v>
      </c>
      <c r="H28" s="35"/>
      <c r="I28" s="35"/>
      <c r="J28" s="35"/>
      <c r="K28" s="35"/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A2" sqref="A2:F2"/>
    </sheetView>
  </sheetViews>
  <sheetFormatPr defaultRowHeight="12" x14ac:dyDescent="0.2"/>
  <cols>
    <col min="1" max="1" width="20.8554687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48" t="s">
        <v>115</v>
      </c>
      <c r="B2" s="148"/>
      <c r="C2" s="148"/>
      <c r="D2" s="148"/>
      <c r="E2" s="148"/>
      <c r="F2" s="148"/>
      <c r="G2" s="39"/>
      <c r="H2" s="39"/>
      <c r="I2" s="39"/>
      <c r="J2" s="39"/>
      <c r="K2" s="39"/>
      <c r="L2" s="39"/>
      <c r="M2" s="39"/>
    </row>
    <row r="3" spans="1:13" x14ac:dyDescent="0.2">
      <c r="A3" s="73"/>
      <c r="B3" s="73"/>
      <c r="C3" s="73"/>
      <c r="D3" s="73"/>
      <c r="E3" s="73"/>
      <c r="F3" s="73"/>
      <c r="G3" s="39"/>
      <c r="H3" s="39"/>
      <c r="I3" s="39"/>
      <c r="J3" s="39"/>
      <c r="K3" s="39"/>
      <c r="L3" s="39"/>
      <c r="M3" s="39"/>
    </row>
    <row r="4" spans="1:13" ht="19.5" customHeight="1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x14ac:dyDescent="0.2">
      <c r="A27" s="95" t="s">
        <v>51</v>
      </c>
      <c r="B27" s="21" t="s">
        <v>52</v>
      </c>
      <c r="C27" s="21" t="s">
        <v>53</v>
      </c>
      <c r="D27" s="22" t="s">
        <v>54</v>
      </c>
    </row>
    <row r="28" spans="1:6" ht="15.75" customHeight="1" x14ac:dyDescent="0.2">
      <c r="A28" s="93" t="s">
        <v>98</v>
      </c>
      <c r="B28" s="1">
        <v>1314.8</v>
      </c>
      <c r="C28" s="1">
        <v>2734.9</v>
      </c>
      <c r="D28" s="15">
        <v>-1420.1000000000001</v>
      </c>
    </row>
    <row r="29" spans="1:6" ht="15" customHeight="1" x14ac:dyDescent="0.2">
      <c r="A29" s="94" t="s">
        <v>97</v>
      </c>
      <c r="B29" s="1">
        <v>1361.2</v>
      </c>
      <c r="C29" s="1">
        <v>2808.3</v>
      </c>
      <c r="D29" s="15">
        <v>-1447.1000000000001</v>
      </c>
    </row>
    <row r="30" spans="1:6" ht="14.25" customHeight="1" x14ac:dyDescent="0.2">
      <c r="A30" s="94" t="s">
        <v>96</v>
      </c>
      <c r="B30" s="1">
        <v>1170.2</v>
      </c>
      <c r="C30" s="1">
        <v>2393.6</v>
      </c>
      <c r="D30" s="15">
        <v>-1223.3999999999999</v>
      </c>
    </row>
    <row r="31" spans="1:6" ht="14.25" customHeight="1" x14ac:dyDescent="0.2">
      <c r="A31" s="94" t="s">
        <v>95</v>
      </c>
      <c r="B31" s="1">
        <v>1331.5</v>
      </c>
      <c r="C31" s="1">
        <v>3266.1</v>
      </c>
      <c r="D31" s="15">
        <v>-1934.6</v>
      </c>
    </row>
    <row r="32" spans="1:6" ht="13.5" customHeight="1" x14ac:dyDescent="0.2">
      <c r="A32" s="94" t="s">
        <v>94</v>
      </c>
      <c r="B32" s="1">
        <v>2291.4</v>
      </c>
      <c r="C32" s="1">
        <v>4350.6000000000004</v>
      </c>
      <c r="D32" s="15">
        <v>-2059.2000000000003</v>
      </c>
    </row>
    <row r="33" spans="1:4" ht="13.5" customHeight="1" x14ac:dyDescent="0.2">
      <c r="A33" s="94" t="s">
        <v>93</v>
      </c>
      <c r="B33" s="1">
        <v>2042.2</v>
      </c>
      <c r="C33" s="1">
        <v>4371.6000000000004</v>
      </c>
      <c r="D33" s="15">
        <v>-2329.4000000000005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38"/>
  <sheetViews>
    <sheetView workbookViewId="0">
      <selection activeCell="A2" sqref="A2:S2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26" width="6.85546875" style="3" customWidth="1"/>
    <col min="27" max="27" width="6" style="3" customWidth="1"/>
    <col min="28" max="28" width="6.140625" style="3" customWidth="1"/>
    <col min="29" max="29" width="6.5703125" style="3" customWidth="1"/>
    <col min="30" max="30" width="7" style="3" customWidth="1"/>
    <col min="31" max="31" width="6.85546875" style="3" customWidth="1"/>
    <col min="32" max="16384" width="9.140625" style="3"/>
  </cols>
  <sheetData>
    <row r="2" spans="1:19" ht="15.75" customHeight="1" x14ac:dyDescent="0.2">
      <c r="A2" s="146" t="s">
        <v>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1" ht="22.5" customHeight="1" x14ac:dyDescent="0.2">
      <c r="A17" s="4"/>
    </row>
    <row r="18" spans="1:31" x14ac:dyDescent="0.2">
      <c r="A18" s="4"/>
    </row>
    <row r="19" spans="1:31" x14ac:dyDescent="0.2">
      <c r="A19" s="5"/>
    </row>
    <row r="20" spans="1:31" x14ac:dyDescent="0.2">
      <c r="A20" s="5"/>
    </row>
    <row r="21" spans="1:31" x14ac:dyDescent="0.2">
      <c r="A21" s="5"/>
    </row>
    <row r="22" spans="1:31" ht="19.5" customHeight="1" x14ac:dyDescent="0.2">
      <c r="A22" s="5"/>
    </row>
    <row r="23" spans="1:31" ht="15" customHeight="1" x14ac:dyDescent="0.2">
      <c r="A23" s="141"/>
      <c r="B23" s="143">
        <v>2021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43">
        <v>2022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5"/>
      <c r="Z23" s="147">
        <v>2023</v>
      </c>
      <c r="AA23" s="147"/>
      <c r="AB23" s="147"/>
      <c r="AC23" s="147"/>
      <c r="AD23" s="147"/>
      <c r="AE23" s="147"/>
    </row>
    <row r="24" spans="1:31" x14ac:dyDescent="0.2">
      <c r="A24" s="142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9" t="s">
        <v>13</v>
      </c>
      <c r="O24" s="89" t="s">
        <v>14</v>
      </c>
      <c r="P24" s="90" t="s">
        <v>15</v>
      </c>
      <c r="Q24" s="81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20" t="s">
        <v>13</v>
      </c>
      <c r="AA24" s="20" t="s">
        <v>14</v>
      </c>
      <c r="AB24" s="20" t="s">
        <v>15</v>
      </c>
      <c r="AC24" s="20" t="s">
        <v>16</v>
      </c>
      <c r="AD24" s="20" t="s">
        <v>17</v>
      </c>
      <c r="AE24" s="27" t="s">
        <v>22</v>
      </c>
    </row>
    <row r="25" spans="1:31" ht="28.5" customHeight="1" x14ac:dyDescent="0.2">
      <c r="A25" s="13" t="s">
        <v>55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79">
        <v>110.41268252711565</v>
      </c>
      <c r="X25" s="79">
        <v>101.07685140675132</v>
      </c>
      <c r="Y25" s="77">
        <v>98.231011775552389</v>
      </c>
      <c r="Z25" s="98">
        <v>94.738709353020752</v>
      </c>
      <c r="AA25" s="79">
        <v>107.53426152887265</v>
      </c>
      <c r="AB25" s="79">
        <v>108.10569775638508</v>
      </c>
      <c r="AC25" s="79">
        <v>82.37132224691446</v>
      </c>
      <c r="AD25" s="14">
        <v>106.1352271642845</v>
      </c>
      <c r="AE25" s="77">
        <v>94.094090343677621</v>
      </c>
    </row>
    <row r="26" spans="1:31" ht="40.5" customHeight="1" x14ac:dyDescent="0.2">
      <c r="A26" s="18" t="s">
        <v>56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78">
        <f>IF(227034.99772="","-",336464.33268/227034.99772*100)</f>
        <v>148.19932435921535</v>
      </c>
      <c r="P26" s="78">
        <f>IF(259287.13538="","-",395828.7569/259287.13538*100)</f>
        <v>152.66039185472528</v>
      </c>
      <c r="Q26" s="78">
        <f>IF(218235.12722="","-",396338.08224/218235.12722*100)</f>
        <v>181.61058088529293</v>
      </c>
      <c r="R26" s="78">
        <f>IF(201697.01673="","-",415966.01044/201697.01673*100)</f>
        <v>206.23310011413275</v>
      </c>
      <c r="S26" s="78">
        <f>IF(226810.79989="","-",416434.52243/226810.79989*100)</f>
        <v>183.60436215205132</v>
      </c>
      <c r="T26" s="78">
        <f>IF(240720.89459="","-",338224.33542/240720.89459*100)</f>
        <v>140.50476839414773</v>
      </c>
      <c r="U26" s="78">
        <f>IF(236300.67911="","-",329416.35614/236300.67911*100)</f>
        <v>139.40559010693906</v>
      </c>
      <c r="V26" s="78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99">
        <f>IF(330357.20487="","-",331097.88364/330357.20487*100)</f>
        <v>100.22420542342689</v>
      </c>
      <c r="AA26" s="10">
        <f>IF(336464.33268="","-",356043.66411/336464.33268*100)</f>
        <v>105.8191402559811</v>
      </c>
      <c r="AB26" s="78">
        <f>IF(395828.7569="","-",384903.48749/395828.7569*100)</f>
        <v>97.239900027586913</v>
      </c>
      <c r="AC26" s="78">
        <f>IF(396338.08224="","-",317050.09202/396338.08224*100)</f>
        <v>79.994859496749626</v>
      </c>
      <c r="AD26" s="78">
        <f>IF(415966.01044="","-",336501.83539/415966.01044*100)</f>
        <v>80.896473977298172</v>
      </c>
      <c r="AE26" s="108">
        <f>IF(416434.52243="","-",316628.341/416434.52243*100)</f>
        <v>76.033163425643508</v>
      </c>
    </row>
    <row r="29" spans="1:31" ht="15.75" x14ac:dyDescent="0.25">
      <c r="N29" s="64"/>
      <c r="O29" s="84"/>
      <c r="P29" s="60"/>
      <c r="Q29" s="85"/>
      <c r="R29" s="60"/>
      <c r="S29" s="60"/>
      <c r="T29" s="60"/>
      <c r="U29" s="60"/>
      <c r="V29" s="60"/>
      <c r="W29" s="75"/>
      <c r="X29" s="75"/>
      <c r="Y29" s="75"/>
    </row>
    <row r="30" spans="1:31" ht="15.75" x14ac:dyDescent="0.25">
      <c r="N30" s="61"/>
      <c r="O30" s="86"/>
      <c r="P30" s="87"/>
      <c r="Q30" s="87"/>
      <c r="R30" s="87"/>
      <c r="S30" s="87"/>
      <c r="T30" s="87"/>
      <c r="U30" s="87"/>
      <c r="V30" s="87"/>
      <c r="W30" s="64"/>
      <c r="X30" s="64"/>
      <c r="Y30" s="83"/>
    </row>
    <row r="33" spans="14:21" ht="15.75" x14ac:dyDescent="0.25">
      <c r="N33" s="64"/>
      <c r="O33" s="65"/>
      <c r="P33" s="66"/>
      <c r="Q33" s="66"/>
      <c r="R33" s="66"/>
      <c r="S33" s="67"/>
      <c r="T33" s="46"/>
      <c r="U33" s="46"/>
    </row>
    <row r="34" spans="14:21" ht="15.75" x14ac:dyDescent="0.25">
      <c r="N34" s="66"/>
      <c r="O34" s="66"/>
      <c r="P34" s="66"/>
      <c r="Q34" s="66"/>
      <c r="R34" s="66"/>
      <c r="S34" s="67"/>
      <c r="T34" s="46"/>
      <c r="U34" s="46"/>
    </row>
    <row r="35" spans="14:21" ht="15.75" x14ac:dyDescent="0.25">
      <c r="N35" s="68"/>
      <c r="O35" s="68"/>
      <c r="P35" s="66"/>
      <c r="Q35" s="66"/>
      <c r="R35" s="68"/>
      <c r="S35" s="69"/>
      <c r="T35" s="69"/>
      <c r="U35" s="69"/>
    </row>
    <row r="36" spans="14:21" ht="15.75" x14ac:dyDescent="0.25">
      <c r="N36" s="68"/>
      <c r="O36" s="68"/>
      <c r="P36" s="66"/>
      <c r="Q36" s="66"/>
      <c r="R36" s="68"/>
      <c r="S36" s="69"/>
      <c r="T36" s="69"/>
      <c r="U36" s="69"/>
    </row>
    <row r="37" spans="14:21" ht="16.5" x14ac:dyDescent="0.25">
      <c r="N37" s="63"/>
      <c r="O37" s="65"/>
      <c r="P37" s="66"/>
      <c r="Q37" s="66"/>
      <c r="R37" s="66"/>
      <c r="S37" s="70"/>
      <c r="T37" s="46"/>
      <c r="U37" s="42"/>
    </row>
    <row r="38" spans="14:21" ht="15.75" x14ac:dyDescent="0.25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E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0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7109375" style="3" customWidth="1"/>
    <col min="4" max="4" width="14.140625" style="3" customWidth="1"/>
    <col min="5" max="5" width="15" style="3" customWidth="1"/>
    <col min="6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48" t="s">
        <v>110</v>
      </c>
      <c r="B2" s="148"/>
      <c r="C2" s="148"/>
      <c r="D2" s="148"/>
      <c r="E2" s="148"/>
      <c r="F2" s="148"/>
      <c r="G2" s="148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0" customHeight="1" x14ac:dyDescent="0.2">
      <c r="A23" s="38" t="s">
        <v>25</v>
      </c>
      <c r="B23" s="24" t="s">
        <v>93</v>
      </c>
      <c r="C23" s="24" t="s">
        <v>94</v>
      </c>
      <c r="D23" s="24" t="s">
        <v>95</v>
      </c>
      <c r="E23" s="24" t="s">
        <v>96</v>
      </c>
      <c r="F23" s="24" t="s">
        <v>97</v>
      </c>
      <c r="G23" s="24" t="s">
        <v>98</v>
      </c>
    </row>
    <row r="24" spans="1:7" x14ac:dyDescent="0.2">
      <c r="A24" s="100" t="s">
        <v>26</v>
      </c>
      <c r="B24" s="98">
        <v>13.4</v>
      </c>
      <c r="C24" s="79">
        <v>16.600000000000001</v>
      </c>
      <c r="D24" s="79">
        <v>6.1</v>
      </c>
      <c r="E24" s="79">
        <v>9.5</v>
      </c>
      <c r="F24" s="79">
        <v>7.4</v>
      </c>
      <c r="G24" s="77">
        <v>7.8</v>
      </c>
    </row>
    <row r="25" spans="1:7" x14ac:dyDescent="0.2">
      <c r="A25" s="101" t="s">
        <v>27</v>
      </c>
      <c r="B25" s="110">
        <v>3</v>
      </c>
      <c r="C25" s="88">
        <v>9.5</v>
      </c>
      <c r="D25" s="88">
        <v>0.7</v>
      </c>
      <c r="E25" s="88">
        <v>4.3</v>
      </c>
      <c r="F25" s="88">
        <v>4.3</v>
      </c>
      <c r="G25" s="82">
        <v>2.9</v>
      </c>
    </row>
    <row r="26" spans="1:7" x14ac:dyDescent="0.2">
      <c r="A26" s="101" t="s">
        <v>28</v>
      </c>
      <c r="B26" s="110">
        <v>81.400000000000006</v>
      </c>
      <c r="C26" s="88">
        <v>73.099999999999994</v>
      </c>
      <c r="D26" s="88">
        <v>92</v>
      </c>
      <c r="E26" s="88">
        <v>85</v>
      </c>
      <c r="F26" s="88">
        <v>86.6</v>
      </c>
      <c r="G26" s="82">
        <v>87</v>
      </c>
    </row>
    <row r="27" spans="1:7" x14ac:dyDescent="0.2">
      <c r="A27" s="101" t="s">
        <v>29</v>
      </c>
      <c r="B27" s="110">
        <v>1.1000000000000001</v>
      </c>
      <c r="C27" s="88">
        <v>0.7</v>
      </c>
      <c r="D27" s="88">
        <v>1.1000000000000001</v>
      </c>
      <c r="E27" s="88">
        <v>1.1000000000000001</v>
      </c>
      <c r="F27" s="88">
        <v>1.6</v>
      </c>
      <c r="G27" s="82">
        <v>2.2000000000000002</v>
      </c>
    </row>
    <row r="28" spans="1:7" x14ac:dyDescent="0.2">
      <c r="A28" s="101" t="s">
        <v>45</v>
      </c>
      <c r="B28" s="110">
        <v>0</v>
      </c>
      <c r="C28" s="88">
        <v>0</v>
      </c>
      <c r="D28" s="88">
        <v>0.1</v>
      </c>
      <c r="E28" s="88">
        <v>0.1</v>
      </c>
      <c r="F28" s="88">
        <v>0.1</v>
      </c>
      <c r="G28" s="82">
        <v>0.1</v>
      </c>
    </row>
    <row r="29" spans="1:7" x14ac:dyDescent="0.2">
      <c r="A29" s="31" t="s">
        <v>46</v>
      </c>
      <c r="B29" s="110">
        <v>1</v>
      </c>
      <c r="C29" s="88">
        <v>0.1</v>
      </c>
      <c r="D29" s="88">
        <v>0</v>
      </c>
      <c r="E29" s="88">
        <v>0</v>
      </c>
      <c r="F29" s="88">
        <v>0</v>
      </c>
      <c r="G29" s="82">
        <v>0</v>
      </c>
    </row>
    <row r="30" spans="1:7" x14ac:dyDescent="0.2">
      <c r="A30" s="111" t="s">
        <v>47</v>
      </c>
      <c r="B30" s="99">
        <v>0.1</v>
      </c>
      <c r="C30" s="78">
        <v>0</v>
      </c>
      <c r="D30" s="78">
        <v>0</v>
      </c>
      <c r="E30" s="78">
        <v>0</v>
      </c>
      <c r="F30" s="78">
        <v>0</v>
      </c>
      <c r="G30" s="108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1.140625" style="3" bestFit="1" customWidth="1"/>
    <col min="2" max="2" width="14.7109375" style="3" customWidth="1"/>
    <col min="3" max="5" width="14.85546875" style="3" customWidth="1"/>
    <col min="6" max="6" width="15" style="3" customWidth="1"/>
    <col min="7" max="7" width="13.7109375" style="3" customWidth="1"/>
    <col min="8" max="16384" width="9.140625" style="3"/>
  </cols>
  <sheetData>
    <row r="2" spans="1:13" ht="12.75" x14ac:dyDescent="0.2">
      <c r="A2" s="148" t="s">
        <v>116</v>
      </c>
      <c r="B2" s="148"/>
      <c r="C2" s="148"/>
      <c r="D2" s="148"/>
      <c r="E2" s="148"/>
      <c r="F2" s="148"/>
      <c r="G2" s="148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0.75" customHeight="1" x14ac:dyDescent="0.2">
      <c r="A21" s="20"/>
      <c r="B21" s="9" t="s">
        <v>98</v>
      </c>
      <c r="C21" s="9" t="s">
        <v>97</v>
      </c>
      <c r="D21" s="9" t="s">
        <v>96</v>
      </c>
      <c r="E21" s="9" t="s">
        <v>95</v>
      </c>
      <c r="F21" s="9" t="s">
        <v>94</v>
      </c>
      <c r="G21" s="9" t="s">
        <v>93</v>
      </c>
    </row>
    <row r="22" spans="1:8" ht="15" customHeight="1" x14ac:dyDescent="0.2">
      <c r="A22" s="16" t="s">
        <v>30</v>
      </c>
      <c r="B22" s="112">
        <v>65.2</v>
      </c>
      <c r="C22" s="113">
        <v>62.7</v>
      </c>
      <c r="D22" s="79">
        <v>63.4</v>
      </c>
      <c r="E22" s="113">
        <v>64.5</v>
      </c>
      <c r="F22" s="113">
        <v>61.6</v>
      </c>
      <c r="G22" s="114">
        <v>61.3</v>
      </c>
      <c r="H22" s="6"/>
    </row>
    <row r="23" spans="1:8" ht="14.25" customHeight="1" x14ac:dyDescent="0.2">
      <c r="A23" s="17" t="s">
        <v>31</v>
      </c>
      <c r="B23" s="115">
        <v>15.9</v>
      </c>
      <c r="C23" s="116">
        <v>14.9</v>
      </c>
      <c r="D23" s="88">
        <v>16.600000000000001</v>
      </c>
      <c r="E23" s="116">
        <v>15.7</v>
      </c>
      <c r="F23" s="116">
        <v>17.899999999999999</v>
      </c>
      <c r="G23" s="117">
        <v>25.6</v>
      </c>
      <c r="H23" s="6"/>
    </row>
    <row r="24" spans="1:8" ht="15" customHeight="1" x14ac:dyDescent="0.2">
      <c r="A24" s="18" t="s">
        <v>32</v>
      </c>
      <c r="B24" s="118">
        <v>18.899999999999999</v>
      </c>
      <c r="C24" s="119">
        <v>22.4</v>
      </c>
      <c r="D24" s="78">
        <v>20</v>
      </c>
      <c r="E24" s="119">
        <v>19.8</v>
      </c>
      <c r="F24" s="119">
        <v>20.5</v>
      </c>
      <c r="G24" s="120">
        <v>13.1</v>
      </c>
      <c r="H24" s="6"/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6"/>
  <sheetViews>
    <sheetView workbookViewId="0">
      <selection activeCell="A2" sqref="A2:G2"/>
    </sheetView>
  </sheetViews>
  <sheetFormatPr defaultRowHeight="12" x14ac:dyDescent="0.2"/>
  <cols>
    <col min="1" max="1" width="21" style="3" customWidth="1"/>
    <col min="2" max="3" width="14.5703125" style="3" customWidth="1"/>
    <col min="4" max="4" width="14.28515625" style="3" customWidth="1"/>
    <col min="5" max="5" width="14.140625" style="3" customWidth="1"/>
    <col min="6" max="6" width="14.28515625" style="3" customWidth="1"/>
    <col min="7" max="7" width="14.42578125" style="3" customWidth="1"/>
    <col min="8" max="16384" width="9.140625" style="3"/>
  </cols>
  <sheetData>
    <row r="2" spans="1:7" ht="12.75" x14ac:dyDescent="0.2">
      <c r="A2" s="148" t="s">
        <v>111</v>
      </c>
      <c r="B2" s="148"/>
      <c r="C2" s="148"/>
      <c r="D2" s="148"/>
      <c r="E2" s="148"/>
      <c r="F2" s="148"/>
      <c r="G2" s="148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27" customHeight="1" x14ac:dyDescent="0.2">
      <c r="A25" s="37"/>
      <c r="B25" s="9" t="s">
        <v>98</v>
      </c>
      <c r="C25" s="9" t="s">
        <v>97</v>
      </c>
      <c r="D25" s="9" t="s">
        <v>96</v>
      </c>
      <c r="E25" s="9" t="s">
        <v>95</v>
      </c>
      <c r="F25" s="9" t="s">
        <v>94</v>
      </c>
      <c r="G25" s="9" t="s">
        <v>93</v>
      </c>
    </row>
    <row r="26" spans="1:7" x14ac:dyDescent="0.2">
      <c r="A26" s="121" t="s">
        <v>33</v>
      </c>
      <c r="B26" s="14">
        <f>IF(OR(346385.25703="",346385.25703="***"),"-",346385.25703/1314797.53704*100)</f>
        <v>26.34514039399679</v>
      </c>
      <c r="C26" s="14">
        <f>IF(380464.81782="","-",380464.81782/1361213.47779*100)</f>
        <v>27.950415127956578</v>
      </c>
      <c r="D26" s="14">
        <f>IF(294103.432="","-",294103.432/1170176.53664*100)</f>
        <v>25.13325321361145</v>
      </c>
      <c r="E26" s="14">
        <f>IF(372797.84571="","-",372797.84571/1331502.34087*100)</f>
        <v>27.998286917499144</v>
      </c>
      <c r="F26" s="14">
        <f>IF(664092.56172="","-",664092.56172/2291388.90956*100)</f>
        <v>28.982097231478754</v>
      </c>
      <c r="G26" s="11">
        <f>IF(644949.38094="","-",644949.38094/2042225.30373*100)</f>
        <v>31.580716376495737</v>
      </c>
    </row>
    <row r="27" spans="1:7" x14ac:dyDescent="0.2">
      <c r="A27" s="122" t="s">
        <v>38</v>
      </c>
      <c r="B27" s="15">
        <f>IF(OR(38624.94186="",38624.94186="***"),"-",38624.94186/1314797.53704*100)</f>
        <v>2.9377102384110194</v>
      </c>
      <c r="C27" s="15">
        <f>IF(36805.30296="","-",36805.30296/1361213.47779*100)</f>
        <v>2.7038597222645273</v>
      </c>
      <c r="D27" s="15">
        <f>IF(27426.28564="","-",27426.28564/1170176.53664*100)</f>
        <v>2.3437733351542649</v>
      </c>
      <c r="E27" s="15">
        <f>IF(36994.72555="","-",36994.72555/1331502.34087*100)</f>
        <v>2.7784198656254522</v>
      </c>
      <c r="F27" s="15">
        <f>IF(249419.16065="","-",249419.16065/2291388.90956*100)</f>
        <v>10.885064495572438</v>
      </c>
      <c r="G27" s="124">
        <f>IF(359269.83084="","-",359269.83084/2042225.30373*100)</f>
        <v>17.592076162400669</v>
      </c>
    </row>
    <row r="28" spans="1:7" x14ac:dyDescent="0.2">
      <c r="A28" s="122" t="s">
        <v>36</v>
      </c>
      <c r="B28" s="15">
        <f>IF(OR(147373.44482="",147373.44482="***"),"-",147373.44482/1314797.53704*100)</f>
        <v>11.208831829102861</v>
      </c>
      <c r="C28" s="15">
        <f>IF(135801.93342="","-",135801.93342/1361213.47779*100)</f>
        <v>9.9765345873948732</v>
      </c>
      <c r="D28" s="15">
        <f>IF(106152.85536="","-",106152.85536/1170176.53664*100)</f>
        <v>9.0715248542585911</v>
      </c>
      <c r="E28" s="15">
        <f>IF(94262.19702="","-",94262.19702/1331502.34087*100)</f>
        <v>7.0793865040003876</v>
      </c>
      <c r="F28" s="15">
        <f>IF(194879.09186="","-",194879.09186/2291388.90956*100)</f>
        <v>8.5048457312041936</v>
      </c>
      <c r="G28" s="124">
        <f>IF(138835.66346="","-",138835.66346/2042225.30373*100)</f>
        <v>6.7982540029459599</v>
      </c>
    </row>
    <row r="29" spans="1:7" x14ac:dyDescent="0.2">
      <c r="A29" s="122" t="s">
        <v>34</v>
      </c>
      <c r="B29" s="15">
        <f>IF(OR(113271.54724="",113271.54724="***"),"-",113271.54724/1314797.53704*100)</f>
        <v>8.6151322959585031</v>
      </c>
      <c r="C29" s="15">
        <f>IF(124696.9991="","-",124696.9991/1361213.47779*100)</f>
        <v>9.160723217525879</v>
      </c>
      <c r="D29" s="15">
        <f>IF(103565.77618="","-",103565.77618/1170176.53664*100)</f>
        <v>8.8504403341887876</v>
      </c>
      <c r="E29" s="15">
        <f>IF(134639.37704="","-",134639.37704/1331502.34087*100)</f>
        <v>10.111839304167276</v>
      </c>
      <c r="F29" s="15">
        <f>IF(128914.89151="","-",128914.89151/2291388.90956*100)</f>
        <v>5.6260589798680076</v>
      </c>
      <c r="G29" s="124">
        <f>IF(111972.0946="","-",111972.0946/2042225.30373*100)</f>
        <v>5.4828472840626246</v>
      </c>
    </row>
    <row r="30" spans="1:7" x14ac:dyDescent="0.2">
      <c r="A30" s="122" t="s">
        <v>99</v>
      </c>
      <c r="B30" s="15">
        <f>IF(OR(107450.65862="",107450.65862="***"),"-",107450.65862/1314797.53704*100)</f>
        <v>8.1724110057205746</v>
      </c>
      <c r="C30" s="15">
        <f>IF(114429.1032="","-",114429.1032/1361213.47779*100)</f>
        <v>8.4064039231951728</v>
      </c>
      <c r="D30" s="15">
        <f>IF(123801.65856="","-",123801.65856/1170176.53664*100)</f>
        <v>10.579742003328773</v>
      </c>
      <c r="E30" s="15">
        <f>IF(128518.68923="","-",128518.68923/1331502.34087*100)</f>
        <v>9.6521564615520123</v>
      </c>
      <c r="F30" s="15">
        <f>IF(116897.16416="","-",116897.16416/2291388.90956*100)</f>
        <v>5.1015854913274836</v>
      </c>
      <c r="G30" s="124">
        <f>IF(80890.44391="","-",80890.44391/2042225.30373*100)</f>
        <v>3.9608971528390393</v>
      </c>
    </row>
    <row r="31" spans="1:7" x14ac:dyDescent="0.2">
      <c r="A31" s="122" t="s">
        <v>35</v>
      </c>
      <c r="B31" s="15">
        <f>IF(OR(50518.66389="",50518.66389="***"),"-",50518.66389/1314797.53704*100)</f>
        <v>3.8423150688076682</v>
      </c>
      <c r="C31" s="15">
        <f>IF(121593.52444="","-",121593.52444/1361213.47779*100)</f>
        <v>8.9327299812967862</v>
      </c>
      <c r="D31" s="15">
        <f>IF(85304.66918="","-",85304.66918/1170176.53664*100)</f>
        <v>7.289897422224902</v>
      </c>
      <c r="E31" s="15">
        <f>IF(114951.2905="","-",114951.2905/1331502.34087*100)</f>
        <v>8.6332022837369671</v>
      </c>
      <c r="F31" s="15">
        <f>IF(211626.48713="","-",211626.48713/2291388.90956*100)</f>
        <v>9.2357297465770323</v>
      </c>
      <c r="G31" s="124">
        <f>IF(79873.69665="","-",79873.69665/2042225.30373*100)</f>
        <v>3.9111109094631016</v>
      </c>
    </row>
    <row r="32" spans="1:7" x14ac:dyDescent="0.2">
      <c r="A32" s="122" t="s">
        <v>58</v>
      </c>
      <c r="B32" s="15">
        <f>IF(OR(20753.54191="",20753.54191="***"),"-",20753.54191/1314797.53704*100)</f>
        <v>1.5784591410721982</v>
      </c>
      <c r="C32" s="15">
        <f>IF(24633.96387="","-",24633.96387/1361213.47779*100)</f>
        <v>1.8097061388192031</v>
      </c>
      <c r="D32" s="15">
        <f>IF(39229.52009="","-",39229.52009/1170176.53664*100)</f>
        <v>3.3524445980298099</v>
      </c>
      <c r="E32" s="15">
        <f>IF(42546.95593="","-",42546.95593/1331502.34087*100)</f>
        <v>3.1954097731589366</v>
      </c>
      <c r="F32" s="15">
        <f>IF(50234.41683="","-",50234.41683/2291388.90956*100)</f>
        <v>2.1923129949881002</v>
      </c>
      <c r="G32" s="124">
        <f>IF(79636.39323="","-",79636.39323/2042225.30373*100)</f>
        <v>3.8994910642106424</v>
      </c>
    </row>
    <row r="33" spans="1:7" x14ac:dyDescent="0.2">
      <c r="A33" s="122" t="s">
        <v>37</v>
      </c>
      <c r="B33" s="15">
        <f>IF(OR(46125.68362="",46125.68362="***"),"-",46125.68362/1314797.53704*100)</f>
        <v>3.5081966858443185</v>
      </c>
      <c r="C33" s="15">
        <f>IF(52151.67968="","-",52151.67968/1361213.47779*100)</f>
        <v>3.8312638341394432</v>
      </c>
      <c r="D33" s="15">
        <f>IF(46796.79321="","-",46796.79321/1170176.53664*100)</f>
        <v>3.9991225037181581</v>
      </c>
      <c r="E33" s="15">
        <f>IF(51781.25467="","-",51781.25467/1331502.34087*100)</f>
        <v>3.8889345576490895</v>
      </c>
      <c r="F33" s="15">
        <f>IF(63012.15815="","-",63012.15815/2291388.90956*100)</f>
        <v>2.7499547495889645</v>
      </c>
      <c r="G33" s="124">
        <f>IF(57235.85473="","-",57235.85473/2042225.30373*100)</f>
        <v>2.8026219548578797</v>
      </c>
    </row>
    <row r="34" spans="1:7" x14ac:dyDescent="0.2">
      <c r="A34" s="122" t="s">
        <v>39</v>
      </c>
      <c r="B34" s="15">
        <f>IF(OR(49022.43812="",49022.43812="***"),"-",49022.43812/1314797.53704*100)</f>
        <v>3.7285161204639974</v>
      </c>
      <c r="C34" s="15">
        <f>IF(41805.31588="","-",41805.31588/1361213.47779*100)</f>
        <v>3.0711799847789547</v>
      </c>
      <c r="D34" s="15">
        <f>IF(32611.59569="","-",32611.59569/1170176.53664*100)</f>
        <v>2.786895367398126</v>
      </c>
      <c r="E34" s="15">
        <f>IF(30628.56379="","-",30628.56379/1331502.34087*100)</f>
        <v>2.3003011598152643</v>
      </c>
      <c r="F34" s="15">
        <f>IF(31167.81166="","-",31167.81166/2291388.90956*100)</f>
        <v>1.3602148256004671</v>
      </c>
      <c r="G34" s="124">
        <f>IF(47485.75827="","-",47485.75827/2042225.30373*100)</f>
        <v>2.3251968420560725</v>
      </c>
    </row>
    <row r="35" spans="1:7" x14ac:dyDescent="0.2">
      <c r="A35" s="122" t="s">
        <v>41</v>
      </c>
      <c r="B35" s="15">
        <f>IF(OR(17555.36542="",17555.36542="***"),"-",17555.36542/1314797.53704*100)</f>
        <v>1.3352143524334812</v>
      </c>
      <c r="C35" s="15">
        <f>IF(19934.79232="","-",19934.79232/1361213.47779*100)</f>
        <v>1.4644868453965914</v>
      </c>
      <c r="D35" s="15">
        <f>IF(21744.1889="","-",21744.1889/1170176.53664*100)</f>
        <v>1.8581973077699394</v>
      </c>
      <c r="E35" s="15">
        <f>IF(18605.90427="","-",18605.90427/1331502.34087*100)</f>
        <v>1.3973617393599889</v>
      </c>
      <c r="F35" s="15">
        <f>IF(14697.4172="","-",14697.4172/2291388.90956*100)</f>
        <v>0.64141958349716566</v>
      </c>
      <c r="G35" s="124">
        <f>IF(38535.4326="","-",38535.4326/2042225.30373*100)</f>
        <v>1.8869334607507497</v>
      </c>
    </row>
    <row r="36" spans="1:7" x14ac:dyDescent="0.2">
      <c r="A36" s="122" t="s">
        <v>59</v>
      </c>
      <c r="B36" s="15">
        <f>IF(OR(11119.41616="",11119.41616="***"),"-",11119.41616/1314797.53704*100)</f>
        <v>0.84571318752491054</v>
      </c>
      <c r="C36" s="15">
        <f>IF(11108.34418="","-",11108.34418/1361213.47779*100)</f>
        <v>0.81606187135576758</v>
      </c>
      <c r="D36" s="15">
        <f>IF(12371.62955="","-",12371.62955/1170176.53664*100)</f>
        <v>1.0572447115991079</v>
      </c>
      <c r="E36" s="15">
        <f>IF(11507.30844="","-",11507.30844/1331502.34087*100)</f>
        <v>0.86423493874454305</v>
      </c>
      <c r="F36" s="15">
        <f>IF(21462.14225="","-",21462.14225/2291388.90956*100)</f>
        <v>0.93664336771714718</v>
      </c>
      <c r="G36" s="124">
        <f>IF(27712.51277="","-",27712.51277/2042225.30373*100)</f>
        <v>1.3569762709033517</v>
      </c>
    </row>
    <row r="37" spans="1:7" x14ac:dyDescent="0.2">
      <c r="A37" s="122" t="s">
        <v>42</v>
      </c>
      <c r="B37" s="15">
        <f>IF(OR(29454.50956="",29454.50956="***"),"-",29454.50956/1314797.53704*100)</f>
        <v>2.2402315740802838</v>
      </c>
      <c r="C37" s="15">
        <f>IF(20120.47027="","-",20120.47027/1361213.47779*100)</f>
        <v>1.4781274648166591</v>
      </c>
      <c r="D37" s="15">
        <f>IF(18676.9623="","-",18676.9623/1170176.53664*100)</f>
        <v>1.5960807378370714</v>
      </c>
      <c r="E37" s="15">
        <f>IF(16463.55649="","-",16463.55649/1331502.34087*100)</f>
        <v>1.2364647049169104</v>
      </c>
      <c r="F37" s="15">
        <f>IF(111426.18143="","-",111426.18143/2291388.90956*100)</f>
        <v>4.8628227606895598</v>
      </c>
      <c r="G37" s="124">
        <f>IF(26816.17345="","-",26816.17345/2042225.30373*100)</f>
        <v>1.3130859460521762</v>
      </c>
    </row>
    <row r="38" spans="1:7" x14ac:dyDescent="0.2">
      <c r="A38" s="122" t="s">
        <v>40</v>
      </c>
      <c r="B38" s="15">
        <f>IF(OR(3844.23494="",3844.23494="***"),"-",3844.23494/1314797.53704*100)</f>
        <v>0.29238227420584578</v>
      </c>
      <c r="C38" s="15">
        <f>IF(4194.6282="","-",4194.6282/1361213.47779*100)</f>
        <v>0.30815359004600767</v>
      </c>
      <c r="D38" s="15">
        <f>IF(8639.94947="","-",8639.94947/1170176.53664*100)</f>
        <v>0.73834581359906759</v>
      </c>
      <c r="E38" s="15">
        <f>IF(19218.27851="","-",19218.27851/1331502.34087*100)</f>
        <v>1.4433529645500158</v>
      </c>
      <c r="F38" s="15">
        <f>IF(27394.40994="","-",27394.40994/2291388.90956*100)</f>
        <v>1.1955373365781179</v>
      </c>
      <c r="G38" s="124">
        <f>IF(25329.02256="","-",25329.02256/2042225.30373*100)</f>
        <v>1.2402658273667497</v>
      </c>
    </row>
    <row r="39" spans="1:7" x14ac:dyDescent="0.2">
      <c r="A39" s="122" t="s">
        <v>91</v>
      </c>
      <c r="B39" s="15">
        <f>IF(OR(8492.50015="",8492.50015="***"),"-",8492.50015/1314797.53704*100)</f>
        <v>0.64591695000578886</v>
      </c>
      <c r="C39" s="15">
        <f>IF(7795.97754="","-",7795.97754/1361213.47779*100)</f>
        <v>0.57272262339461777</v>
      </c>
      <c r="D39" s="15">
        <f>IF(8269.452="","-",8269.452/1170176.53664*100)</f>
        <v>0.70668414047546935</v>
      </c>
      <c r="E39" s="15">
        <f>IF(14266.01887="","-",14266.01887/1331502.34087*100)</f>
        <v>1.0714227404721364</v>
      </c>
      <c r="F39" s="15">
        <f>IF(15398.39887="","-",15398.39887/2291388.90956*100)</f>
        <v>0.67201158239684644</v>
      </c>
      <c r="G39" s="124">
        <f>IF(25215.41852="","-",25215.41852/2042225.30373*100)</f>
        <v>1.2347030699279642</v>
      </c>
    </row>
    <row r="40" spans="1:7" x14ac:dyDescent="0.2">
      <c r="A40" s="122" t="s">
        <v>100</v>
      </c>
      <c r="B40" s="15">
        <f>IF(OR(26992.63284="",26992.63284="***"),"-",26992.63284/1314797.53704*100)</f>
        <v>2.0529877855390901</v>
      </c>
      <c r="C40" s="15">
        <f>IF(17926.68986="","-",17926.68986/1361213.47779*100)</f>
        <v>1.3169638820433149</v>
      </c>
      <c r="D40" s="15">
        <f>IF(18384.844="","-",18384.844/1170176.53664*100)</f>
        <v>1.5711171284282912</v>
      </c>
      <c r="E40" s="15">
        <f>IF(17840.99208="","-",17840.99208/1331502.34087*100)</f>
        <v>1.3399144359252682</v>
      </c>
      <c r="F40" s="15">
        <f>IF(23355.90786="","-",23355.90786/2291388.90956*100)</f>
        <v>1.0192904295973431</v>
      </c>
      <c r="G40" s="124">
        <f>IF(23739.32319="","-",23739.32319/2042225.30373*100)</f>
        <v>1.1624242999360341</v>
      </c>
    </row>
    <row r="41" spans="1:7" x14ac:dyDescent="0.2">
      <c r="A41" s="122" t="s">
        <v>89</v>
      </c>
      <c r="B41" s="15">
        <f>IF(OR(4733.02703="",4733.02703="***"),"-",4733.02703/1314797.53704*100)</f>
        <v>0.359981434149584</v>
      </c>
      <c r="C41" s="15">
        <f>IF(4795.85849="","-",4795.85849/1361213.47779*100)</f>
        <v>0.35232228950497335</v>
      </c>
      <c r="D41" s="15">
        <f>IF(7969.26089="","-",7969.26089/1170176.53664*100)</f>
        <v>0.68103065139920071</v>
      </c>
      <c r="E41" s="15">
        <f>IF(4228.19008="","-",4228.19008/1331502.34087*100)</f>
        <v>0.31755033019598844</v>
      </c>
      <c r="F41" s="15">
        <f>IF(11777.62325="","-",11777.62325/2291388.90956*100)</f>
        <v>0.5139949486908173</v>
      </c>
      <c r="G41" s="124">
        <f>IF(21768.94945="","-",21768.94945/2042225.30373*100)</f>
        <v>1.0659425975302697</v>
      </c>
    </row>
    <row r="42" spans="1:7" x14ac:dyDescent="0.2">
      <c r="A42" s="122" t="s">
        <v>81</v>
      </c>
      <c r="B42" s="15">
        <f>IF(OR(7882.82533="",7882.82533="***"),"-",7882.82533/1314797.53704*100)</f>
        <v>0.59954670646452402</v>
      </c>
      <c r="C42" s="15">
        <f>IF(4211.57803="","-",4211.57803/1361213.47779*100)</f>
        <v>0.30939879002944587</v>
      </c>
      <c r="D42" s="15">
        <f>IF(6308.44855="","-",6308.44855/1170176.53664*100)</f>
        <v>0.53910229375422591</v>
      </c>
      <c r="E42" s="15">
        <f>IF(5890.31615="","-",5890.31615/1331502.34087*100)</f>
        <v>0.44238120874434839</v>
      </c>
      <c r="F42" s="15">
        <f>IF(5461.77389="","-",5461.77389/2291388.90956*100)</f>
        <v>0.23836084163682139</v>
      </c>
      <c r="G42" s="124">
        <f>IF(21599.90489="","-",21599.90489/2042225.30373*100)</f>
        <v>1.0576651288449463</v>
      </c>
    </row>
    <row r="43" spans="1:7" x14ac:dyDescent="0.2">
      <c r="A43" s="122" t="s">
        <v>102</v>
      </c>
      <c r="B43" s="15">
        <f>IF(OR(42788.61837="",42788.61837="***"),"-",42788.61837/1314797.53704*100)</f>
        <v>3.2543883879133122</v>
      </c>
      <c r="C43" s="15">
        <f>IF(26145.7018="","-",26145.7018/1361213.47779*100)</f>
        <v>1.9207642465051764</v>
      </c>
      <c r="D43" s="15">
        <f>IF(18617.51527="","-",18617.51527/1170176.53664*100)</f>
        <v>1.5910005616295826</v>
      </c>
      <c r="E43" s="15">
        <f>IF(25929.58601="","-",25929.58601/1331502.34087*100)</f>
        <v>1.9473931974507592</v>
      </c>
      <c r="F43" s="15">
        <f>IF(37637.61874="","-",37637.61874/2291388.90956*100)</f>
        <v>1.6425679020689377</v>
      </c>
      <c r="G43" s="124">
        <f>IF(20835.87232="","-",20835.87232/2042225.30373*100)</f>
        <v>1.0202533619549492</v>
      </c>
    </row>
    <row r="44" spans="1:7" x14ac:dyDescent="0.2">
      <c r="A44" s="122" t="s">
        <v>74</v>
      </c>
      <c r="B44" s="15">
        <f>IF(OR(19187.60976="",19187.60976="***"),"-",19187.60976/1314797.53704*100)</f>
        <v>1.4593585110599621</v>
      </c>
      <c r="C44" s="15">
        <f>IF(18630.32793="","-",18630.32793/1361213.47779*100)</f>
        <v>1.3686558525887722</v>
      </c>
      <c r="D44" s="15">
        <f>IF(17246.15189="","-",17246.15189/1170176.53664*100)</f>
        <v>1.4738076990946971</v>
      </c>
      <c r="E44" s="15">
        <f>IF(18798.03581="","-",18798.03581/1331502.34087*100)</f>
        <v>1.4117914203378279</v>
      </c>
      <c r="F44" s="15">
        <f>IF(44975.93727="","-",44975.93727/2291388.90956*100)</f>
        <v>1.9628242539864795</v>
      </c>
      <c r="G44" s="124">
        <f>IF(19341.10297="","-",19341.10297/2042225.30373*100)</f>
        <v>0.94706019628072646</v>
      </c>
    </row>
    <row r="45" spans="1:7" x14ac:dyDescent="0.2">
      <c r="A45" s="122" t="s">
        <v>57</v>
      </c>
      <c r="B45" s="125">
        <f>IF(OR(17761.18814="",17761.18814="***"),"-",17761.18814/1314797.53704*100)</f>
        <v>1.350868680510743</v>
      </c>
      <c r="C45" s="125">
        <f>IF(10646.02983="","-",10646.02983/1361213.47779*100)</f>
        <v>0.78209847343595051</v>
      </c>
      <c r="D45" s="125">
        <f>IF(20594.02363="","-",20594.02363/1170176.53664*100)</f>
        <v>1.7599074144088451</v>
      </c>
      <c r="E45" s="125">
        <f>IF(13606.23085="","-",13606.23085/1331502.34087*100)</f>
        <v>1.0218705917640165</v>
      </c>
      <c r="F45" s="125">
        <f>IF(19684.66888="","-",19684.66888/2291388.90956*100)</f>
        <v>0.85907149143791206</v>
      </c>
      <c r="G45" s="124">
        <f>IF(17265.37049="","-",17265.37049/2042225.30373*100)</f>
        <v>0.84541947739389256</v>
      </c>
    </row>
    <row r="46" spans="1:7" x14ac:dyDescent="0.2">
      <c r="A46" s="123" t="s">
        <v>101</v>
      </c>
      <c r="B46" s="10">
        <f>IF(OR(29088.33905="",29088.33905="***"),"-",29088.33905/1314797.53704*100)</f>
        <v>2.2123816200239084</v>
      </c>
      <c r="C46" s="10">
        <f>IF(33581.89443="","-",33581.89443/1361213.47779*100)</f>
        <v>2.467055680680001</v>
      </c>
      <c r="D46" s="10">
        <f>IF(40324.65371="","-",40324.65371/1170176.53664*100)</f>
        <v>3.4460316411561847</v>
      </c>
      <c r="E46" s="10">
        <f>IF(15743.33442="","-",15743.33442/1331502.34087*100)</f>
        <v>1.1823737695957297</v>
      </c>
      <c r="F46" s="10">
        <f>IF(55010.29349="","-",55010.29349/2291388.90956*100)</f>
        <v>2.4007401476235324</v>
      </c>
      <c r="G46" s="12">
        <f>IF(17180.79984="","-",17180.79984/2042225.30373*100)</f>
        <v>0.84127837455643695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50" t="s">
        <v>82</v>
      </c>
      <c r="B2" s="150"/>
      <c r="C2" s="150"/>
      <c r="D2" s="150"/>
      <c r="E2" s="150"/>
      <c r="F2" s="150"/>
      <c r="G2" s="150"/>
    </row>
    <row r="3" spans="1:8" ht="15" customHeight="1" x14ac:dyDescent="0.2">
      <c r="A3" s="107"/>
      <c r="B3" s="107"/>
      <c r="C3" s="107"/>
      <c r="D3" s="107"/>
      <c r="E3" s="107"/>
      <c r="F3" s="107"/>
      <c r="G3" s="107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49"/>
      <c r="B6" s="149"/>
      <c r="C6" s="149"/>
      <c r="D6" s="149"/>
      <c r="E6" s="149"/>
      <c r="F6" s="149"/>
      <c r="G6" s="149"/>
      <c r="H6" s="149"/>
    </row>
    <row r="30" spans="1:6" x14ac:dyDescent="0.2">
      <c r="A30" s="96" t="s">
        <v>117</v>
      </c>
      <c r="B30" s="37" t="s">
        <v>44</v>
      </c>
    </row>
    <row r="31" spans="1:6" ht="15" x14ac:dyDescent="0.2">
      <c r="A31" s="126" t="s">
        <v>65</v>
      </c>
      <c r="B31" s="129">
        <v>12.3</v>
      </c>
      <c r="C31" s="102"/>
      <c r="D31" s="104"/>
      <c r="E31" s="105"/>
      <c r="F31" s="105"/>
    </row>
    <row r="32" spans="1:6" ht="15" x14ac:dyDescent="0.2">
      <c r="A32" s="127" t="s">
        <v>79</v>
      </c>
      <c r="B32" s="130">
        <v>8.6999999999999993</v>
      </c>
      <c r="C32" s="102"/>
      <c r="D32" s="104"/>
      <c r="E32" s="105"/>
      <c r="F32" s="105"/>
    </row>
    <row r="33" spans="1:6" ht="15" x14ac:dyDescent="0.2">
      <c r="A33" s="127" t="s">
        <v>60</v>
      </c>
      <c r="B33" s="130">
        <v>14.6</v>
      </c>
      <c r="C33" s="102"/>
      <c r="D33" s="104"/>
      <c r="E33" s="105"/>
      <c r="F33" s="105"/>
    </row>
    <row r="34" spans="1:6" ht="15" x14ac:dyDescent="0.2">
      <c r="A34" s="127" t="s">
        <v>61</v>
      </c>
      <c r="B34" s="130">
        <v>8.3000000000000007</v>
      </c>
      <c r="C34" s="102"/>
      <c r="D34" s="104"/>
      <c r="E34" s="105"/>
      <c r="F34" s="105"/>
    </row>
    <row r="35" spans="1:6" ht="15" x14ac:dyDescent="0.2">
      <c r="A35" s="127" t="s">
        <v>67</v>
      </c>
      <c r="B35" s="130">
        <v>6.4</v>
      </c>
      <c r="C35" s="102"/>
      <c r="D35" s="104"/>
      <c r="E35" s="105"/>
      <c r="F35" s="105"/>
    </row>
    <row r="36" spans="1:6" ht="15" x14ac:dyDescent="0.2">
      <c r="A36" s="127" t="s">
        <v>63</v>
      </c>
      <c r="B36" s="130">
        <v>10</v>
      </c>
      <c r="C36" s="102"/>
      <c r="D36" s="104"/>
      <c r="E36" s="105"/>
      <c r="F36" s="105"/>
    </row>
    <row r="37" spans="1:6" ht="15" x14ac:dyDescent="0.2">
      <c r="A37" s="127" t="s">
        <v>69</v>
      </c>
      <c r="B37" s="130">
        <v>3.2</v>
      </c>
      <c r="C37" s="102"/>
      <c r="D37" s="104"/>
      <c r="E37" s="105"/>
      <c r="F37" s="105"/>
    </row>
    <row r="38" spans="1:6" ht="15" x14ac:dyDescent="0.2">
      <c r="A38" s="127" t="s">
        <v>62</v>
      </c>
      <c r="B38" s="130">
        <v>11.2</v>
      </c>
      <c r="C38" s="102"/>
      <c r="D38" s="104"/>
      <c r="E38" s="105"/>
      <c r="F38" s="105"/>
    </row>
    <row r="39" spans="1:6" ht="15" x14ac:dyDescent="0.2">
      <c r="A39" s="127" t="s">
        <v>66</v>
      </c>
      <c r="B39" s="130">
        <v>3.3</v>
      </c>
      <c r="C39" s="102"/>
      <c r="D39" s="104"/>
      <c r="E39" s="105"/>
      <c r="F39" s="105"/>
    </row>
    <row r="40" spans="1:6" ht="15" x14ac:dyDescent="0.2">
      <c r="A40" s="127" t="s">
        <v>76</v>
      </c>
      <c r="B40" s="130">
        <v>1.8</v>
      </c>
      <c r="C40" s="102"/>
      <c r="D40" s="104"/>
      <c r="E40" s="105"/>
      <c r="F40" s="105"/>
    </row>
    <row r="41" spans="1:6" ht="15" x14ac:dyDescent="0.2">
      <c r="A41" s="127" t="s">
        <v>78</v>
      </c>
      <c r="B41" s="130">
        <v>2</v>
      </c>
      <c r="C41" s="102"/>
      <c r="D41" s="104"/>
      <c r="E41" s="105"/>
      <c r="F41" s="105"/>
    </row>
    <row r="42" spans="1:6" ht="15" x14ac:dyDescent="0.2">
      <c r="A42" s="127" t="s">
        <v>72</v>
      </c>
      <c r="B42" s="130">
        <v>2</v>
      </c>
      <c r="C42" s="102"/>
      <c r="D42" s="104"/>
      <c r="E42" s="105"/>
      <c r="F42" s="105"/>
    </row>
    <row r="43" spans="1:6" ht="15" x14ac:dyDescent="0.2">
      <c r="A43" s="128" t="s">
        <v>68</v>
      </c>
      <c r="B43" s="131">
        <v>16.2</v>
      </c>
      <c r="C43" s="103"/>
      <c r="D43" s="104"/>
      <c r="E43" s="106"/>
      <c r="F43" s="106"/>
    </row>
    <row r="44" spans="1:6" x14ac:dyDescent="0.2">
      <c r="A44" s="59"/>
      <c r="B44" s="80"/>
    </row>
    <row r="45" spans="1:6" x14ac:dyDescent="0.2">
      <c r="A45" s="96" t="s">
        <v>118</v>
      </c>
      <c r="B45" s="27" t="s">
        <v>44</v>
      </c>
    </row>
    <row r="46" spans="1:6" ht="15" x14ac:dyDescent="0.2">
      <c r="A46" s="126" t="s">
        <v>65</v>
      </c>
      <c r="B46" s="129">
        <v>15.9</v>
      </c>
      <c r="D46" s="105"/>
    </row>
    <row r="47" spans="1:6" ht="15" x14ac:dyDescent="0.2">
      <c r="A47" s="127" t="s">
        <v>79</v>
      </c>
      <c r="B47" s="130">
        <v>13.1</v>
      </c>
      <c r="D47" s="105"/>
    </row>
    <row r="48" spans="1:6" ht="15" x14ac:dyDescent="0.2">
      <c r="A48" s="127" t="s">
        <v>60</v>
      </c>
      <c r="B48" s="130">
        <v>9.3000000000000007</v>
      </c>
      <c r="D48" s="105"/>
    </row>
    <row r="49" spans="1:4" ht="15" x14ac:dyDescent="0.2">
      <c r="A49" s="127" t="s">
        <v>61</v>
      </c>
      <c r="B49" s="130">
        <v>7.8</v>
      </c>
      <c r="D49" s="105"/>
    </row>
    <row r="50" spans="1:4" ht="15" x14ac:dyDescent="0.2">
      <c r="A50" s="127" t="s">
        <v>67</v>
      </c>
      <c r="B50" s="130">
        <v>7.2</v>
      </c>
      <c r="D50" s="105"/>
    </row>
    <row r="51" spans="1:4" ht="15" x14ac:dyDescent="0.2">
      <c r="A51" s="127" t="s">
        <v>63</v>
      </c>
      <c r="B51" s="130">
        <v>6.9</v>
      </c>
      <c r="D51" s="105"/>
    </row>
    <row r="52" spans="1:4" ht="15" x14ac:dyDescent="0.2">
      <c r="A52" s="127" t="s">
        <v>69</v>
      </c>
      <c r="B52" s="130">
        <v>4.9000000000000004</v>
      </c>
      <c r="D52" s="105"/>
    </row>
    <row r="53" spans="1:4" ht="15" x14ac:dyDescent="0.2">
      <c r="A53" s="127" t="s">
        <v>62</v>
      </c>
      <c r="B53" s="130">
        <v>4.5</v>
      </c>
      <c r="D53" s="105"/>
    </row>
    <row r="54" spans="1:4" ht="15" x14ac:dyDescent="0.2">
      <c r="A54" s="127" t="s">
        <v>66</v>
      </c>
      <c r="B54" s="130">
        <v>3.5</v>
      </c>
      <c r="D54" s="105"/>
    </row>
    <row r="55" spans="1:4" ht="15" x14ac:dyDescent="0.2">
      <c r="A55" s="127" t="s">
        <v>76</v>
      </c>
      <c r="B55" s="130">
        <v>2.9</v>
      </c>
      <c r="D55" s="105"/>
    </row>
    <row r="56" spans="1:4" ht="15" x14ac:dyDescent="0.2">
      <c r="A56" s="127" t="s">
        <v>78</v>
      </c>
      <c r="B56" s="130">
        <v>2.1</v>
      </c>
      <c r="D56" s="105"/>
    </row>
    <row r="57" spans="1:4" ht="15" x14ac:dyDescent="0.2">
      <c r="A57" s="127" t="s">
        <v>72</v>
      </c>
      <c r="B57" s="130">
        <v>2</v>
      </c>
      <c r="D57" s="105"/>
    </row>
    <row r="58" spans="1:4" ht="15" x14ac:dyDescent="0.2">
      <c r="A58" s="128" t="s">
        <v>68</v>
      </c>
      <c r="B58" s="131">
        <v>19.899999999999999</v>
      </c>
      <c r="D58" s="106"/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8.5703125" style="3" customWidth="1"/>
    <col min="2" max="2" width="9.7109375" style="3" customWidth="1"/>
    <col min="3" max="3" width="10" style="3" customWidth="1"/>
    <col min="4" max="4" width="9.5703125" style="3" customWidth="1"/>
    <col min="5" max="5" width="9.28515625" style="3" bestFit="1" customWidth="1"/>
    <col min="6" max="6" width="10.28515625" style="3" customWidth="1"/>
    <col min="7" max="7" width="9.28515625" style="3" bestFit="1" customWidth="1"/>
    <col min="8" max="8" width="10" style="3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48" t="s">
        <v>86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10">
        <v>821.1</v>
      </c>
      <c r="E28" s="10">
        <v>690.4</v>
      </c>
      <c r="F28" s="10">
        <v>709.2</v>
      </c>
      <c r="G28" s="35">
        <v>665.2</v>
      </c>
      <c r="H28" s="35"/>
      <c r="I28" s="35"/>
      <c r="J28" s="35"/>
      <c r="K28" s="35"/>
      <c r="L28" s="35"/>
      <c r="M28" s="36"/>
    </row>
    <row r="29" spans="1:13" x14ac:dyDescent="0.2">
      <c r="E29" s="109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E32"/>
  <sheetViews>
    <sheetView workbookViewId="0">
      <selection activeCell="A2" sqref="A2:T2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0.140625" style="3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16384" width="9.140625" style="3"/>
  </cols>
  <sheetData>
    <row r="2" spans="1:20" ht="12.75" x14ac:dyDescent="0.2">
      <c r="A2" s="146" t="s">
        <v>87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1" x14ac:dyDescent="0.2">
      <c r="A17" s="4"/>
    </row>
    <row r="18" spans="1:31" x14ac:dyDescent="0.2">
      <c r="A18" s="4"/>
    </row>
    <row r="19" spans="1:31" x14ac:dyDescent="0.2">
      <c r="A19" s="4"/>
    </row>
    <row r="20" spans="1:31" x14ac:dyDescent="0.2">
      <c r="A20" s="4"/>
    </row>
    <row r="21" spans="1:31" ht="15" customHeight="1" x14ac:dyDescent="0.2">
      <c r="A21" s="4"/>
    </row>
    <row r="22" spans="1:31" x14ac:dyDescent="0.2">
      <c r="A22" s="4"/>
    </row>
    <row r="23" spans="1:31" x14ac:dyDescent="0.2">
      <c r="A23" s="151"/>
      <c r="B23" s="143">
        <v>2021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43">
        <v>2022</v>
      </c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5"/>
      <c r="Z23" s="147">
        <v>2023</v>
      </c>
      <c r="AA23" s="147"/>
      <c r="AB23" s="147"/>
      <c r="AC23" s="147"/>
      <c r="AD23" s="147"/>
      <c r="AE23" s="147"/>
    </row>
    <row r="24" spans="1:31" x14ac:dyDescent="0.2">
      <c r="A24" s="152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91" t="s">
        <v>20</v>
      </c>
      <c r="Y24" s="91" t="s">
        <v>21</v>
      </c>
      <c r="Z24" s="37" t="s">
        <v>13</v>
      </c>
      <c r="AA24" s="37" t="s">
        <v>14</v>
      </c>
      <c r="AB24" s="37" t="s">
        <v>15</v>
      </c>
      <c r="AC24" s="37" t="s">
        <v>16</v>
      </c>
      <c r="AD24" s="37" t="s">
        <v>17</v>
      </c>
      <c r="AE24" s="37" t="s">
        <v>22</v>
      </c>
    </row>
    <row r="25" spans="1:31" ht="27.75" customHeight="1" x14ac:dyDescent="0.2">
      <c r="A25" s="16" t="s">
        <v>55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2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88">
        <v>88.988673647198652</v>
      </c>
      <c r="X25" s="88">
        <v>114.26056736134905</v>
      </c>
      <c r="Y25" s="82">
        <v>101.80484196839581</v>
      </c>
      <c r="Z25" s="98">
        <v>83.923113131090105</v>
      </c>
      <c r="AA25" s="79">
        <v>102.61098940878497</v>
      </c>
      <c r="AB25" s="79">
        <v>109.12064094346417</v>
      </c>
      <c r="AC25" s="79">
        <v>84.078157654874644</v>
      </c>
      <c r="AD25" s="79">
        <v>102.7218186786998</v>
      </c>
      <c r="AE25" s="77">
        <v>93.799562886459725</v>
      </c>
    </row>
    <row r="26" spans="1:31" ht="42" customHeight="1" x14ac:dyDescent="0.2">
      <c r="A26" s="18" t="s">
        <v>56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99">
        <f>IF(621670.20413="","-",733326.83984/621670.20413*100)</f>
        <v>117.96075072735046</v>
      </c>
      <c r="AA26" s="78">
        <f>IF(669093.24933="","-",752473.92596/669093.24933*100)</f>
        <v>112.46174232268726</v>
      </c>
      <c r="AB26" s="78">
        <f>IF(748290.45998="","-",821104.37094/748290.45998*100)</f>
        <v>109.73070149283291</v>
      </c>
      <c r="AC26" s="78">
        <f>IF(770435.79939="","-",690369.42751/770435.79939*100)</f>
        <v>89.607651676701252</v>
      </c>
      <c r="AD26" s="78">
        <f>IF(772669.2169="","-",709160.03154/772669.2169*100)</f>
        <v>91.780546711204167</v>
      </c>
      <c r="AE26" s="108">
        <f>IF(768415.61486="","-",665189.00975/768415.61486*100)</f>
        <v>86.566305640625586</v>
      </c>
    </row>
    <row r="27" spans="1:31" x14ac:dyDescent="0.2">
      <c r="A27" s="7"/>
      <c r="B27" s="8"/>
      <c r="C27" s="8"/>
      <c r="D27" s="8"/>
      <c r="E27" s="8"/>
      <c r="F27" s="8"/>
      <c r="G27" s="8"/>
      <c r="H27" s="8"/>
    </row>
    <row r="28" spans="1:31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8"/>
      <c r="X28" s="88"/>
      <c r="Y28" s="88"/>
    </row>
    <row r="29" spans="1:31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1" ht="15.75" x14ac:dyDescent="0.25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1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1" ht="15.75" x14ac:dyDescent="0.2">
      <c r="L32" s="45"/>
    </row>
  </sheetData>
  <mergeCells count="5">
    <mergeCell ref="A23:A24"/>
    <mergeCell ref="B23:M23"/>
    <mergeCell ref="N23:Y23"/>
    <mergeCell ref="A2:T2"/>
    <mergeCell ref="Z23:AE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Inga Daghi</cp:lastModifiedBy>
  <cp:lastPrinted>2023-02-01T07:21:59Z</cp:lastPrinted>
  <dcterms:created xsi:type="dcterms:W3CDTF">2017-02-13T11:50:10Z</dcterms:created>
  <dcterms:modified xsi:type="dcterms:W3CDTF">2023-08-16T13:36:02Z</dcterms:modified>
</cp:coreProperties>
</file>