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68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/>
</workbook>
</file>

<file path=xl/sharedStrings.xml><?xml version="1.0" encoding="utf-8"?>
<sst xmlns="http://schemas.openxmlformats.org/spreadsheetml/2006/main" count="689" uniqueCount="268">
  <si>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</si>
  <si>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</si>
  <si>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</si>
  <si>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</si>
  <si>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</si>
  <si>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</si>
  <si>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</si>
  <si>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</si>
  <si>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</si>
  <si>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</si>
  <si>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</si>
  <si>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</si>
  <si>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</si>
  <si>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</si>
  <si>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</si>
  <si>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</si>
  <si>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</si>
  <si>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</si>
  <si>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</si>
  <si>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</si>
  <si>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</si>
  <si>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</si>
  <si>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</si>
  <si>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</si>
  <si>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</si>
  <si>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</si>
  <si>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2,3 ori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</si>
  <si>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</si>
  <si>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</si>
  <si>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</si>
  <si>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</si>
  <si>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</si>
  <si>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</si>
  <si>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</si>
  <si>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</si>
  <si>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</si>
  <si>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</si>
  <si>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</si>
  <si>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</si>
  <si>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</si>
  <si>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</si>
  <si>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</si>
  <si>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</si>
  <si>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</si>
  <si>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</si>
  <si>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</si>
  <si>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</si>
  <si>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</si>
  <si>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</si>
  <si>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</si>
  <si>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</si>
  <si>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</si>
  <si>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</si>
  <si>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</si>
  <si>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</si>
  <si>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</si>
  <si>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</si>
  <si>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</si>
  <si>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</si>
  <si>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</si>
  <si>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</si>
  <si>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</si>
  <si>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</si>
  <si>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</si>
  <si>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</si>
  <si>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</si>
  <si>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</si>
  <si>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</si>
  <si>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</si>
  <si>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</si>
  <si>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</si>
  <si>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</si>
  <si>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</si>
  <si>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</si>
  <si>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</si>
  <si>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</si>
  <si>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</si>
  <si>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</si>
  <si>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</si>
  <si>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</si>
  <si>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</si>
  <si>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</si>
  <si>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</si>
  <si>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</si>
  <si>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</si>
  <si>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</si>
  <si>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</si>
  <si>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</si>
  <si>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</si>
  <si>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</si>
  <si>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</si>
  <si>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</si>
  <si>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</si>
  <si>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</si>
  <si>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</si>
  <si>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</si>
  <si>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</si>
  <si>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</si>
  <si>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</si>
  <si>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</si>
  <si>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</si>
  <si>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</si>
  <si>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</si>
  <si>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</si>
  <si>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</si>
  <si>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</si>
  <si>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</si>
  <si>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</si>
  <si>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</si>
  <si>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</si>
  <si>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</si>
  <si>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</si>
  <si>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</si>
  <si>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</si>
  <si>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</si>
  <si>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</si>
  <si>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</si>
  <si>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</si>
  <si>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</si>
  <si>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</si>
  <si>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</si>
  <si>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</si>
  <si>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</si>
  <si>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</si>
  <si>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</si>
  <si>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</si>
  <si>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</si>
  <si>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</si>
  <si>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</si>
  <si>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</si>
  <si>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</si>
  <si>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</si>
  <si>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</si>
  <si>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</si>
  <si>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</si>
  <si>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</si>
  <si>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</si>
  <si>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</si>
  <si>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</si>
  <si>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</si>
  <si>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</si>
  <si>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</si>
  <si>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</si>
  <si>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</si>
  <si>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</si>
  <si>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</si>
  <si>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</si>
  <si>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</si>
  <si>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</si>
  <si>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</si>
  <si>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</si>
  <si>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</si>
  <si>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</si>
  <si>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</si>
  <si>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</si>
  <si>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</si>
  <si>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</si>
  <si>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</si>
  <si>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</si>
  <si>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</si>
  <si>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</si>
  <si>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</si>
  <si>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</si>
  <si>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</si>
  <si>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</si>
  <si>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</si>
  <si>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</si>
  <si>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</si>
  <si>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</si>
  <si>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</si>
  <si>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</si>
  <si>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</si>
  <si>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</si>
  <si>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</si>
  <si>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</si>
  <si>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</si>
  <si>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</si>
  <si>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</si>
  <si>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</si>
  <si>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</si>
  <si>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</si>
  <si>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</si>
  <si>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</si>
  <si>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</si>
  <si>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</si>
  <si>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</si>
  <si>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</si>
  <si>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2017¹</t>
  </si>
  <si>
    <t>Algeria</t>
  </si>
  <si>
    <t>Mongolia</t>
  </si>
  <si>
    <t>de 7,0 ori</t>
  </si>
  <si>
    <t>de 2,5 ori</t>
  </si>
  <si>
    <t>Madagascar</t>
  </si>
  <si>
    <t>Peru</t>
  </si>
  <si>
    <t>Kenya</t>
  </si>
  <si>
    <t>de 2,2 ori</t>
  </si>
  <si>
    <t>mii dolari        SUA</t>
  </si>
  <si>
    <t>mii dolari 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</si>
  <si>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</si>
  <si>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</si>
  <si>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</si>
  <si>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</si>
  <si>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</si>
  <si>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</si>
  <si>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San Marino</t>
  </si>
  <si>
    <t>Oman</t>
  </si>
  <si>
    <t>Rep.Yemen</t>
  </si>
  <si>
    <t>Ghana</t>
  </si>
  <si>
    <t>Elveția</t>
  </si>
  <si>
    <t>Bosnia și Herțegovina</t>
  </si>
  <si>
    <t>de 3,1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</si>
  <si>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</si>
  <si>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</si>
  <si>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</si>
  <si>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</si>
  <si>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</si>
  <si>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</si>
  <si>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</si>
  <si>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</si>
  <si>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mii dolari            SUA</t>
  </si>
  <si>
    <t>Gradul de influenţă a grupelor de mărfuri  la creşterea (+),  scăderea (-) exporturilor, %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</si>
  <si>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</si>
  <si>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</si>
  <si>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Panama</t>
  </si>
  <si>
    <t>ins.Virgine Britanice</t>
  </si>
  <si>
    <t>ins.Seychelles</t>
  </si>
  <si>
    <t>Guatemala</t>
  </si>
  <si>
    <t>Qatar</t>
  </si>
  <si>
    <t>Afganistan</t>
  </si>
  <si>
    <t>de 4,7 ori</t>
  </si>
  <si>
    <t xml:space="preserve">. </t>
  </si>
  <si>
    <t>Arabia Saudita</t>
  </si>
  <si>
    <t>Gibraltar</t>
  </si>
  <si>
    <t>de 3,7 ori</t>
  </si>
  <si>
    <t>de 4,0 ori</t>
  </si>
  <si>
    <t>Jamaica</t>
  </si>
  <si>
    <t>Rep.Dominicană</t>
  </si>
  <si>
    <t>de 3,4 ori</t>
  </si>
  <si>
    <t>de 4,1 ori</t>
  </si>
  <si>
    <t>Ponderea, %</t>
  </si>
  <si>
    <t>Elvetia</t>
  </si>
  <si>
    <t>Bosnia si Hertegovina</t>
  </si>
  <si>
    <t>Libia</t>
  </si>
  <si>
    <t>Zambia</t>
  </si>
  <si>
    <t>de 8,3 ori</t>
  </si>
  <si>
    <t>de 10,9 ori</t>
  </si>
  <si>
    <t>de 548,1 ori</t>
  </si>
  <si>
    <t>Noua Zeelanda</t>
  </si>
  <si>
    <t>Rep.Dominicana</t>
  </si>
  <si>
    <t>de 8,2 ori</t>
  </si>
  <si>
    <t>de 16,5 ori</t>
  </si>
  <si>
    <t>de 2,7 ori</t>
  </si>
  <si>
    <t>de 50,0 ori</t>
  </si>
  <si>
    <t>de 5,2 ori</t>
  </si>
  <si>
    <t>de 25,5 ori</t>
  </si>
  <si>
    <t>de 9,7 ori</t>
  </si>
  <si>
    <t>de 5,0 ori</t>
  </si>
  <si>
    <t>de 28,0 ori</t>
  </si>
  <si>
    <t>de 11,2 ori</t>
  </si>
  <si>
    <t>de 51,1 ori</t>
  </si>
  <si>
    <t>de 137,6 ori</t>
  </si>
  <si>
    <t>de 139,4 ori</t>
  </si>
  <si>
    <t>de 8,1 ori</t>
  </si>
  <si>
    <t>Ianuarie-iunie 2017</t>
  </si>
  <si>
    <t>în % faţă de ianuarie-iunie 2016¹</t>
  </si>
  <si>
    <t>ianuarie-iunie</t>
  </si>
  <si>
    <t>Ianuarie-iunie</t>
  </si>
  <si>
    <t>Ianuarie-iunie 2017 în % faţă de              ianuarie-iunie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</si>
</sst>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9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2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164" fontId="14" fillId="0" borderId="0" xfId="0" applyNumberFormat="1" applyFont="1" applyFill="1" applyAlignment="1" applyProtection="1">
      <alignment horizontal="right" vertical="top"/>
      <protection/>
    </xf>
    <xf numFmtId="164" fontId="11" fillId="0" borderId="0" xfId="0" applyNumberFormat="1" applyFont="1" applyFill="1" applyAlignment="1" applyProtection="1">
      <alignment horizontal="right" vertical="top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2" fontId="16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 horizontal="left" vertical="top" wrapText="1"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4" fontId="15" fillId="0" borderId="14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164" fontId="15" fillId="0" borderId="14" xfId="0" applyNumberFormat="1" applyFont="1" applyFill="1" applyBorder="1" applyAlignment="1" applyProtection="1">
      <alignment horizontal="right" vertical="top"/>
      <protection/>
    </xf>
    <xf numFmtId="2" fontId="5" fillId="0" borderId="0" xfId="0" applyNumberFormat="1" applyFont="1" applyAlignment="1">
      <alignment horizontal="right" vertical="top" wrapText="1" indent="1"/>
    </xf>
    <xf numFmtId="0" fontId="21" fillId="0" borderId="14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95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33.00390625" style="16" customWidth="1"/>
    <col min="2" max="2" width="11.875" style="16" customWidth="1"/>
    <col min="3" max="3" width="10.00390625" style="16" customWidth="1"/>
    <col min="4" max="4" width="7.375" style="16" customWidth="1"/>
    <col min="5" max="5" width="7.625" style="16" customWidth="1"/>
    <col min="6" max="6" width="9.75390625" style="16" customWidth="1"/>
    <col min="7" max="7" width="10.00390625" style="16" customWidth="1"/>
  </cols>
  <sheetData>
    <row r="1" spans="1:7" ht="15.75">
      <c r="A1" s="51" t="s">
        <v>29</v>
      </c>
      <c r="B1" s="51"/>
      <c r="C1" s="51"/>
      <c r="D1" s="51"/>
      <c r="E1" s="51"/>
      <c r="F1" s="51"/>
      <c r="G1" s="51"/>
    </row>
    <row r="3" spans="1:7" ht="55.5" customHeight="1">
      <c r="A3" s="52"/>
      <c r="B3" s="55" t="s">
        <v>263</v>
      </c>
      <c r="C3" s="56"/>
      <c r="D3" s="55" t="s">
        <v>239</v>
      </c>
      <c r="E3" s="56"/>
      <c r="F3" s="57" t="s">
        <v>1</v>
      </c>
      <c r="G3" s="58"/>
    </row>
    <row r="4" spans="1:7" ht="21.75" customHeight="1">
      <c r="A4" s="53"/>
      <c r="B4" s="59" t="s">
        <v>196</v>
      </c>
      <c r="C4" s="61" t="s">
        <v>264</v>
      </c>
      <c r="D4" s="63" t="s">
        <v>265</v>
      </c>
      <c r="E4" s="63"/>
      <c r="F4" s="63" t="s">
        <v>265</v>
      </c>
      <c r="G4" s="55"/>
    </row>
    <row r="5" spans="1:7" ht="23.25" customHeight="1">
      <c r="A5" s="54"/>
      <c r="B5" s="60"/>
      <c r="C5" s="62"/>
      <c r="D5" s="33">
        <v>2016</v>
      </c>
      <c r="E5" s="33">
        <v>2017</v>
      </c>
      <c r="F5" s="33" t="s">
        <v>2</v>
      </c>
      <c r="G5" s="34" t="s">
        <v>187</v>
      </c>
    </row>
    <row r="6" spans="1:7" ht="15.75" customHeight="1">
      <c r="A6" s="37" t="s">
        <v>32</v>
      </c>
      <c r="B6" s="39">
        <f>IF(1028241.56935="","-",1028241.56935)</f>
        <v>1028241.56935</v>
      </c>
      <c r="C6" s="39">
        <f>IF(905353.79766="","-",1028241.56935/905353.79766*100)</f>
        <v>113.57345294266383</v>
      </c>
      <c r="D6" s="39">
        <v>100</v>
      </c>
      <c r="E6" s="39">
        <v>100</v>
      </c>
      <c r="F6" s="39">
        <f>IF(992587.42702="","-",(905353.79766-992587.42702)/992587.42702*100)</f>
        <v>-8.788508395869718</v>
      </c>
      <c r="G6" s="39">
        <f>IF(905353.79766="","-",(1028241.56935-905353.79766)/905353.79766*100)</f>
        <v>13.573452942663824</v>
      </c>
    </row>
    <row r="7" spans="1:7" ht="13.5" customHeight="1">
      <c r="A7" s="14" t="s">
        <v>3</v>
      </c>
      <c r="B7" s="40"/>
      <c r="C7" s="41"/>
      <c r="D7" s="42"/>
      <c r="E7" s="42"/>
      <c r="F7" s="42"/>
      <c r="G7" s="42"/>
    </row>
    <row r="8" spans="1:7" ht="15">
      <c r="A8" s="15" t="s">
        <v>4</v>
      </c>
      <c r="B8" s="26">
        <f>IF(652192.33475="","-",652192.33475)</f>
        <v>652192.33475</v>
      </c>
      <c r="C8" s="26">
        <f>IF(573540.41201="","-",652192.33475/573540.41201*100)</f>
        <v>113.7134055583565</v>
      </c>
      <c r="D8" s="26">
        <f>IF(573540.41201="","-",573540.41201/905353.79766*100)</f>
        <v>63.34986537775473</v>
      </c>
      <c r="E8" s="26">
        <f>IF(652192.33475="","-",652192.33475/1028241.56935*100)</f>
        <v>63.42792921339308</v>
      </c>
      <c r="F8" s="26">
        <f>IF(992587.42702="","-",(573540.41201-625751.80931)/992587.42702*100)</f>
        <v>-5.260130833689076</v>
      </c>
      <c r="G8" s="26">
        <f>IF(905353.79766="","-",(652192.33475-573540.41201)/905353.79766*100)</f>
        <v>8.687423959924374</v>
      </c>
    </row>
    <row r="9" spans="1:7" s="31" customFormat="1" ht="15">
      <c r="A9" s="38" t="s">
        <v>5</v>
      </c>
      <c r="B9" s="27">
        <f>IF(250736.46569="","-",250736.46569)</f>
        <v>250736.46569</v>
      </c>
      <c r="C9" s="27">
        <f>IF(OR(215220.53291="",250736.46569=""),"-",250736.46569/215220.53291*100)</f>
        <v>116.50211171758964</v>
      </c>
      <c r="D9" s="27">
        <f>IF(215220.53291="","-",215220.53291/905353.79766*100)</f>
        <v>23.771981016290468</v>
      </c>
      <c r="E9" s="27">
        <f>IF(250736.46569="","-",250736.46569/1028241.56935*100)</f>
        <v>24.384976562317195</v>
      </c>
      <c r="F9" s="27">
        <f>IF(OR(992587.42702="",222059.14754="",215220.53291=""),"-",(215220.53291-222059.14754)/992587.42702*100)</f>
        <v>-0.6889684922295719</v>
      </c>
      <c r="G9" s="27">
        <f>IF(OR(905353.79766="",250736.46569="",215220.53291=""),"-",(250736.46569-215220.53291)/905353.79766*100)</f>
        <v>3.922878864792456</v>
      </c>
    </row>
    <row r="10" spans="1:7" s="31" customFormat="1" ht="15">
      <c r="A10" s="38" t="s">
        <v>6</v>
      </c>
      <c r="B10" s="27">
        <f>IF(92701.91922="","-",92701.91922)</f>
        <v>92701.91922</v>
      </c>
      <c r="C10" s="27">
        <f>IF(OR(90620.70514="",92701.91922=""),"-",92701.91922/90620.70514*100)</f>
        <v>102.29662092872123</v>
      </c>
      <c r="D10" s="27">
        <f>IF(90620.70514="","-",90620.70514/905353.79766*100)</f>
        <v>10.00942453372599</v>
      </c>
      <c r="E10" s="27">
        <f>IF(92701.91922="","-",92701.91922/1028241.56935*100)</f>
        <v>9.0155778547838</v>
      </c>
      <c r="F10" s="27">
        <f>IF(OR(992587.42702="",109469.82572="",90620.70514=""),"-",(90620.70514-109469.82572)/992587.42702*100)</f>
        <v>-1.8989884484624033</v>
      </c>
      <c r="G10" s="27">
        <f>IF(OR(905353.79766="",92701.91922="",90620.70514=""),"-",(92701.91922-90620.70514)/905353.79766*100)</f>
        <v>0.22987853868610794</v>
      </c>
    </row>
    <row r="11" spans="1:7" s="31" customFormat="1" ht="15">
      <c r="A11" s="38" t="s">
        <v>7</v>
      </c>
      <c r="B11" s="27">
        <f>IF(71011.57098="","-",71011.57098)</f>
        <v>71011.57098</v>
      </c>
      <c r="C11" s="27">
        <f>IF(OR(58566.85188="",71011.57098=""),"-",71011.57098/58566.85188*100)</f>
        <v>121.24874173790063</v>
      </c>
      <c r="D11" s="27">
        <f>IF(58566.85188="","-",58566.85188/905353.79766*100)</f>
        <v>6.468946397681585</v>
      </c>
      <c r="E11" s="27">
        <f>IF(71011.57098="","-",71011.57098/1028241.56935*100)</f>
        <v>6.906117501638236</v>
      </c>
      <c r="F11" s="27">
        <f>IF(OR(992587.42702="",58421.91727="",58566.85188=""),"-",(58566.85188-58421.91727)/992587.42702*100)</f>
        <v>0.014601697145724934</v>
      </c>
      <c r="G11" s="27">
        <f>IF(OR(905353.79766="",71011.57098="",58566.85188=""),"-",(71011.57098-58566.85188)/905353.79766*100)</f>
        <v>1.3745697132065864</v>
      </c>
    </row>
    <row r="12" spans="1:7" s="31" customFormat="1" ht="26.25">
      <c r="A12" s="38" t="s">
        <v>211</v>
      </c>
      <c r="B12" s="27">
        <f>IF(60488.84795="","-",60488.84795)</f>
        <v>60488.84795</v>
      </c>
      <c r="C12" s="27">
        <f>IF(OR(58881.78019="",60488.84795=""),"-",60488.84795/58881.78019*100)</f>
        <v>102.7293124542334</v>
      </c>
      <c r="D12" s="27">
        <f>IF(58881.78019="","-",58881.78019/905353.79766*100)</f>
        <v>6.5037315071950115</v>
      </c>
      <c r="E12" s="27">
        <f>IF(60488.84795="","-",60488.84795/1028241.56935*100)</f>
        <v>5.882746793463899</v>
      </c>
      <c r="F12" s="27">
        <f>IF(OR(992587.42702="",81199.93216="",58881.78019=""),"-",(58881.78019-81199.93216)/992587.42702*100)</f>
        <v>-2.248482235666109</v>
      </c>
      <c r="G12" s="27">
        <f>IF(OR(905353.79766="",60488.84795="",58881.78019=""),"-",(60488.84795-58881.78019)/905353.79766*100)</f>
        <v>0.17750715401577513</v>
      </c>
    </row>
    <row r="13" spans="1:7" s="31" customFormat="1" ht="15">
      <c r="A13" s="38" t="s">
        <v>9</v>
      </c>
      <c r="B13" s="27">
        <f>IF(36014.54958="","-",36014.54958)</f>
        <v>36014.54958</v>
      </c>
      <c r="C13" s="27">
        <f>IF(OR(27461.44596="",36014.54958=""),"-",36014.54958/27461.44596*100)</f>
        <v>131.14586039081243</v>
      </c>
      <c r="D13" s="27">
        <f>IF(27461.44596="","-",27461.44596/905353.79766*100)</f>
        <v>3.0332281182204723</v>
      </c>
      <c r="E13" s="27">
        <f>IF(36014.54958="","-",36014.54958/1028241.56935*100)</f>
        <v>3.502537793990034</v>
      </c>
      <c r="F13" s="27">
        <f>IF(OR(992587.42702="",12762.19657="",27461.44596=""),"-",(27461.44596-12762.19657)/992587.42702*100)</f>
        <v>1.480902234892385</v>
      </c>
      <c r="G13" s="27">
        <f>IF(OR(905353.79766="",36014.54958="",27461.44596=""),"-",(36014.54958-27461.44596)/905353.79766*100)</f>
        <v>0.944724995035815</v>
      </c>
    </row>
    <row r="14" spans="1:7" s="31" customFormat="1" ht="15">
      <c r="A14" s="38" t="s">
        <v>8</v>
      </c>
      <c r="B14" s="27">
        <f>IF(33682.77241="","-",33682.77241)</f>
        <v>33682.77241</v>
      </c>
      <c r="C14" s="27">
        <f>IF(OR(30416.24217="",33682.77241=""),"-",33682.77241/30416.24217*100)</f>
        <v>110.73942738140686</v>
      </c>
      <c r="D14" s="27">
        <f>IF(30416.24217="","-",30416.24217/905353.79766*100)</f>
        <v>3.3595973473148923</v>
      </c>
      <c r="E14" s="27">
        <f>IF(33682.77241="","-",33682.77241/1028241.56935*100)</f>
        <v>3.275764510405125</v>
      </c>
      <c r="F14" s="27">
        <f>IF(OR(992587.42702="",26937.34001="",30416.24217=""),"-",(30416.24217-26937.34001)/992587.42702*100)</f>
        <v>0.3504882356252034</v>
      </c>
      <c r="G14" s="27">
        <f>IF(OR(905353.79766="",33682.77241="",30416.24217=""),"-",(33682.77241-30416.24217)/905353.79766*100)</f>
        <v>0.3608015174225537</v>
      </c>
    </row>
    <row r="15" spans="1:7" s="35" customFormat="1" ht="15">
      <c r="A15" s="38" t="s">
        <v>202</v>
      </c>
      <c r="B15" s="27">
        <f>IF(17322.7735="","-",17322.7735)</f>
        <v>17322.7735</v>
      </c>
      <c r="C15" s="27">
        <f>IF(OR(22823.83831="",17322.7735=""),"-",17322.7735/22823.83831*100)</f>
        <v>75.8977226560978</v>
      </c>
      <c r="D15" s="27">
        <f>IF(22823.83831="","-",22823.83831/905353.79766*100)</f>
        <v>2.520985538359817</v>
      </c>
      <c r="E15" s="27">
        <f>IF(17322.7735="","-",17322.7735/1028241.56935*100)</f>
        <v>1.6846988116761843</v>
      </c>
      <c r="F15" s="27">
        <f>IF(OR(992587.42702="",22150.71078="",22823.83831=""),"-",(22823.83831-22150.71078)/992587.42702*100)</f>
        <v>0.06781543989741015</v>
      </c>
      <c r="G15" s="27">
        <f>IF(OR(905353.79766="",17322.7735="",22823.83831=""),"-",(17322.7735-22823.83831)/905353.79766*100)</f>
        <v>-0.6076149262551489</v>
      </c>
    </row>
    <row r="16" spans="1:7" s="16" customFormat="1" ht="15">
      <c r="A16" s="38" t="s">
        <v>10</v>
      </c>
      <c r="B16" s="27">
        <f>IF(15047.43739="","-",15047.43739)</f>
        <v>15047.43739</v>
      </c>
      <c r="C16" s="27">
        <f>IF(OR(14602.97837="",15047.43739=""),"-",15047.43739/14602.97837*100)</f>
        <v>103.04361897099761</v>
      </c>
      <c r="D16" s="27">
        <f>IF(14602.97837="","-",14602.97837/905353.79766*100)</f>
        <v>1.6129582057029221</v>
      </c>
      <c r="E16" s="27">
        <f>IF(15047.43739="","-",15047.43739/1028241.56935*100)</f>
        <v>1.4634146136994046</v>
      </c>
      <c r="F16" s="27">
        <f>IF(OR(992587.42702="",14388.26338="",14602.97837=""),"-",(14602.97837-14388.26338)/992587.42702*100)</f>
        <v>0.02163184664192548</v>
      </c>
      <c r="G16" s="27">
        <f>IF(OR(905353.79766="",15047.43739="",14602.97837=""),"-",(15047.43739-14602.97837)/905353.79766*100)</f>
        <v>0.04909230194303689</v>
      </c>
    </row>
    <row r="17" spans="1:7" s="31" customFormat="1" ht="15">
      <c r="A17" s="38" t="s">
        <v>11</v>
      </c>
      <c r="B17" s="27">
        <f>IF(14928.40406="","-",14928.40406)</f>
        <v>14928.40406</v>
      </c>
      <c r="C17" s="27">
        <f>IF(OR(10779.97881="",14928.40406=""),"-",14928.40406/10779.97881*100)</f>
        <v>138.48268464267974</v>
      </c>
      <c r="D17" s="27">
        <f>IF(10779.97881="","-",10779.97881/905353.79766*100)</f>
        <v>1.1906923942730678</v>
      </c>
      <c r="E17" s="27">
        <f>IF(14928.40406="","-",14928.40406/1028241.56935*100)</f>
        <v>1.4518382163285763</v>
      </c>
      <c r="F17" s="27">
        <f>IF(OR(992587.42702="",7746.76345="",10779.97881=""),"-",(10779.97881-7746.76345)/992587.42702*100)</f>
        <v>0.3055867198627011</v>
      </c>
      <c r="G17" s="27">
        <f>IF(OR(905353.79766="",14928.40406="",10779.97881=""),"-",(14928.40406-10779.97881)/905353.79766*100)</f>
        <v>0.4582103991524775</v>
      </c>
    </row>
    <row r="18" spans="1:7" s="31" customFormat="1" ht="15">
      <c r="A18" s="38" t="s">
        <v>12</v>
      </c>
      <c r="B18" s="27">
        <f>IF(11712.18026="","-",11712.18026)</f>
        <v>11712.18026</v>
      </c>
      <c r="C18" s="27">
        <f>IF(OR(8716.99496="",11712.18026=""),"-",11712.18026/8716.99496*100)</f>
        <v>134.36029633771864</v>
      </c>
      <c r="D18" s="27">
        <f>IF(8716.99496="","-",8716.99496/905353.79766*100)</f>
        <v>0.9628274584510677</v>
      </c>
      <c r="E18" s="27">
        <f>IF(11712.18026="","-",11712.18026/1028241.56935*100)</f>
        <v>1.1390494810868055</v>
      </c>
      <c r="F18" s="27">
        <f>IF(OR(992587.42702="",12764.15826="",8716.99496=""),"-",(8716.99496-12764.15826)/992587.42702*100)</f>
        <v>-0.4077387230413158</v>
      </c>
      <c r="G18" s="27">
        <f>IF(OR(905353.79766="",11712.18026="",8716.99496=""),"-",(11712.18026-8716.99496)/905353.79766*100)</f>
        <v>0.3308303679447117</v>
      </c>
    </row>
    <row r="19" spans="1:7" s="31" customFormat="1" ht="15">
      <c r="A19" s="38" t="s">
        <v>13</v>
      </c>
      <c r="B19" s="27">
        <f>IF(11478.71305="","-",11478.71305)</f>
        <v>11478.71305</v>
      </c>
      <c r="C19" s="27">
        <f>IF(OR(9323.83262="",11478.71305=""),"-",11478.71305/9323.83262*100)</f>
        <v>123.11153061003792</v>
      </c>
      <c r="D19" s="27">
        <f>IF(9323.83262="","-",9323.83262/905353.79766*100)</f>
        <v>1.0298551399572862</v>
      </c>
      <c r="E19" s="27">
        <f>IF(11478.71305="","-",11478.71305/1028241.56935*100)</f>
        <v>1.1163439985465902</v>
      </c>
      <c r="F19" s="27">
        <f>IF(OR(992587.42702="",16104.92459="",9323.83262=""),"-",(9323.83262-16104.92459)/992587.42702*100)</f>
        <v>-0.6831732687123153</v>
      </c>
      <c r="G19" s="27">
        <f>IF(OR(905353.79766="",11478.71305="",9323.83262=""),"-",(11478.71305-9323.83262)/905353.79766*100)</f>
        <v>0.23801528591027715</v>
      </c>
    </row>
    <row r="20" spans="1:7" s="31" customFormat="1" ht="15">
      <c r="A20" s="38" t="s">
        <v>124</v>
      </c>
      <c r="B20" s="27">
        <f>IF(10354.93194="","-",10354.93194)</f>
        <v>10354.93194</v>
      </c>
      <c r="C20" s="27" t="s">
        <v>186</v>
      </c>
      <c r="D20" s="27">
        <f>IF(3722.0364="","-",3722.0364/905353.79766*100)</f>
        <v>0.4111140207971809</v>
      </c>
      <c r="E20" s="27">
        <f>IF(10354.93194="","-",10354.93194/1028241.56935*100)</f>
        <v>1.0070524523284778</v>
      </c>
      <c r="F20" s="27">
        <f>IF(OR(992587.42702="",7405.43="",3722.0364=""),"-",(3722.0364-7405.43)/992587.42702*100)</f>
        <v>-0.37109009239201074</v>
      </c>
      <c r="G20" s="27">
        <f>IF(OR(905353.79766="",10354.93194="",3722.0364=""),"-",(10354.93194-3722.0364)/905353.79766*100)</f>
        <v>0.7326302222560448</v>
      </c>
    </row>
    <row r="21" spans="1:7" s="31" customFormat="1" ht="15">
      <c r="A21" s="38" t="s">
        <v>125</v>
      </c>
      <c r="B21" s="27">
        <f>IF(6096.89873="","-",6096.89873)</f>
        <v>6096.89873</v>
      </c>
      <c r="C21" s="27">
        <f>IF(OR(4491.69675="",6096.89873=""),"-",6096.89873/4491.69675*100)</f>
        <v>135.73709600943118</v>
      </c>
      <c r="D21" s="27">
        <f>IF(4491.69675="","-",4491.69675/905353.79766*100)</f>
        <v>0.4961261289906058</v>
      </c>
      <c r="E21" s="27">
        <f>IF(6096.89873="","-",6096.89873/1028241.56935*100)</f>
        <v>0.5929441983029472</v>
      </c>
      <c r="F21" s="27">
        <f>IF(OR(992587.42702="",5036.30885="",4491.69675=""),"-",(4491.69675-5036.30885)/992587.42702*100)</f>
        <v>-0.054867922479641354</v>
      </c>
      <c r="G21" s="27">
        <f>IF(OR(905353.79766="",6096.89873="",4491.69675=""),"-",(6096.89873-4491.69675)/905353.79766*100)</f>
        <v>0.17730107104524717</v>
      </c>
    </row>
    <row r="22" spans="1:7" s="16" customFormat="1" ht="15">
      <c r="A22" s="38" t="s">
        <v>127</v>
      </c>
      <c r="B22" s="27">
        <f>IF(4264.13426="","-",4264.13426)</f>
        <v>4264.13426</v>
      </c>
      <c r="C22" s="27">
        <f>IF(OR(4205.89192="",4264.13426=""),"-",4264.13426/4205.89192*100)</f>
        <v>101.38477975915272</v>
      </c>
      <c r="D22" s="27">
        <f>IF(4205.89192="","-",4205.89192/905353.79766*100)</f>
        <v>0.46455782599804113</v>
      </c>
      <c r="E22" s="27">
        <f>IF(4264.13426="","-",4264.13426/1028241.56935*100)</f>
        <v>0.4147016019490012</v>
      </c>
      <c r="F22" s="27">
        <f>IF(OR(992587.42702="",4813.07412="",4205.89192=""),"-",(4205.89192-4813.07412)/992587.42702*100)</f>
        <v>-0.06117165938953264</v>
      </c>
      <c r="G22" s="27">
        <f>IF(OR(905353.79766="",4264.13426="",4205.89192=""),"-",(4264.13426-4205.89192)/905353.79766*100)</f>
        <v>0.006433102743980793</v>
      </c>
    </row>
    <row r="23" spans="1:7" s="16" customFormat="1" ht="15">
      <c r="A23" s="38" t="s">
        <v>128</v>
      </c>
      <c r="B23" s="27">
        <f>IF(4107.30788="","-",4107.30788)</f>
        <v>4107.30788</v>
      </c>
      <c r="C23" s="27">
        <f>IF(OR(3614.43286="",4107.30788=""),"-",4107.30788/3614.43286*100)</f>
        <v>113.63630309624841</v>
      </c>
      <c r="D23" s="27">
        <f>IF(3614.43286="","-",3614.43286/905353.79766*100)</f>
        <v>0.3992287732532799</v>
      </c>
      <c r="E23" s="27">
        <f>IF(4107.30788="","-",4107.30788/1028241.56935*100)</f>
        <v>0.39944970155178844</v>
      </c>
      <c r="F23" s="27">
        <f>IF(OR(992587.42702="",3916.0458="",3614.43286=""),"-",(3614.43286-3916.0458)/992587.42702*100)</f>
        <v>-0.030386536418813885</v>
      </c>
      <c r="G23" s="27">
        <f>IF(OR(905353.79766="",4107.30788="",3614.43286=""),"-",(4107.30788-3614.43286)/905353.79766*100)</f>
        <v>0.054440045568251605</v>
      </c>
    </row>
    <row r="24" spans="1:7" s="16" customFormat="1" ht="15">
      <c r="A24" s="38" t="s">
        <v>126</v>
      </c>
      <c r="B24" s="27">
        <f>IF(3363.43982="","-",3363.43982)</f>
        <v>3363.43982</v>
      </c>
      <c r="C24" s="27">
        <f>IF(OR(2382.87155="",3363.43982=""),"-",3363.43982/2382.87155*100)</f>
        <v>141.15069777890463</v>
      </c>
      <c r="D24" s="27">
        <f>IF(2382.87155="","-",2382.87155/905353.79766*100)</f>
        <v>0.26319783008132613</v>
      </c>
      <c r="E24" s="27">
        <f>IF(3363.43982="","-",3363.43982/1028241.56935*100)</f>
        <v>0.3271059953475903</v>
      </c>
      <c r="F24" s="27">
        <f>IF(OR(992587.42702="",2853.35645="",2382.87155=""),"-",(2382.87155-2853.35645)/992587.42702*100)</f>
        <v>-0.047399844808886586</v>
      </c>
      <c r="G24" s="27">
        <f>IF(OR(905353.79766="",3363.43982="",2382.87155=""),"-",(3363.43982-2382.87155)/905353.79766*100)</f>
        <v>0.10830774361740145</v>
      </c>
    </row>
    <row r="25" spans="1:7" s="31" customFormat="1" ht="15">
      <c r="A25" s="38" t="s">
        <v>131</v>
      </c>
      <c r="B25" s="27">
        <f>IF(3255.40549="","-",3255.40549)</f>
        <v>3255.40549</v>
      </c>
      <c r="C25" s="27" t="s">
        <v>233</v>
      </c>
      <c r="D25" s="27">
        <f>IF(870.40596="","-",870.40596/905353.79766*100)</f>
        <v>0.09613986954599107</v>
      </c>
      <c r="E25" s="27">
        <f>IF(3255.40549="","-",3255.40549/1028241.56935*100)</f>
        <v>0.3165992882448718</v>
      </c>
      <c r="F25" s="27">
        <f>IF(OR(992587.42702="",4440.44387="",870.40596=""),"-",(870.40596-4440.44387)/992587.42702*100)</f>
        <v>-0.3596698701612776</v>
      </c>
      <c r="G25" s="27">
        <f>IF(OR(905353.79766="",3255.40549="",870.40596=""),"-",(3255.40549-870.40596)/905353.79766*100)</f>
        <v>0.263432874105607</v>
      </c>
    </row>
    <row r="26" spans="1:7" s="16" customFormat="1" ht="15">
      <c r="A26" s="38" t="s">
        <v>129</v>
      </c>
      <c r="B26" s="27">
        <f>IF(2118.23373="","-",2118.23373)</f>
        <v>2118.23373</v>
      </c>
      <c r="C26" s="27">
        <f>IF(OR(2504.07397="",2118.23373=""),"-",2118.23373/2504.07397*100)</f>
        <v>84.5914999068498</v>
      </c>
      <c r="D26" s="27">
        <f>IF(2504.07397="","-",2504.07397/905353.79766*100)</f>
        <v>0.2765851290923053</v>
      </c>
      <c r="E26" s="27">
        <f>IF(2118.23373="","-",2118.23373/1028241.56935*100)</f>
        <v>0.20600545563811773</v>
      </c>
      <c r="F26" s="27">
        <f>IF(OR(992587.42702="",7533.91543="",2504.07397=""),"-",(2504.07397-7533.91543)/992587.42702*100)</f>
        <v>-0.5067403961685133</v>
      </c>
      <c r="G26" s="27">
        <f>IF(OR(905353.79766="",2118.23373="",2504.07397=""),"-",(2118.23373-2504.07397)/905353.79766*100)</f>
        <v>-0.04261761987382748</v>
      </c>
    </row>
    <row r="27" spans="1:7" s="16" customFormat="1" ht="15">
      <c r="A27" s="38" t="s">
        <v>130</v>
      </c>
      <c r="B27" s="27">
        <f>IF(1379.8417="","-",1379.8417)</f>
        <v>1379.8417</v>
      </c>
      <c r="C27" s="27">
        <f>IF(OR(2077.50678="",1379.8417=""),"-",1379.8417/2077.50678*100)</f>
        <v>66.41815628635396</v>
      </c>
      <c r="D27" s="27">
        <f>IF(2077.50678="","-",2077.50678/905353.79766*100)</f>
        <v>0.22946905236047782</v>
      </c>
      <c r="E27" s="27">
        <f>IF(1379.8417="","-",1379.8417/1028241.56935*100)</f>
        <v>0.1341943120304174</v>
      </c>
      <c r="F27" s="27">
        <f>IF(OR(992587.42702="",1954.90996="",2077.50678=""),"-",(2077.50678-1954.90996)/992587.42702*100)</f>
        <v>0.012351236441515994</v>
      </c>
      <c r="G27" s="27">
        <f>IF(OR(905353.79766="",1379.8417="",2077.50678=""),"-",(1379.8417-2077.50678)/905353.79766*100)</f>
        <v>-0.07705993853488026</v>
      </c>
    </row>
    <row r="28" spans="1:7" s="16" customFormat="1" ht="15">
      <c r="A28" s="38" t="s">
        <v>134</v>
      </c>
      <c r="B28" s="27">
        <f>IF(826.34994="","-",826.34994)</f>
        <v>826.34994</v>
      </c>
      <c r="C28" s="27" t="s">
        <v>26</v>
      </c>
      <c r="D28" s="27">
        <f>IF(361.18897="","-",361.18897/905353.79766*100)</f>
        <v>0.03989478709136008</v>
      </c>
      <c r="E28" s="27">
        <f>IF(826.34994="","-",826.34994/1028241.56935*100)</f>
        <v>0.08036535038379888</v>
      </c>
      <c r="F28" s="27">
        <f>IF(OR(992587.42702="",1485.4085="",361.18897=""),"-",(361.18897-1485.4085)/992587.42702*100)</f>
        <v>-0.11326151222519443</v>
      </c>
      <c r="G28" s="27">
        <f>IF(OR(905353.79766="",826.34994="",361.18897=""),"-",(826.34994-361.18897)/905353.79766*100)</f>
        <v>0.05137891630899064</v>
      </c>
    </row>
    <row r="29" spans="1:7" s="16" customFormat="1" ht="15">
      <c r="A29" s="38" t="s">
        <v>132</v>
      </c>
      <c r="B29" s="27">
        <f>IF(794.87922="","-",794.87922)</f>
        <v>794.87922</v>
      </c>
      <c r="C29" s="27">
        <f>IF(OR(821.02843="",794.87922=""),"-",794.87922/821.02843*100)</f>
        <v>96.81506644051292</v>
      </c>
      <c r="D29" s="27">
        <f>IF(821.02843="","-",821.02843/905353.79766*100)</f>
        <v>0.09068592103131952</v>
      </c>
      <c r="E29" s="27">
        <f>IF(794.87922="","-",794.87922/1028241.56935*100)</f>
        <v>0.07730471551568185</v>
      </c>
      <c r="F29" s="27">
        <f>IF(OR(992587.42702="",1154.02418="",821.02843=""),"-",(821.02843-1154.02418)/992587.42702*100)</f>
        <v>-0.03354825388023883</v>
      </c>
      <c r="G29" s="27">
        <f>IF(OR(905353.79766="",794.87922="",821.02843=""),"-",(794.87922-821.02843)/905353.79766*100)</f>
        <v>-0.0028882863326564518</v>
      </c>
    </row>
    <row r="30" spans="1:7" s="16" customFormat="1" ht="15">
      <c r="A30" s="38" t="s">
        <v>137</v>
      </c>
      <c r="B30" s="27">
        <f>IF(201.26238="","-",201.26238)</f>
        <v>201.26238</v>
      </c>
      <c r="C30" s="27">
        <f>IF(OR(164.27991="",201.26238=""),"-",201.26238/164.27991*100)</f>
        <v>122.51186404959682</v>
      </c>
      <c r="D30" s="27">
        <f>IF(164.27991="","-",164.27991/905353.79766*100)</f>
        <v>0.018145382548192975</v>
      </c>
      <c r="E30" s="27">
        <f>IF(201.26238="","-",201.26238/1028241.56935*100)</f>
        <v>0.019573452970514257</v>
      </c>
      <c r="F30" s="27">
        <f>IF(OR(992587.42702="",40.85073="",164.27991=""),"-",(164.27991-40.85073)/992587.42702*100)</f>
        <v>0.012435094042100232</v>
      </c>
      <c r="G30" s="27">
        <f>IF(OR(905353.79766="",201.26238="",164.27991=""),"-",(201.26238-164.27991)/905353.79766*100)</f>
        <v>0.00408486385052847</v>
      </c>
    </row>
    <row r="31" spans="1:7" s="16" customFormat="1" ht="15">
      <c r="A31" s="38" t="s">
        <v>203</v>
      </c>
      <c r="B31" s="27">
        <f>IF(108.6375="","-",108.6375)</f>
        <v>108.6375</v>
      </c>
      <c r="C31" s="27">
        <f>IF(OR(129.09178="",108.6375=""),"-",108.6375/129.09178*100)</f>
        <v>84.15524210759197</v>
      </c>
      <c r="D31" s="27">
        <f>IF(129.09178="","-",129.09178/905353.79766*100)</f>
        <v>0.014258710830357572</v>
      </c>
      <c r="E31" s="27">
        <f>IF(108.6375="","-",108.6375/1028241.56935*100)</f>
        <v>0.010565367442659889</v>
      </c>
      <c r="F31" s="27">
        <f>IF(OR(992587.42702="",123.72284="",129.09178=""),"-",(129.09178-123.72284)/992587.42702*100)</f>
        <v>0.0005409034865693312</v>
      </c>
      <c r="G31" s="27">
        <f>IF(OR(905353.79766="",108.6375="",129.09178=""),"-",(108.6375-129.09178)/905353.79766*100)</f>
        <v>-0.0022592582096487186</v>
      </c>
    </row>
    <row r="32" spans="1:7" s="16" customFormat="1" ht="15">
      <c r="A32" s="38" t="s">
        <v>136</v>
      </c>
      <c r="B32" s="27">
        <f>IF(53.31802="","-",53.31802)</f>
        <v>53.31802</v>
      </c>
      <c r="C32" s="27">
        <f>IF(OR(362.3335="",53.31802=""),"-",53.31802/362.3335*100)</f>
        <v>14.715178143892297</v>
      </c>
      <c r="D32" s="27">
        <f>IF(362.3335="","-",362.3335/905353.79766*100)</f>
        <v>0.04002120507325382</v>
      </c>
      <c r="E32" s="27">
        <f>IF(53.31802="","-",53.31802/1028241.56935*100)</f>
        <v>0.005185359315292498</v>
      </c>
      <c r="F32" s="27">
        <f>IF(OR(992587.42702="",198.49684="",362.3335=""),"-",(362.3335-198.49684)/992587.42702*100)</f>
        <v>0.01650601806350493</v>
      </c>
      <c r="G32" s="27">
        <f>IF(OR(905353.79766="",53.31802="",362.3335=""),"-",(53.31802-362.3335)/905353.79766*100)</f>
        <v>-0.03413201345139206</v>
      </c>
    </row>
    <row r="33" spans="1:7" s="16" customFormat="1" ht="15">
      <c r="A33" s="38" t="s">
        <v>133</v>
      </c>
      <c r="B33" s="27">
        <f>IF(50.68727="","-",50.68727)</f>
        <v>50.68727</v>
      </c>
      <c r="C33" s="27" t="s">
        <v>27</v>
      </c>
      <c r="D33" s="27">
        <f>IF(24.96638="","-",24.96638/905353.79766*100)</f>
        <v>0.002757637960378443</v>
      </c>
      <c r="E33" s="27">
        <f>IF(50.68727="","-",50.68727/1028241.56935*100)</f>
        <v>0.0049295099041796</v>
      </c>
      <c r="F33" s="27">
        <f>IF(OR(992587.42702="",62.28984="",24.96638=""),"-",(24.96638-62.28984)/992587.42702*100)</f>
        <v>-0.003760218896994749</v>
      </c>
      <c r="G33" s="27">
        <f>IF(OR(905353.79766="",50.68727="",24.96638=""),"-",(50.68727-24.96638)/905353.79766*100)</f>
        <v>0.0028409766509489274</v>
      </c>
    </row>
    <row r="34" spans="1:7" s="16" customFormat="1" ht="15">
      <c r="A34" s="38" t="s">
        <v>135</v>
      </c>
      <c r="B34" s="27">
        <f>IF(48.48508="","-",48.48508)</f>
        <v>48.48508</v>
      </c>
      <c r="C34" s="27">
        <f>IF(OR(276.82483="",48.48508=""),"-",48.48508/276.82483*100)</f>
        <v>17.514714991426168</v>
      </c>
      <c r="D34" s="27">
        <f>IF(276.82483="","-",276.82483/905353.79766*100)</f>
        <v>0.03057642556042603</v>
      </c>
      <c r="E34" s="27">
        <f>IF(48.48508="","-",48.48508/1028241.56935*100)</f>
        <v>0.004715339414905167</v>
      </c>
      <c r="F34" s="27">
        <f>IF(OR(992587.42702="",81.53351="",276.82483=""),"-",(276.82483-81.53351)/992587.42702*100)</f>
        <v>0.01967497418200372</v>
      </c>
      <c r="G34" s="27">
        <f>IF(OR(905353.79766="",48.48508="",276.82483=""),"-",(48.48508-276.82483)/905353.79766*100)</f>
        <v>-0.02522105176895183</v>
      </c>
    </row>
    <row r="35" spans="1:7" s="16" customFormat="1" ht="15">
      <c r="A35" s="38" t="s">
        <v>138</v>
      </c>
      <c r="B35" s="27">
        <f>IF(27.10437="","-",27.10437)</f>
        <v>27.10437</v>
      </c>
      <c r="C35" s="27">
        <f>IF(OR(89.31444="",27.10437=""),"-",27.10437/89.31444*100)</f>
        <v>30.34713087827679</v>
      </c>
      <c r="D35" s="27">
        <f>IF(89.31444="","-",89.31444/905353.79766*100)</f>
        <v>0.00986514224945478</v>
      </c>
      <c r="E35" s="27">
        <f>IF(27.10437="","-",27.10437/1028241.56935*100)</f>
        <v>0.002635992436790311</v>
      </c>
      <c r="F35" s="27">
        <f>IF(OR(992587.42702="",353.50797="",89.31444=""),"-",(89.31444-353.50797)/992587.42702*100)</f>
        <v>-0.02661665086703508</v>
      </c>
      <c r="G35" s="27">
        <f>IF(OR(905353.79766="",27.10437="",89.31444=""),"-",(27.10437-89.31444)/905353.79766*100)</f>
        <v>-0.0068713546196845585</v>
      </c>
    </row>
    <row r="36" spans="1:7" s="16" customFormat="1" ht="15">
      <c r="A36" s="38" t="s">
        <v>139</v>
      </c>
      <c r="B36" s="27">
        <f>IF(15.78333="","-",15.78333)</f>
        <v>15.78333</v>
      </c>
      <c r="C36" s="27">
        <f>IF(OR(27.28626="",15.78333=""),"-",15.78333/27.28626*100)</f>
        <v>57.84350805130495</v>
      </c>
      <c r="D36" s="27">
        <f>IF(27.28626="","-",27.28626/905353.79766*100)</f>
        <v>0.0030138781182035956</v>
      </c>
      <c r="E36" s="27">
        <f>IF(15.78333="","-",15.78333/1028241.56935*100)</f>
        <v>0.001534982680186465</v>
      </c>
      <c r="F36" s="27">
        <f>IF(OR(992587.42702="",293.31069="",27.28626=""),"-",(27.28626-293.31069)/992587.42702*100)</f>
        <v>-0.02680110817025691</v>
      </c>
      <c r="G36" s="27">
        <f>IF(OR(905353.79766="",15.78333="",27.28626=""),"-",(15.78333-27.28626)/905353.79766*100)</f>
        <v>-0.0012705452862439809</v>
      </c>
    </row>
    <row r="37" spans="1:7" s="16" customFormat="1" ht="14.25" customHeight="1">
      <c r="A37" s="15" t="s">
        <v>14</v>
      </c>
      <c r="B37" s="26">
        <f>IF(216948.00379="","-",216948.00379)</f>
        <v>216948.00379</v>
      </c>
      <c r="C37" s="26">
        <f>IF(187658.42585="","-",216948.00379/187658.42585*100)</f>
        <v>115.6079205116065</v>
      </c>
      <c r="D37" s="26">
        <f>IF(187658.42585="","-",187658.42585/905353.79766*100)</f>
        <v>20.727634471189788</v>
      </c>
      <c r="E37" s="26">
        <f>IF(216948.00379="","-",216948.00379/1028241.56935*100)</f>
        <v>21.09893338849771</v>
      </c>
      <c r="F37" s="26">
        <f>IF(992587.42702="","-",(187658.42585-241490.08054)/992587.42702*100)</f>
        <v>-5.4233665694936635</v>
      </c>
      <c r="G37" s="26">
        <f>IF(905353.79766="","-",(216948.00379-187658.42585)/905353.79766*100)</f>
        <v>3.235152712199646</v>
      </c>
    </row>
    <row r="38" spans="1:7" s="32" customFormat="1" ht="14.25" customHeight="1">
      <c r="A38" s="38" t="s">
        <v>212</v>
      </c>
      <c r="B38" s="27">
        <f>IF(116584.36191="","-",116584.36191)</f>
        <v>116584.36191</v>
      </c>
      <c r="C38" s="27">
        <f>IF(OR(97532.99215="",116584.36191=""),"-",116584.36191/97532.99215*100)</f>
        <v>119.53325673706404</v>
      </c>
      <c r="D38" s="27">
        <f>IF(97532.99215="","-",97532.99215/905353.79766*100)</f>
        <v>10.7729146773434</v>
      </c>
      <c r="E38" s="27">
        <f>IF(116584.36191="","-",116584.36191/1028241.56935*100)</f>
        <v>11.338226870529896</v>
      </c>
      <c r="F38" s="27">
        <f>IF(OR(992587.42702="",114138.22105="",97532.99215=""),"-",(97532.99215-114138.22105)/992587.42702*100)</f>
        <v>-1.6729235579633635</v>
      </c>
      <c r="G38" s="27">
        <f>IF(OR(905353.79766="",116584.36191="",97532.99215=""),"-",(116584.36191-97532.99215)/905353.79766*100)</f>
        <v>2.1043010819903385</v>
      </c>
    </row>
    <row r="39" spans="1:7" s="32" customFormat="1" ht="14.25" customHeight="1">
      <c r="A39" s="38" t="s">
        <v>15</v>
      </c>
      <c r="B39" s="27">
        <f>IF(57173.46201="","-",57173.46201)</f>
        <v>57173.46201</v>
      </c>
      <c r="C39" s="27">
        <f>IF(OR(54526.35086="",57173.46201=""),"-",57173.46201/54526.35086*100)</f>
        <v>104.85473740356592</v>
      </c>
      <c r="D39" s="27">
        <f>IF(54526.35086="","-",54526.35086/905353.79766*100)</f>
        <v>6.022656667584558</v>
      </c>
      <c r="E39" s="27">
        <f>IF(57173.46201="","-",57173.46201/1028241.56935*100)</f>
        <v>5.560314201860371</v>
      </c>
      <c r="F39" s="27">
        <f>IF(OR(992587.42702="",71402.2776="",54526.35086=""),"-",(54526.35086-71402.2776)/992587.42702*100)</f>
        <v>-1.700195497203287</v>
      </c>
      <c r="G39" s="27">
        <f>IF(OR(905353.79766="",57173.46201="",54526.35086=""),"-",(57173.46201-54526.35086)/905353.79766*100)</f>
        <v>0.29238416592958394</v>
      </c>
    </row>
    <row r="40" spans="1:7" s="32" customFormat="1" ht="14.25" customHeight="1">
      <c r="A40" s="38" t="s">
        <v>16</v>
      </c>
      <c r="B40" s="27">
        <f>IF(29808.95471="","-",29808.95471)</f>
        <v>29808.95471</v>
      </c>
      <c r="C40" s="27">
        <f>IF(OR(23263.33196="",29808.95471=""),"-",29808.95471/23263.33196*100)</f>
        <v>128.1370818301301</v>
      </c>
      <c r="D40" s="27">
        <f>IF(23263.33196="","-",23263.33196/905353.79766*100)</f>
        <v>2.5695293950416938</v>
      </c>
      <c r="E40" s="27">
        <f>IF(29808.95471="","-",29808.95471/1028241.56935*100)</f>
        <v>2.899022525304404</v>
      </c>
      <c r="F40" s="27">
        <f>IF(OR(992587.42702="",19123.26283="",23263.33196=""),"-",(23263.33196-19123.26283)/992587.42702*100)</f>
        <v>0.41709868746066436</v>
      </c>
      <c r="G40" s="27">
        <f>IF(OR(905353.79766="",29808.95471="",23263.33196=""),"-",(29808.95471-23263.33196)/905353.79766*100)</f>
        <v>0.7229905885321276</v>
      </c>
    </row>
    <row r="41" spans="1:7" s="25" customFormat="1" ht="14.25" customHeight="1">
      <c r="A41" s="38" t="s">
        <v>17</v>
      </c>
      <c r="B41" s="27">
        <f>IF(6729.91134="","-",6729.91134)</f>
        <v>6729.91134</v>
      </c>
      <c r="C41" s="27">
        <f>IF(OR(6884.09392="",6729.91134=""),"-",6729.91134/6884.09392*100)</f>
        <v>97.76030684950328</v>
      </c>
      <c r="D41" s="27">
        <f>IF(6884.09392="","-",6884.09392/905353.79766*100)</f>
        <v>0.760376102446668</v>
      </c>
      <c r="E41" s="27">
        <f>IF(6729.91134="","-",6729.91134/1028241.56935*100)</f>
        <v>0.6545068338614528</v>
      </c>
      <c r="F41" s="27">
        <f>IF(OR(992587.42702="",29624.49874="",6884.09392=""),"-",(6884.09392-29624.49874)/992587.42702*100)</f>
        <v>-2.2910228561198362</v>
      </c>
      <c r="G41" s="27">
        <f>IF(OR(905353.79766="",6729.91134="",6884.09392=""),"-",(6729.91134-6884.09392)/905353.79766*100)</f>
        <v>-0.017030091484511883</v>
      </c>
    </row>
    <row r="42" spans="1:7" s="25" customFormat="1" ht="14.25" customHeight="1">
      <c r="A42" s="38" t="s">
        <v>19</v>
      </c>
      <c r="B42" s="27">
        <f>IF(2741.37171="","-",2741.37171)</f>
        <v>2741.37171</v>
      </c>
      <c r="C42" s="27">
        <f>IF(OR(2083.5336="",2741.37171=""),"-",2741.37171/2083.5336*100)</f>
        <v>131.57319421198676</v>
      </c>
      <c r="D42" s="27">
        <f>IF(2083.5336="","-",2083.5336/905353.79766*100)</f>
        <v>0.23013473908047363</v>
      </c>
      <c r="E42" s="27">
        <f>IF(2741.37171="","-",2741.37171/1028241.56935*100)</f>
        <v>0.2666077497462926</v>
      </c>
      <c r="F42" s="27">
        <f>IF(OR(992587.42702="",3545.18995="",2083.5336=""),"-",(2083.5336-3545.18995)/992587.42702*100)</f>
        <v>-0.14725718966522314</v>
      </c>
      <c r="G42" s="27">
        <f>IF(OR(905353.79766="",2741.37171="",2083.5336=""),"-",(2741.37171-2083.5336)/905353.79766*100)</f>
        <v>0.07266088811912697</v>
      </c>
    </row>
    <row r="43" spans="1:7" s="25" customFormat="1" ht="14.25" customHeight="1">
      <c r="A43" s="38" t="s">
        <v>18</v>
      </c>
      <c r="B43" s="27">
        <f>IF(2469.96307="","-",2469.96307)</f>
        <v>2469.96307</v>
      </c>
      <c r="C43" s="27">
        <f>IF(OR(1928.30516="",2469.96307=""),"-",2469.96307/1928.30516*100)</f>
        <v>128.08984393320816</v>
      </c>
      <c r="D43" s="27">
        <f>IF(1928.30516="","-",1928.30516/905353.79766*100)</f>
        <v>0.2129891281158753</v>
      </c>
      <c r="E43" s="27">
        <f>IF(2469.96307="","-",2469.96307/1028241.56935*100)</f>
        <v>0.24021233371856188</v>
      </c>
      <c r="F43" s="27">
        <f>IF(OR(992587.42702="",1502.30421="",1928.30516=""),"-",(1928.30516-1502.30421)/992587.42702*100)</f>
        <v>0.04291822950840342</v>
      </c>
      <c r="G43" s="27">
        <f>IF(OR(905353.79766="",2469.96307="",1928.30516=""),"-",(2469.96307-1928.30516)/905353.79766*100)</f>
        <v>0.05982831368245015</v>
      </c>
    </row>
    <row r="44" spans="1:7" s="25" customFormat="1" ht="14.25" customHeight="1">
      <c r="A44" s="38" t="s">
        <v>20</v>
      </c>
      <c r="B44" s="27">
        <f>IF(492.86283="","-",492.86283)</f>
        <v>492.86283</v>
      </c>
      <c r="C44" s="27">
        <f>IF(OR(417.73311="",492.86283=""),"-",492.86283/417.73311*100)</f>
        <v>117.98510058252265</v>
      </c>
      <c r="D44" s="27">
        <f>IF(417.73311="","-",417.73311/905353.79766*100)</f>
        <v>0.04614031675569081</v>
      </c>
      <c r="E44" s="27">
        <f>IF(492.86283="","-",492.86283/1028241.56935*100)</f>
        <v>0.047932591395965625</v>
      </c>
      <c r="F44" s="27">
        <f>IF(OR(992587.42702="",744.56446="",417.73311=""),"-",(417.73311-744.56446)/992587.42702*100)</f>
        <v>-0.0329272103497453</v>
      </c>
      <c r="G44" s="27">
        <f>IF(OR(905353.79766="",492.86283="",417.73311=""),"-",(492.86283-417.73311)/905353.79766*100)</f>
        <v>0.00829838237760554</v>
      </c>
    </row>
    <row r="45" spans="1:7" s="25" customFormat="1" ht="14.25" customHeight="1">
      <c r="A45" s="38" t="s">
        <v>22</v>
      </c>
      <c r="B45" s="27">
        <f>IF(443.05843="","-",443.05843)</f>
        <v>443.05843</v>
      </c>
      <c r="C45" s="27">
        <f>IF(OR(356.99113="",443.05843=""),"-",443.05843/356.99113*100)</f>
        <v>124.10908640783316</v>
      </c>
      <c r="D45" s="27">
        <f>IF(356.99113="","-",356.99113/905353.79766*100)</f>
        <v>0.03943111863259294</v>
      </c>
      <c r="E45" s="27">
        <f>IF(443.05843="","-",443.05843/1028241.56935*100)</f>
        <v>0.043088943610797424</v>
      </c>
      <c r="F45" s="27">
        <f>IF(OR(992587.42702="",606.29846="",356.99113=""),"-",(356.99113-606.29846)/992587.42702*100)</f>
        <v>-0.02511691395774416</v>
      </c>
      <c r="G45" s="27">
        <f>IF(OR(905353.79766="",443.05843="",356.99113=""),"-",(443.05843-356.99113)/905353.79766*100)</f>
        <v>0.009506482462707029</v>
      </c>
    </row>
    <row r="46" spans="1:7" s="25" customFormat="1" ht="14.25" customHeight="1">
      <c r="A46" s="38" t="s">
        <v>23</v>
      </c>
      <c r="B46" s="27">
        <f>IF(283.99467="","-",283.99467)</f>
        <v>283.99467</v>
      </c>
      <c r="C46" s="27">
        <f>IF(OR(239.61437="",283.99467=""),"-",283.99467/239.61437*100)</f>
        <v>118.52155194198077</v>
      </c>
      <c r="D46" s="27">
        <f>IF(239.61437="","-",239.61437/905353.79766*100)</f>
        <v>0.026466379289435054</v>
      </c>
      <c r="E46" s="27">
        <f>IF(283.99467="","-",283.99467/1028241.56935*100)</f>
        <v>0.027619450376775413</v>
      </c>
      <c r="F46" s="27">
        <f>IF(OR(992587.42702="",224.05183="",239.61437=""),"-",(239.61437-224.05183)/992587.42702*100)</f>
        <v>0.0015678759952382952</v>
      </c>
      <c r="G46" s="27">
        <f>IF(OR(905353.79766="",283.99467="",239.61437=""),"-",(283.99467-239.61437)/905353.79766*100)</f>
        <v>0.004901984187254353</v>
      </c>
    </row>
    <row r="47" spans="1:7" s="25" customFormat="1" ht="14.25" customHeight="1">
      <c r="A47" s="38" t="s">
        <v>21</v>
      </c>
      <c r="B47" s="27">
        <f>IF(220.06311="","-",220.06311)</f>
        <v>220.06311</v>
      </c>
      <c r="C47" s="27">
        <f>IF(OR(425.47959="",220.06311=""),"-",220.06311/425.47959*100)</f>
        <v>51.72119066862878</v>
      </c>
      <c r="D47" s="27">
        <f>IF(425.47959="","-",425.47959/905353.79766*100)</f>
        <v>0.04699594689940056</v>
      </c>
      <c r="E47" s="27">
        <f>IF(220.06311="","-",220.06311/1028241.56935*100)</f>
        <v>0.02140188809319509</v>
      </c>
      <c r="F47" s="27">
        <f>IF(OR(992587.42702="",579.41141="",425.47959=""),"-",(425.47959-579.41141)/992587.42702*100)</f>
        <v>-0.015508137198769742</v>
      </c>
      <c r="G47" s="27">
        <f>IF(OR(905353.79766="",220.06311="",425.47959=""),"-",(220.06311-425.47959)/905353.79766*100)</f>
        <v>-0.022689083597034056</v>
      </c>
    </row>
    <row r="48" spans="1:7" s="16" customFormat="1" ht="15">
      <c r="A48" s="15" t="s">
        <v>24</v>
      </c>
      <c r="B48" s="26">
        <f>IF(159101.23081="","-",159101.23081)</f>
        <v>159101.23081</v>
      </c>
      <c r="C48" s="26">
        <f>IF(144154.9598="","-",159101.23081/144154.9598*100)</f>
        <v>110.36819754987022</v>
      </c>
      <c r="D48" s="26">
        <f>IF(144154.9598="","-",144154.9598/905353.79766*100)</f>
        <v>15.922500151055477</v>
      </c>
      <c r="E48" s="26">
        <f>IF(159101.23081="","-",159101.23081/1028241.56935*100)</f>
        <v>15.473137398109222</v>
      </c>
      <c r="F48" s="26">
        <f>IF(992587.42702="","-",(144154.9598-125345.53717)/992587.42702*100)</f>
        <v>1.8949890073130071</v>
      </c>
      <c r="G48" s="26">
        <f>IF(905353.79766="","-",(159101.23081-144154.9598)/905353.79766*100)</f>
        <v>1.6508762705398157</v>
      </c>
    </row>
    <row r="49" spans="1:7" s="31" customFormat="1" ht="15">
      <c r="A49" s="38" t="s">
        <v>140</v>
      </c>
      <c r="B49" s="27">
        <f>IF(49847.93762="","-",49847.93762)</f>
        <v>49847.93762</v>
      </c>
      <c r="C49" s="27">
        <f>IF(OR(33578.14525="",49847.93762=""),"-",49847.93762/33578.14525*100)</f>
        <v>148.4535171578603</v>
      </c>
      <c r="D49" s="27">
        <f>IF(33578.14525="","-",33578.14525/905353.79766*100)</f>
        <v>3.708842370439812</v>
      </c>
      <c r="E49" s="27">
        <f>IF(49847.93762="","-",49847.93762/1028241.56935*100)</f>
        <v>4.847881967222083</v>
      </c>
      <c r="F49" s="27">
        <f>IF(OR(992587.42702="",33774.38781="",33578.14525=""),"-",(33578.14525-33774.38781)/992587.42702*100)</f>
        <v>-0.01977080856133438</v>
      </c>
      <c r="G49" s="27">
        <f>IF(OR(905353.79766="",49847.93762="",33578.14525=""),"-",(49847.93762-33578.14525)/905353.79766*100)</f>
        <v>1.7970645743190456</v>
      </c>
    </row>
    <row r="50" spans="1:7" s="35" customFormat="1" ht="15">
      <c r="A50" s="38" t="s">
        <v>240</v>
      </c>
      <c r="B50" s="27">
        <f>IF(12262.94346="","-",12262.94346)</f>
        <v>12262.94346</v>
      </c>
      <c r="C50" s="27">
        <f>IF(OR(13714.40528="",12262.94346=""),"-",12262.94346/13714.40528*100)</f>
        <v>89.41651649950366</v>
      </c>
      <c r="D50" s="27">
        <f>IF(13714.40528="","-",13714.40528/905353.79766*100)</f>
        <v>1.5148117029438208</v>
      </c>
      <c r="E50" s="27">
        <f>IF(12262.94346="","-",12262.94346/1028241.56935*100)</f>
        <v>1.1926130809661766</v>
      </c>
      <c r="F50" s="27">
        <f>IF(OR(992587.42702="",21014.99643="",13714.40528=""),"-",(13714.40528-21014.99643)/992587.42702*100)</f>
        <v>-0.7355111450402139</v>
      </c>
      <c r="G50" s="27">
        <f>IF(OR(905353.79766="",12262.94346="",13714.40528=""),"-",(12262.94346-13714.40528)/905353.79766*100)</f>
        <v>-0.16031984664464707</v>
      </c>
    </row>
    <row r="51" spans="1:7" s="16" customFormat="1" ht="15">
      <c r="A51" s="38" t="s">
        <v>204</v>
      </c>
      <c r="B51" s="27">
        <f>IF(11514.30684="","-",11514.30684)</f>
        <v>11514.30684</v>
      </c>
      <c r="C51" s="27" t="str">
        <f>IF(OR(""="",11514.30684=""),"-",11514.30684/""*100)</f>
        <v>-</v>
      </c>
      <c r="D51" s="27" t="str">
        <f>IF(""="","-",""/905353.79766*100)</f>
        <v>-</v>
      </c>
      <c r="E51" s="27">
        <f>IF(11514.30684="","-",11514.30684/1028241.56935*100)</f>
        <v>1.1198056160361942</v>
      </c>
      <c r="F51" s="27" t="str">
        <f>IF(OR(992587.42702="",0.16492="",""=""),"-",(""-0.16492)/992587.42702*100)</f>
        <v>-</v>
      </c>
      <c r="G51" s="27" t="str">
        <f>IF(OR(905353.79766="",11514.30684="",""=""),"-",(11514.30684-"")/905353.79766*100)</f>
        <v>-</v>
      </c>
    </row>
    <row r="52" spans="1:7" s="35" customFormat="1" ht="15">
      <c r="A52" s="38" t="s">
        <v>141</v>
      </c>
      <c r="B52" s="27">
        <f>IF(9374.27181="","-",9374.27181)</f>
        <v>9374.27181</v>
      </c>
      <c r="C52" s="27">
        <f>IF(OR(22733.41334="",9374.27181=""),"-",9374.27181/22733.41334*100)</f>
        <v>41.235654627832496</v>
      </c>
      <c r="D52" s="27">
        <f>IF(22733.41334="","-",22733.41334/905353.79766*100)</f>
        <v>2.5109977335664073</v>
      </c>
      <c r="E52" s="27">
        <f>IF(9374.27181="","-",9374.27181/1028241.56935*100)</f>
        <v>0.9116799096078093</v>
      </c>
      <c r="F52" s="27">
        <f>IF(OR(992587.42702="",6390.361="",22733.41334=""),"-",(22733.41334-6390.361)/992587.42702*100)</f>
        <v>1.6465101103553166</v>
      </c>
      <c r="G52" s="27">
        <f>IF(OR(905353.79766="",9374.27181="",22733.41334=""),"-",(9374.27181-22733.41334)/905353.79766*100)</f>
        <v>-1.475571380440262</v>
      </c>
    </row>
    <row r="53" spans="1:7" s="31" customFormat="1" ht="15">
      <c r="A53" s="38" t="s">
        <v>142</v>
      </c>
      <c r="B53" s="27">
        <f>IF(8474.12682="","-",8474.12682)</f>
        <v>8474.12682</v>
      </c>
      <c r="C53" s="27">
        <f>IF(OR(6629.8455="",8474.12682=""),"-",8474.12682/6629.8455*100)</f>
        <v>127.81786272395036</v>
      </c>
      <c r="D53" s="27">
        <f>IF(6629.8455="","-",6629.8455/905353.79766*100)</f>
        <v>0.7322933329639378</v>
      </c>
      <c r="E53" s="27">
        <f>IF(8474.12682="","-",8474.12682/1028241.56935*100)</f>
        <v>0.8241377388930984</v>
      </c>
      <c r="F53" s="27">
        <f>IF(OR(992587.42702="",9411.75812="",6629.8455=""),"-",(6629.8455-9411.75812)/992587.42702*100)</f>
        <v>-0.28026877474682604</v>
      </c>
      <c r="G53" s="27">
        <f>IF(OR(905353.79766="",8474.12682="",6629.8455=""),"-",(8474.12682-6629.8455)/905353.79766*100)</f>
        <v>0.2037083541005488</v>
      </c>
    </row>
    <row r="54" spans="1:7" s="16" customFormat="1" ht="15">
      <c r="A54" s="38" t="s">
        <v>25</v>
      </c>
      <c r="B54" s="27">
        <f>IF(8339.4795="","-",8339.4795)</f>
        <v>8339.4795</v>
      </c>
      <c r="C54" s="27">
        <f>IF(OR(8975.49573="",8339.4795=""),"-",8339.4795/8975.49573*100)</f>
        <v>92.91385958912376</v>
      </c>
      <c r="D54" s="27">
        <f>IF(8975.49573="","-",8975.49573/905353.79766*100)</f>
        <v>0.9913799172432137</v>
      </c>
      <c r="E54" s="27">
        <f>IF(8339.4795="","-",8339.4795/1028241.56935*100)</f>
        <v>0.8110428277347099</v>
      </c>
      <c r="F54" s="27">
        <f>IF(OR(992587.42702="",12608.68153="",8975.49573=""),"-",(8975.49573-12608.68153)/992587.42702*100)</f>
        <v>-0.36603181756067044</v>
      </c>
      <c r="G54" s="27">
        <f>IF(OR(905353.79766="",8339.4795="",8975.49573=""),"-",(8339.4795-8975.49573)/905353.79766*100)</f>
        <v>-0.07025057294108275</v>
      </c>
    </row>
    <row r="55" spans="1:7" s="16" customFormat="1" ht="15">
      <c r="A55" s="38" t="s">
        <v>143</v>
      </c>
      <c r="B55" s="27">
        <f>IF(6110.15155="","-",6110.15155)</f>
        <v>6110.15155</v>
      </c>
      <c r="C55" s="27">
        <f>IF(OR(6422.99428="",6110.15155=""),"-",6110.15155/6422.99428*100)</f>
        <v>95.12933195388116</v>
      </c>
      <c r="D55" s="27">
        <f>IF(6422.99428="","-",6422.99428/905353.79766*100)</f>
        <v>0.709445776513119</v>
      </c>
      <c r="E55" s="27">
        <f>IF(6110.15155="","-",6110.15155/1028241.56935*100)</f>
        <v>0.5942330802539442</v>
      </c>
      <c r="F55" s="27">
        <f>IF(OR(992587.42702="",3418.11771="",6422.99428=""),"-",(6422.99428-3418.11771)/992587.42702*100)</f>
        <v>0.3027316776539679</v>
      </c>
      <c r="G55" s="27">
        <f>IF(OR(905353.79766="",6110.15155="",6422.99428=""),"-",(6110.15155-6422.99428)/905353.79766*100)</f>
        <v>-0.034554748741164105</v>
      </c>
    </row>
    <row r="56" spans="1:7" s="35" customFormat="1" ht="15">
      <c r="A56" s="38" t="s">
        <v>144</v>
      </c>
      <c r="B56" s="27">
        <f>IF(4944.19723="","-",4944.19723)</f>
        <v>4944.19723</v>
      </c>
      <c r="C56" s="27">
        <f>IF(OR(7256.12267="",4944.19723=""),"-",4944.19723/7256.12267*100)</f>
        <v>68.13828066112339</v>
      </c>
      <c r="D56" s="27">
        <f>IF(7256.12267="","-",7256.12267/905353.79766*100)</f>
        <v>0.8014681872163518</v>
      </c>
      <c r="E56" s="27">
        <f>IF(4944.19723="","-",4944.19723/1028241.56935*100)</f>
        <v>0.48084004550851417</v>
      </c>
      <c r="F56" s="27">
        <f>IF(OR(992587.42702="",4908.91997="",7256.12267=""),"-",(7256.12267-4908.91997)/992587.42702*100)</f>
        <v>0.2364731444409788</v>
      </c>
      <c r="G56" s="27">
        <f>IF(OR(905353.79766="",4944.19723="",7256.12267=""),"-",(4944.19723-7256.12267)/905353.79766*100)</f>
        <v>-0.2553615444012562</v>
      </c>
    </row>
    <row r="57" spans="1:7" s="16" customFormat="1" ht="15">
      <c r="A57" s="38" t="s">
        <v>147</v>
      </c>
      <c r="B57" s="27">
        <f>IF(3580.22734="","-",3580.22734)</f>
        <v>3580.22734</v>
      </c>
      <c r="C57" s="27">
        <f>IF(OR(3259.28604="",3580.22734=""),"-",3580.22734/3259.28604*100)</f>
        <v>109.84698170277807</v>
      </c>
      <c r="D57" s="27">
        <f>IF(3259.28604="","-",3259.28604/905353.79766*100)</f>
        <v>0.36000136614260986</v>
      </c>
      <c r="E57" s="27">
        <f>IF(3580.22734="","-",3580.22734/1028241.56935*100)</f>
        <v>0.34818932114009266</v>
      </c>
      <c r="F57" s="27">
        <f>IF(OR(992587.42702="",1466.69165="",3259.28604=""),"-",(3259.28604-1466.69165)/992587.42702*100)</f>
        <v>0.18059813586213</v>
      </c>
      <c r="G57" s="27">
        <f>IF(OR(905353.79766="",3580.22734="",3259.28604=""),"-",(3580.22734-3259.28604)/905353.79766*100)</f>
        <v>0.035449268653813884</v>
      </c>
    </row>
    <row r="58" spans="1:7" s="31" customFormat="1" ht="15">
      <c r="A58" s="38" t="s">
        <v>152</v>
      </c>
      <c r="B58" s="27">
        <f>IF(3468.23486="","-",3468.23486)</f>
        <v>3468.23486</v>
      </c>
      <c r="C58" s="27" t="s">
        <v>210</v>
      </c>
      <c r="D58" s="27">
        <f>IF(1126.05224="","-",1126.05224/905353.79766*100)</f>
        <v>0.12437703833688252</v>
      </c>
      <c r="E58" s="27">
        <f>IF(3468.23486="","-",3468.23486/1028241.56935*100)</f>
        <v>0.33729767044843706</v>
      </c>
      <c r="F58" s="27">
        <f>IF(OR(992587.42702="",1176.42808="",1126.05224=""),"-",(1126.05224-1176.42808)/992587.42702*100)</f>
        <v>-0.005075204322428405</v>
      </c>
      <c r="G58" s="27">
        <f>IF(OR(905353.79766="",3468.23486="",1126.05224=""),"-",(3468.23486-1126.05224)/905353.79766*100)</f>
        <v>0.2587035726865744</v>
      </c>
    </row>
    <row r="59" spans="1:7" s="16" customFormat="1" ht="15">
      <c r="A59" s="38" t="s">
        <v>154</v>
      </c>
      <c r="B59" s="27">
        <f>IF(2389.28125="","-",2389.28125)</f>
        <v>2389.28125</v>
      </c>
      <c r="C59" s="27" t="s">
        <v>216</v>
      </c>
      <c r="D59" s="27">
        <f>IF(1384.1862="","-",1384.1862/905353.79766*100)</f>
        <v>0.15288898147636892</v>
      </c>
      <c r="E59" s="27">
        <f>IF(2389.28125="","-",2389.28125/1028241.56935*100)</f>
        <v>0.2323657515140511</v>
      </c>
      <c r="F59" s="27">
        <f>IF(OR(992587.42702="",1618.27345="",1384.1862=""),"-",(1384.1862-1618.27345)/992587.42702*100)</f>
        <v>-0.023583539709221314</v>
      </c>
      <c r="G59" s="27">
        <f>IF(OR(905353.79766="",2389.28125="",1384.1862=""),"-",(2389.28125-1384.1862)/905353.79766*100)</f>
        <v>0.11101682597430901</v>
      </c>
    </row>
    <row r="60" spans="1:7" s="16" customFormat="1" ht="15">
      <c r="A60" s="38" t="s">
        <v>150</v>
      </c>
      <c r="B60" s="27">
        <f>IF(2338.14674="","-",2338.14674)</f>
        <v>2338.14674</v>
      </c>
      <c r="C60" s="27">
        <f>IF(OR(1594.95568="",2338.14674=""),"-",2338.14674/1594.95568*100)</f>
        <v>146.5963455486111</v>
      </c>
      <c r="D60" s="27">
        <f>IF(1594.95568="","-",1594.95568/905353.79766*100)</f>
        <v>0.1761693256406901</v>
      </c>
      <c r="E60" s="27">
        <f>IF(2338.14674="","-",2338.14674/1028241.56935*100)</f>
        <v>0.22739274599431464</v>
      </c>
      <c r="F60" s="27">
        <f>IF(OR(992587.42702="",595.18691="",1594.95568=""),"-",(1594.95568-595.18691)/992587.42702*100)</f>
        <v>0.10072349727434694</v>
      </c>
      <c r="G60" s="27">
        <f>IF(OR(905353.79766="",2338.14674="",1594.95568=""),"-",(2338.14674-1594.95568)/905353.79766*100)</f>
        <v>0.08208846772619391</v>
      </c>
    </row>
    <row r="61" spans="1:7" s="16" customFormat="1" ht="15">
      <c r="A61" s="38" t="s">
        <v>145</v>
      </c>
      <c r="B61" s="27">
        <f>IF(2148.11672="","-",2148.11672)</f>
        <v>2148.11672</v>
      </c>
      <c r="C61" s="27">
        <f>IF(OR(2741.17304="",2148.11672=""),"-",2148.11672/2741.17304*100)</f>
        <v>78.36487112101467</v>
      </c>
      <c r="D61" s="27">
        <f>IF(2741.17304="","-",2741.17304/905353.79766*100)</f>
        <v>0.30277368329209026</v>
      </c>
      <c r="E61" s="27">
        <f>IF(2148.11672="","-",2148.11672/1028241.56935*100)</f>
        <v>0.20891167834791252</v>
      </c>
      <c r="F61" s="27">
        <f>IF(OR(992587.42702="",1079.01865="",2741.17304=""),"-",(2741.17304-1079.01865)/992587.42702*100)</f>
        <v>0.16745672418904303</v>
      </c>
      <c r="G61" s="27">
        <f>IF(OR(905353.79766="",2148.11672="",2741.17304=""),"-",(2148.11672-2741.17304)/905353.79766*100)</f>
        <v>-0.0655054765918946</v>
      </c>
    </row>
    <row r="62" spans="1:7" s="31" customFormat="1" ht="15">
      <c r="A62" s="38" t="s">
        <v>231</v>
      </c>
      <c r="B62" s="27">
        <f>IF(1987.15121="","-",1987.15121)</f>
        <v>1987.15121</v>
      </c>
      <c r="C62" s="27" t="s">
        <v>238</v>
      </c>
      <c r="D62" s="27">
        <f>IF(489.58118="","-",489.58118/905353.79766*100)</f>
        <v>0.05407622757704046</v>
      </c>
      <c r="E62" s="27">
        <f>IF(1987.15121="","-",1987.15121/1028241.56935*100)</f>
        <v>0.1932572334394312</v>
      </c>
      <c r="F62" s="27">
        <f>IF(OR(992587.42702="",276.8251="",489.58118=""),"-",(489.58118-276.8251)/992587.42702*100)</f>
        <v>0.02143449274173741</v>
      </c>
      <c r="G62" s="27">
        <f>IF(OR(905353.79766="",1987.15121="",489.58118=""),"-",(1987.15121-489.58118)/905353.79766*100)</f>
        <v>0.16541268550158586</v>
      </c>
    </row>
    <row r="63" spans="1:7" s="16" customFormat="1" ht="15">
      <c r="A63" s="38" t="s">
        <v>161</v>
      </c>
      <c r="B63" s="27">
        <f>IF(1760.20338="","-",1760.20338)</f>
        <v>1760.20338</v>
      </c>
      <c r="C63" s="27" t="s">
        <v>200</v>
      </c>
      <c r="D63" s="27">
        <f>IF(668.97858="","-",668.97858/905353.79766*100)</f>
        <v>0.0738913982278595</v>
      </c>
      <c r="E63" s="27">
        <f>IF(1760.20338="","-",1760.20338/1028241.56935*100)</f>
        <v>0.17118578284212996</v>
      </c>
      <c r="F63" s="27">
        <f>IF(OR(992587.42702="",453.323="",668.97858=""),"-",(668.97858-453.323)/992587.42702*100)</f>
        <v>0.021726608067911247</v>
      </c>
      <c r="G63" s="27">
        <f>IF(OR(905353.79766="",1760.20338="",668.97858=""),"-",(1760.20338-668.97858)/905353.79766*100)</f>
        <v>0.12053020629287763</v>
      </c>
    </row>
    <row r="64" spans="1:7" s="16" customFormat="1" ht="15">
      <c r="A64" s="38" t="s">
        <v>146</v>
      </c>
      <c r="B64" s="27">
        <f>IF(1576.99671="","-",1576.99671)</f>
        <v>1576.99671</v>
      </c>
      <c r="C64" s="27">
        <f>IF(OR(2725.55272="",1576.99671=""),"-",1576.99671/2725.55272*100)</f>
        <v>57.85970304034331</v>
      </c>
      <c r="D64" s="27">
        <f>IF(2725.55272="","-",2725.55272/905353.79766*100)</f>
        <v>0.30104835557596726</v>
      </c>
      <c r="E64" s="27">
        <f>IF(1576.99671="","-",1576.99671/1028241.56935*100)</f>
        <v>0.153368309257998</v>
      </c>
      <c r="F64" s="27">
        <f>IF(OR(992587.42702="",893.22716="",2725.55272=""),"-",(2725.55272-893.22716)/992587.42702*100)</f>
        <v>0.18460092381999113</v>
      </c>
      <c r="G64" s="27">
        <f>IF(OR(905353.79766="",1576.99671="",2725.55272=""),"-",(1576.99671-2725.55272)/905353.79766*100)</f>
        <v>-0.1268626710318758</v>
      </c>
    </row>
    <row r="65" spans="1:7" s="35" customFormat="1" ht="15">
      <c r="A65" s="38" t="s">
        <v>153</v>
      </c>
      <c r="B65" s="27">
        <f>IF(1159.63016="","-",1159.63016)</f>
        <v>1159.63016</v>
      </c>
      <c r="C65" s="27">
        <f>IF(OR(2552.34821="",1159.63016=""),"-",1159.63016/2552.34821*100)</f>
        <v>45.43385402730766</v>
      </c>
      <c r="D65" s="27">
        <f>IF(2552.34821="","-",2552.34821/905353.79766*100)</f>
        <v>0.2819172147503951</v>
      </c>
      <c r="E65" s="27">
        <f>IF(1159.63016="","-",1159.63016/1028241.56935*100)</f>
        <v>0.11277798861342057</v>
      </c>
      <c r="F65" s="27">
        <f>IF(OR(992587.42702="",487.81809="",2552.34821=""),"-",(2552.34821-487.81809)/992587.42702*100)</f>
        <v>0.2079947885495835</v>
      </c>
      <c r="G65" s="27">
        <f>IF(OR(905353.79766="",1159.63016="",2552.34821=""),"-",(1159.63016-2552.34821)/905353.79766*100)</f>
        <v>-0.15383135892284916</v>
      </c>
    </row>
    <row r="66" spans="1:7" s="35" customFormat="1" ht="15">
      <c r="A66" s="38" t="s">
        <v>151</v>
      </c>
      <c r="B66" s="27">
        <f>IF(1086.09662="","-",1086.09662)</f>
        <v>1086.09662</v>
      </c>
      <c r="C66" s="27">
        <f>IF(OR(2523.43704="",1086.09662=""),"-",1086.09662/2523.43704*100)</f>
        <v>43.04036925763759</v>
      </c>
      <c r="D66" s="27">
        <f>IF(2523.43704="","-",2523.43704/905353.79766*100)</f>
        <v>0.2787238587303812</v>
      </c>
      <c r="E66" s="27">
        <f>IF(1086.09662="","-",1086.09662/1028241.56935*100)</f>
        <v>0.10562660102203152</v>
      </c>
      <c r="F66" s="27">
        <f>IF(OR(992587.42702="",3734.26128="",2523.43704=""),"-",(2523.43704-3734.26128)/992587.42702*100)</f>
        <v>-0.12198665901251671</v>
      </c>
      <c r="G66" s="27">
        <f>IF(OR(905353.79766="",1086.09662="",2523.43704=""),"-",(1086.09662-2523.43704)/905353.79766*100)</f>
        <v>-0.15876008072368897</v>
      </c>
    </row>
    <row r="67" spans="1:7" s="16" customFormat="1" ht="15">
      <c r="A67" s="38" t="s">
        <v>232</v>
      </c>
      <c r="B67" s="27">
        <f>IF(1034.90358="","-",1034.90358)</f>
        <v>1034.90358</v>
      </c>
      <c r="C67" s="27" t="s">
        <v>191</v>
      </c>
      <c r="D67" s="27">
        <f>IF(419.56893="","-",419.56893/905353.79766*100)</f>
        <v>0.046343090522669515</v>
      </c>
      <c r="E67" s="27">
        <f>IF(1034.90358="","-",1034.90358/1028241.56935*100)</f>
        <v>0.10064790326014647</v>
      </c>
      <c r="F67" s="27" t="str">
        <f>IF(OR(992587.42702="",""="",419.56893=""),"-",(419.56893-"")/992587.42702*100)</f>
        <v>-</v>
      </c>
      <c r="G67" s="27">
        <f>IF(OR(905353.79766="",1034.90358="",419.56893=""),"-",(1034.90358-419.56893)/905353.79766*100)</f>
        <v>0.06796620852427075</v>
      </c>
    </row>
    <row r="68" spans="1:7" s="16" customFormat="1" ht="15">
      <c r="A68" s="38" t="s">
        <v>223</v>
      </c>
      <c r="B68" s="27">
        <f>IF(736.69009="","-",736.69009)</f>
        <v>736.69009</v>
      </c>
      <c r="C68" s="27" t="s">
        <v>244</v>
      </c>
      <c r="D68" s="27">
        <f>IF(89.08942="","-",89.08942/905353.79766*100)</f>
        <v>0.009840287877541657</v>
      </c>
      <c r="E68" s="27">
        <f>IF(736.69009="","-",736.69009/1028241.56935*100)</f>
        <v>0.07164562413730234</v>
      </c>
      <c r="F68" s="27">
        <f>IF(OR(992587.42702="",310.72705="",89.08942=""),"-",(89.08942-310.72705)/992587.42702*100)</f>
        <v>-0.022329280420709394</v>
      </c>
      <c r="G68" s="27">
        <f>IF(OR(905353.79766="",736.69009="",89.08942=""),"-",(736.69009-89.08942)/905353.79766*100)</f>
        <v>0.07153012133751521</v>
      </c>
    </row>
    <row r="69" spans="1:7" s="16" customFormat="1" ht="15">
      <c r="A69" s="38" t="s">
        <v>241</v>
      </c>
      <c r="B69" s="27">
        <f>IF(676.2143="","-",676.2143)</f>
        <v>676.2143</v>
      </c>
      <c r="C69" s="27">
        <f>IF(OR(504.83985="",676.2143=""),"-",676.2143/504.83985*100)</f>
        <v>133.94629999989104</v>
      </c>
      <c r="D69" s="27">
        <f>IF(504.83985="","-",504.83985/905353.79766*100)</f>
        <v>0.05576160958343817</v>
      </c>
      <c r="E69" s="27">
        <f>IF(676.2143="","-",676.2143/1028241.56935*100)</f>
        <v>0.06576414727401722</v>
      </c>
      <c r="F69" s="27">
        <f>IF(OR(992587.42702="",431.81922="",504.83985=""),"-",(504.83985-431.81922)/992587.42702*100)</f>
        <v>0.007356594292074256</v>
      </c>
      <c r="G69" s="27">
        <f>IF(OR(905353.79766="",676.2143="",504.83985=""),"-",(676.2143-504.83985)/905353.79766*100)</f>
        <v>0.01892900327396192</v>
      </c>
    </row>
    <row r="70" spans="1:7" s="16" customFormat="1" ht="15">
      <c r="A70" s="38" t="s">
        <v>162</v>
      </c>
      <c r="B70" s="27">
        <f>IF(532.87677="","-",532.87677)</f>
        <v>532.87677</v>
      </c>
      <c r="C70" s="27" t="s">
        <v>215</v>
      </c>
      <c r="D70" s="27">
        <f>IF(288.21353="","-",288.21353/905353.79766*100)</f>
        <v>0.031834353679735354</v>
      </c>
      <c r="E70" s="27">
        <f>IF(532.87677="","-",532.87677/1028241.56935*100)</f>
        <v>0.05182408355041087</v>
      </c>
      <c r="F70" s="27">
        <f>IF(OR(992587.42702="",451.99379="",288.21353=""),"-",(288.21353-451.99379)/992587.42702*100)</f>
        <v>-0.01650033594438225</v>
      </c>
      <c r="G70" s="27">
        <f>IF(OR(905353.79766="",532.87677="",288.21353=""),"-",(532.87677-288.21353)/905353.79766*100)</f>
        <v>0.027024047464357322</v>
      </c>
    </row>
    <row r="71" spans="1:7" s="16" customFormat="1" ht="15">
      <c r="A71" s="38" t="s">
        <v>149</v>
      </c>
      <c r="B71" s="27">
        <f>IF(459.50868="","-",459.50868)</f>
        <v>459.50868</v>
      </c>
      <c r="C71" s="27">
        <f>IF(OR(1757.74153="",459.50868=""),"-",459.50868/1757.74153*100)</f>
        <v>26.14199369801543</v>
      </c>
      <c r="D71" s="27">
        <f>IF(1757.74153="","-",1757.74153/905353.79766*100)</f>
        <v>0.19414968320043527</v>
      </c>
      <c r="E71" s="27">
        <f>IF(459.50868="","-",459.50868/1028241.56935*100)</f>
        <v>0.04468878653587961</v>
      </c>
      <c r="F71" s="27" t="str">
        <f>IF(OR(992587.42702="",""="",1757.74153=""),"-",(1757.74153-"")/992587.42702*100)</f>
        <v>-</v>
      </c>
      <c r="G71" s="27">
        <f>IF(OR(905353.79766="",459.50868="",1757.74153=""),"-",(459.50868-1757.74153)/905353.79766*100)</f>
        <v>-0.14339508525346056</v>
      </c>
    </row>
    <row r="72" spans="1:7" s="16" customFormat="1" ht="15">
      <c r="A72" s="38" t="s">
        <v>205</v>
      </c>
      <c r="B72" s="27">
        <f>IF(439.09281="","-",439.09281)</f>
        <v>439.09281</v>
      </c>
      <c r="C72" s="27" t="s">
        <v>200</v>
      </c>
      <c r="D72" s="27">
        <f>IF(166.85426="","-",166.85426/905353.79766*100)</f>
        <v>0.018429729949910816</v>
      </c>
      <c r="E72" s="27">
        <f>IF(439.09281="","-",439.09281/1028241.56935*100)</f>
        <v>0.04270327353887971</v>
      </c>
      <c r="F72" s="27" t="str">
        <f>IF(OR(992587.42702="",""="",166.85426=""),"-",(166.85426-"")/992587.42702*100)</f>
        <v>-</v>
      </c>
      <c r="G72" s="27">
        <f>IF(OR(905353.79766="",439.09281="",166.85426=""),"-",(439.09281-166.85426)/905353.79766*100)</f>
        <v>0.03006985232774574</v>
      </c>
    </row>
    <row r="73" spans="1:7" s="16" customFormat="1" ht="15">
      <c r="A73" s="38" t="s">
        <v>158</v>
      </c>
      <c r="B73" s="27">
        <f>IF(361.11="","-",361.11)</f>
        <v>361.11</v>
      </c>
      <c r="C73" s="27">
        <f>IF(OR(356.87102="",361.11=""),"-",361.11/356.87102*100)</f>
        <v>101.18781850092509</v>
      </c>
      <c r="D73" s="27">
        <f>IF(356.87102="","-",356.87102/905353.79766*100)</f>
        <v>0.03941785199580294</v>
      </c>
      <c r="E73" s="27">
        <f>IF(361.11="","-",361.11/1028241.56935*100)</f>
        <v>0.03511917926331987</v>
      </c>
      <c r="F73" s="27">
        <f>IF(OR(992587.42702="",267.6872="",356.87102=""),"-",(356.87102-267.6872)/992587.42702*100)</f>
        <v>0.008984983848501134</v>
      </c>
      <c r="G73" s="27">
        <f>IF(OR(905353.79766="",361.11="",356.87102=""),"-",(361.11-356.87102)/905353.79766*100)</f>
        <v>0.0004682125386734114</v>
      </c>
    </row>
    <row r="74" spans="1:7" s="16" customFormat="1" ht="15">
      <c r="A74" s="38" t="s">
        <v>242</v>
      </c>
      <c r="B74" s="27">
        <f>IF(345.72844="","-",345.72844)</f>
        <v>345.72844</v>
      </c>
      <c r="C74" s="27" t="s">
        <v>234</v>
      </c>
      <c r="D74" s="27">
        <f>IF(85.7034="","-",85.7034/905353.79766*100)</f>
        <v>0.009466288231353438</v>
      </c>
      <c r="E74" s="27">
        <f>IF(345.72844="","-",345.72844/1028241.56935*100)</f>
        <v>0.03362327008608991</v>
      </c>
      <c r="F74" s="27">
        <f>IF(OR(992587.42702="",72.54842="",85.7034=""),"-",(85.7034-72.54842)/992587.42702*100)</f>
        <v>0.0013253220463908763</v>
      </c>
      <c r="G74" s="27">
        <f>IF(OR(905353.79766="",345.72844="",85.7034=""),"-",(345.72844-85.7034)/905353.79766*100)</f>
        <v>0.028720820597656647</v>
      </c>
    </row>
    <row r="75" spans="1:7" s="16" customFormat="1" ht="15">
      <c r="A75" s="38" t="s">
        <v>173</v>
      </c>
      <c r="B75" s="27">
        <f>IF(344.43468="","-",344.43468)</f>
        <v>344.43468</v>
      </c>
      <c r="C75" s="27" t="s">
        <v>245</v>
      </c>
      <c r="D75" s="27">
        <f>IF(31.53433="","-",31.53433/905353.79766*100)</f>
        <v>0.0034830946842554166</v>
      </c>
      <c r="E75" s="27">
        <f>IF(344.43468="","-",344.43468/1028241.56935*100)</f>
        <v>0.033497447513013257</v>
      </c>
      <c r="F75" s="27">
        <f>IF(OR(992587.42702="",14.5143="",31.53433=""),"-",(31.53433-14.5143)/992587.42702*100)</f>
        <v>0.001714713438502688</v>
      </c>
      <c r="G75" s="27">
        <f>IF(OR(905353.79766="",344.43468="",31.53433=""),"-",(344.43468-31.53433)/905353.79766*100)</f>
        <v>0.0345611131039302</v>
      </c>
    </row>
    <row r="76" spans="1:7" ht="15">
      <c r="A76" s="38" t="s">
        <v>156</v>
      </c>
      <c r="B76" s="27">
        <f>IF(288.52525="","-",288.52525)</f>
        <v>288.52525</v>
      </c>
      <c r="C76" s="27">
        <f>IF(OR(658.38885="",288.52525=""),"-",288.52525/658.38885*100)</f>
        <v>43.82292470475465</v>
      </c>
      <c r="D76" s="27">
        <f>IF(658.38885="","-",658.38885/905353.79766*100)</f>
        <v>0.07272171958649626</v>
      </c>
      <c r="E76" s="27">
        <f>IF(288.52525="","-",288.52525/1028241.56935*100)</f>
        <v>0.02806006473579846</v>
      </c>
      <c r="F76" s="27">
        <f>IF(OR(992587.42702="",610.45027="",658.38885=""),"-",(658.38885-610.45027)/992587.42702*100)</f>
        <v>0.004829658193830222</v>
      </c>
      <c r="G76" s="27">
        <f>IF(OR(905353.79766="",288.52525="",658.38885=""),"-",(288.52525-658.38885)/905353.79766*100)</f>
        <v>-0.0408529351681032</v>
      </c>
    </row>
    <row r="77" spans="1:7" ht="15">
      <c r="A77" s="38" t="s">
        <v>163</v>
      </c>
      <c r="B77" s="27">
        <f>IF(288.08013="","-",288.08013)</f>
        <v>288.08013</v>
      </c>
      <c r="C77" s="27">
        <f>IF(OR(419.33221="",288.08013=""),"-",288.08013/419.33221*100)</f>
        <v>68.69973809071334</v>
      </c>
      <c r="D77" s="27">
        <f>IF(419.33221="","-",419.33221/905353.79766*100)</f>
        <v>0.046316943838289125</v>
      </c>
      <c r="E77" s="27">
        <f>IF(288.08013="","-",288.08013/1028241.56935*100)</f>
        <v>0.028016775297473047</v>
      </c>
      <c r="F77" s="27">
        <f>IF(OR(992587.42702="",404.03422="",419.33221=""),"-",(419.33221-404.03422)/992587.42702*100)</f>
        <v>0.0015412234311619711</v>
      </c>
      <c r="G77" s="27">
        <f>IF(OR(905353.79766="",288.08013="",419.33221=""),"-",(288.08013-419.33221)/905353.79766*100)</f>
        <v>-0.01449732472976171</v>
      </c>
    </row>
    <row r="78" spans="1:7" ht="15">
      <c r="A78" s="38" t="s">
        <v>224</v>
      </c>
      <c r="B78" s="27">
        <f>IF(266.17125="","-",266.17125)</f>
        <v>266.17125</v>
      </c>
      <c r="C78" s="27" t="s">
        <v>185</v>
      </c>
      <c r="D78" s="27">
        <f>IF(128.71547="","-",128.71547/905353.79766*100)</f>
        <v>0.014217145864156224</v>
      </c>
      <c r="E78" s="27">
        <f>IF(266.17125="","-",266.17125/1028241.56935*100)</f>
        <v>0.025886061985245297</v>
      </c>
      <c r="F78" s="27">
        <f>IF(OR(992587.42702="",650.73062="",128.71547=""),"-",(128.71547-650.73062)/992587.42702*100)</f>
        <v>-0.05259135223657048</v>
      </c>
      <c r="G78" s="27">
        <f>IF(OR(905353.79766="",266.17125="",128.71547=""),"-",(266.17125-128.71547)/905353.79766*100)</f>
        <v>0.015182548563365128</v>
      </c>
    </row>
    <row r="79" spans="1:7" ht="15">
      <c r="A79" s="38" t="s">
        <v>183</v>
      </c>
      <c r="B79" s="27">
        <f>IF(197.21623="","-",197.21623)</f>
        <v>197.21623</v>
      </c>
      <c r="C79" s="27" t="s">
        <v>195</v>
      </c>
      <c r="D79" s="27">
        <f>IF(88.8192="","-",88.8192/905353.79766*100)</f>
        <v>0.00981044098225073</v>
      </c>
      <c r="E79" s="27">
        <f>IF(197.21623="","-",197.21623/1028241.56935*100)</f>
        <v>0.019179951081404894</v>
      </c>
      <c r="F79" s="27">
        <f>IF(OR(992587.42702="",50.85206="",88.8192=""),"-",(88.8192-50.85206)/992587.42702*100)</f>
        <v>0.003825067592684204</v>
      </c>
      <c r="G79" s="27">
        <f>IF(OR(905353.79766="",197.21623="",88.8192=""),"-",(197.21623-88.8192)/905353.79766*100)</f>
        <v>0.011972891733614599</v>
      </c>
    </row>
    <row r="80" spans="1:7" ht="15">
      <c r="A80" s="38" t="s">
        <v>170</v>
      </c>
      <c r="B80" s="27">
        <f>IF(196.74905="","-",196.74905)</f>
        <v>196.74905</v>
      </c>
      <c r="C80" s="27">
        <f>IF(OR(178.54441="",196.74905=""),"-",196.74905/178.54441*100)</f>
        <v>110.19614111693556</v>
      </c>
      <c r="D80" s="27">
        <f>IF(178.54441="","-",178.54441/905353.79766*100)</f>
        <v>0.019720954444712148</v>
      </c>
      <c r="E80" s="27">
        <f>IF(196.74905="","-",196.74905/1028241.56935*100)</f>
        <v>0.019134516232831782</v>
      </c>
      <c r="F80" s="27" t="str">
        <f>IF(OR(992587.42702="",""="",178.54441=""),"-",(178.54441-"")/992587.42702*100)</f>
        <v>-</v>
      </c>
      <c r="G80" s="27">
        <f>IF(OR(905353.79766="",196.74905="",178.54441=""),"-",(196.74905-178.54441)/905353.79766*100)</f>
        <v>0.0020107763447894268</v>
      </c>
    </row>
    <row r="81" spans="1:7" ht="15">
      <c r="A81" s="38" t="s">
        <v>207</v>
      </c>
      <c r="B81" s="27">
        <f>IF(187.4803="","-",187.4803)</f>
        <v>187.4803</v>
      </c>
      <c r="C81" s="27">
        <f>IF(OR(250.2832="",187.4803=""),"-",187.4803/250.2832*100)</f>
        <v>74.9072650501512</v>
      </c>
      <c r="D81" s="27">
        <f>IF(250.2832="","-",250.2832/905353.79766*100)</f>
        <v>0.02764479484670945</v>
      </c>
      <c r="E81" s="27">
        <f>IF(187.4803="","-",187.4803/1028241.56935*100)</f>
        <v>0.018233098679186367</v>
      </c>
      <c r="F81" s="27">
        <f>IF(OR(992587.42702="",208.26928="",250.2832=""),"-",(250.2832-208.26928)/992587.42702*100)</f>
        <v>0.004232767699479779</v>
      </c>
      <c r="G81" s="27">
        <f>IF(OR(905353.79766="",187.4803="",250.2832=""),"-",(187.4803-250.2832)/905353.79766*100)</f>
        <v>-0.006936835098314264</v>
      </c>
    </row>
    <row r="82" spans="1:7" ht="15">
      <c r="A82" s="38" t="s">
        <v>188</v>
      </c>
      <c r="B82" s="27">
        <f>IF(186.33116="","-",186.33116)</f>
        <v>186.33116</v>
      </c>
      <c r="C82" s="27" t="str">
        <f>IF(OR(""="",186.33116=""),"-",186.33116/""*100)</f>
        <v>-</v>
      </c>
      <c r="D82" s="27" t="str">
        <f>IF(""="","-",""/905353.79766*100)</f>
        <v>-</v>
      </c>
      <c r="E82" s="27">
        <f>IF(186.33116="","-",186.33116/1028241.56935*100)</f>
        <v>0.018121340894415378</v>
      </c>
      <c r="F82" s="27" t="str">
        <f>IF(OR(992587.42702="",161.962="",""=""),"-",(""-161.962)/992587.42702*100)</f>
        <v>-</v>
      </c>
      <c r="G82" s="27" t="str">
        <f>IF(OR(905353.79766="",186.33116="",""=""),"-",(186.33116-"")/905353.79766*100)</f>
        <v>-</v>
      </c>
    </row>
    <row r="83" spans="1:7" ht="15">
      <c r="A83" s="38" t="s">
        <v>155</v>
      </c>
      <c r="B83" s="27">
        <f>IF(180.4032="","-",180.4032)</f>
        <v>180.4032</v>
      </c>
      <c r="C83" s="27" t="s">
        <v>191</v>
      </c>
      <c r="D83" s="27">
        <f>IF(71.60917="","-",71.60917/905353.79766*100)</f>
        <v>0.007909523347124942</v>
      </c>
      <c r="E83" s="27">
        <f>IF(180.4032="","-",180.4032/1028241.56935*100)</f>
        <v>0.017544826563862942</v>
      </c>
      <c r="F83" s="27">
        <f>IF(OR(992587.42702="",51.71661="",71.60917=""),"-",(71.60917-51.71661)/992587.42702*100)</f>
        <v>0.0020041116236705243</v>
      </c>
      <c r="G83" s="27">
        <f>IF(OR(905353.79766="",180.4032="",71.60917=""),"-",(180.4032-71.60917)/905353.79766*100)</f>
        <v>0.01201674199425592</v>
      </c>
    </row>
    <row r="84" spans="1:7" ht="15">
      <c r="A84" s="38" t="s">
        <v>243</v>
      </c>
      <c r="B84" s="27">
        <f>IF(177.95744="","-",177.95744)</f>
        <v>177.95744</v>
      </c>
      <c r="C84" s="27" t="str">
        <f>IF(OR(""="",177.95744=""),"-",177.95744/""*100)</f>
        <v>-</v>
      </c>
      <c r="D84" s="27" t="str">
        <f>IF(""="","-",""/905353.79766*100)</f>
        <v>-</v>
      </c>
      <c r="E84" s="27">
        <f>IF(177.95744="","-",177.95744/1028241.56935*100)</f>
        <v>0.0173069680612597</v>
      </c>
      <c r="F84" s="27" t="str">
        <f>IF(OR(992587.42702="",""="",""=""),"-",(""-"")/992587.42702*100)</f>
        <v>-</v>
      </c>
      <c r="G84" s="27" t="str">
        <f>IF(OR(905353.79766="",177.95744="",""=""),"-",(177.95744-"")/905353.79766*100)</f>
        <v>-</v>
      </c>
    </row>
    <row r="85" spans="1:7" ht="15">
      <c r="A85" s="38" t="s">
        <v>115</v>
      </c>
      <c r="B85" s="27">
        <f>IF(170.82949="","-",170.82949)</f>
        <v>170.82949</v>
      </c>
      <c r="C85" s="27">
        <f>IF(OR(256.88377="",170.82949=""),"-",170.82949/256.88377*100)</f>
        <v>66.50069406876112</v>
      </c>
      <c r="D85" s="27">
        <f>IF(256.88377="","-",256.88377/905353.79766*100)</f>
        <v>0.028373854581926778</v>
      </c>
      <c r="E85" s="27">
        <f>IF(170.82949="","-",170.82949/1028241.56935*100)</f>
        <v>0.016613750609984518</v>
      </c>
      <c r="F85" s="27">
        <f>IF(OR(992587.42702="",98.27697="",256.88377=""),"-",(256.88377-98.27697)/992587.42702*100)</f>
        <v>0.01597912644089982</v>
      </c>
      <c r="G85" s="27">
        <f>IF(OR(905353.79766="",170.82949="",256.88377=""),"-",(170.82949-256.88377)/905353.79766*100)</f>
        <v>-0.00950504435088449</v>
      </c>
    </row>
    <row r="86" spans="1:7" ht="15">
      <c r="A86" s="38" t="s">
        <v>165</v>
      </c>
      <c r="B86" s="27">
        <f>IF(164.58614="","-",164.58614)</f>
        <v>164.58614</v>
      </c>
      <c r="C86" s="27">
        <f>IF(OR(194.09148="",164.58614=""),"-",164.58614/194.09148*100)</f>
        <v>84.79823019536974</v>
      </c>
      <c r="D86" s="27">
        <f>IF(194.09148="","-",194.09148/905353.79766*100)</f>
        <v>0.02143819140115761</v>
      </c>
      <c r="E86" s="27">
        <f>IF(164.58614="","-",164.58614/1028241.56935*100)</f>
        <v>0.01600656352612185</v>
      </c>
      <c r="F86" s="27">
        <f>IF(OR(992587.42702="",217.45548="",194.09148=""),"-",(194.09148-217.45548)/992587.42702*100)</f>
        <v>-0.0023538480706072084</v>
      </c>
      <c r="G86" s="27">
        <f>IF(OR(905353.79766="",164.58614="",194.09148=""),"-",(164.58614-194.09148)/905353.79766*100)</f>
        <v>-0.00325898450708002</v>
      </c>
    </row>
    <row r="87" spans="1:7" ht="15">
      <c r="A87" s="38" t="s">
        <v>189</v>
      </c>
      <c r="B87" s="27">
        <f>IF(119.40201="","-",119.40201)</f>
        <v>119.40201</v>
      </c>
      <c r="C87" s="27">
        <f>IF(OR(87.14143="",119.40201=""),"-",119.40201/87.14143*100)</f>
        <v>137.0209439987386</v>
      </c>
      <c r="D87" s="27">
        <f>IF(87.14143="","-",87.14143/905353.79766*100)</f>
        <v>0.009625124478985775</v>
      </c>
      <c r="E87" s="27">
        <f>IF(119.40201="","-",119.40201/1028241.56935*100)</f>
        <v>0.011612252758413535</v>
      </c>
      <c r="F87" s="27">
        <f>IF(OR(992587.42702="",227.77149="",87.14143=""),"-",(87.14143-227.77149)/992587.42702*100)</f>
        <v>-0.014168027538108885</v>
      </c>
      <c r="G87" s="27">
        <f>IF(OR(905353.79766="",119.40201="",87.14143=""),"-",(119.40201-87.14143)/905353.79766*100)</f>
        <v>0.0035633119431742045</v>
      </c>
    </row>
    <row r="88" spans="1:7" ht="15">
      <c r="A88" s="38" t="s">
        <v>206</v>
      </c>
      <c r="B88" s="27">
        <f>IF(116.25016="","-",116.25016)</f>
        <v>116.25016</v>
      </c>
      <c r="C88" s="27" t="s">
        <v>246</v>
      </c>
      <c r="D88" s="27">
        <f>IF(0.2121="","-",0.2121/905353.79766*100)</f>
        <v>2.3427305496282112E-05</v>
      </c>
      <c r="E88" s="27">
        <f>IF(116.25016="","-",116.25016/1028241.56935*100)</f>
        <v>0.011305724594803846</v>
      </c>
      <c r="F88" s="27">
        <f>IF(OR(992587.42702="",27.7076="",0.2121=""),"-",(0.2121-27.7076)/992587.42702*100)</f>
        <v>-0.002770083445701956</v>
      </c>
      <c r="G88" s="27">
        <f>IF(OR(905353.79766="",116.25016="",0.2121=""),"-",(116.25016-0.2121)/905353.79766*100)</f>
        <v>0.012816874497010433</v>
      </c>
    </row>
    <row r="89" spans="1:7" s="35" customFormat="1" ht="15">
      <c r="A89" s="38" t="s">
        <v>148</v>
      </c>
      <c r="B89" s="27">
        <f>IF(94.61353="","-",94.61353)</f>
        <v>94.61353</v>
      </c>
      <c r="C89" s="27">
        <f>IF(OR(2149.98483="",94.61353=""),"-",94.61353/2149.98483*100)</f>
        <v>4.400660352566302</v>
      </c>
      <c r="D89" s="27">
        <f>IF(2149.98483="","-",2149.98483/905353.79766*100)</f>
        <v>0.2374745470286759</v>
      </c>
      <c r="E89" s="27">
        <f>IF(94.61353="","-",94.61353/1028241.56935*100)</f>
        <v>0.009201488523733745</v>
      </c>
      <c r="F89" s="27">
        <f>IF(OR(992587.42702="",264.38789="",2149.98483=""),"-",(2149.98483-264.38789)/992587.42702*100)</f>
        <v>0.18996784451129325</v>
      </c>
      <c r="G89" s="27">
        <f>IF(OR(905353.79766="",94.61353="",2149.98483=""),"-",(94.61353-2149.98483)/905353.79766*100)</f>
        <v>-0.2270240987901485</v>
      </c>
    </row>
    <row r="90" spans="1:7" ht="15">
      <c r="A90" s="38" t="s">
        <v>121</v>
      </c>
      <c r="B90" s="27">
        <f>IF(94.31511="","-",94.31511)</f>
        <v>94.31511</v>
      </c>
      <c r="C90" s="27">
        <f>IF(OR(207.27824="",94.31511=""),"-",94.31511/207.27824*100)</f>
        <v>45.50169376196942</v>
      </c>
      <c r="D90" s="27">
        <f>IF(207.27824="","-",207.27824/905353.79766*100)</f>
        <v>0.022894722542252156</v>
      </c>
      <c r="E90" s="27">
        <f>IF(94.31511="","-",94.31511/1028241.56935*100)</f>
        <v>0.009172466160808985</v>
      </c>
      <c r="F90" s="27">
        <f>IF(OR(992587.42702="",179.23258="",207.27824=""),"-",(207.27824-179.23258)/992587.42702*100)</f>
        <v>0.0028255103013142334</v>
      </c>
      <c r="G90" s="27">
        <f>IF(OR(905353.79766="",94.31511="",207.27824=""),"-",(94.31511-207.27824)/905353.79766*100)</f>
        <v>-0.012477236003424002</v>
      </c>
    </row>
    <row r="91" spans="1:7" ht="15">
      <c r="A91" s="38" t="s">
        <v>168</v>
      </c>
      <c r="B91" s="27">
        <f>IF(93.46454="","-",93.46454)</f>
        <v>93.46454</v>
      </c>
      <c r="C91" s="27" t="s">
        <v>190</v>
      </c>
      <c r="D91" s="27">
        <f>IF(13.3532="","-",13.3532/905353.79766*100)</f>
        <v>0.0014749151143467905</v>
      </c>
      <c r="E91" s="27">
        <f>IF(93.46454="","-",93.46454/1028241.56935*100)</f>
        <v>0.009089745326974413</v>
      </c>
      <c r="F91" s="27" t="str">
        <f>IF(OR(992587.42702="",""="",13.3532=""),"-",(13.3532-"")/992587.42702*100)</f>
        <v>-</v>
      </c>
      <c r="G91" s="27">
        <f>IF(OR(905353.79766="",93.46454="",13.3532=""),"-",(93.46454-13.3532)/905353.79766*100)</f>
        <v>0.008848622517192479</v>
      </c>
    </row>
    <row r="92" spans="1:7" ht="15">
      <c r="A92" s="38" t="s">
        <v>227</v>
      </c>
      <c r="B92" s="27">
        <f>IF(90.46913="","-",90.46913)</f>
        <v>90.46913</v>
      </c>
      <c r="C92" s="27" t="s">
        <v>26</v>
      </c>
      <c r="D92" s="27">
        <f>IF(39.49098="","-",39.49098/905353.79766*100)</f>
        <v>0.0043619389571313855</v>
      </c>
      <c r="E92" s="27">
        <f>IF(90.46913="","-",90.46913/1028241.56935*100)</f>
        <v>0.008798431486988978</v>
      </c>
      <c r="F92" s="27">
        <f>IF(OR(992587.42702="",27.34302="",39.49098=""),"-",(39.49098-27.34302)/992587.42702*100)</f>
        <v>0.0012238680109490474</v>
      </c>
      <c r="G92" s="27">
        <f>IF(OR(905353.79766="",90.46913="",39.49098=""),"-",(90.46913-39.49098)/905353.79766*100)</f>
        <v>0.005630743487436559</v>
      </c>
    </row>
    <row r="93" spans="1:7" ht="15">
      <c r="A93" s="38" t="s">
        <v>174</v>
      </c>
      <c r="B93" s="27">
        <f>IF(68.87555="","-",68.87555)</f>
        <v>68.87555</v>
      </c>
      <c r="C93" s="27">
        <f>IF(OR(136.27003="",68.87555=""),"-",68.87555/136.27003*100)</f>
        <v>50.543432037110435</v>
      </c>
      <c r="D93" s="27">
        <f>IF(136.27003="","-",136.27003/905353.79766*100)</f>
        <v>0.015051577665240585</v>
      </c>
      <c r="E93" s="27">
        <f>IF(68.87555="","-",68.87555/1028241.56935*100)</f>
        <v>0.006698382175264465</v>
      </c>
      <c r="F93" s="27">
        <f>IF(OR(992587.42702="",124.26831="",136.27003=""),"-",(136.27003-124.26831)/992587.42702*100)</f>
        <v>0.0012091347999472661</v>
      </c>
      <c r="G93" s="27">
        <f>IF(OR(905353.79766="",68.87555="",136.27003=""),"-",(68.87555-136.27003)/905353.79766*100)</f>
        <v>-0.007443993737496814</v>
      </c>
    </row>
    <row r="94" spans="1:7" ht="15">
      <c r="A94" s="38" t="s">
        <v>225</v>
      </c>
      <c r="B94" s="27">
        <f>IF(45.4372="","-",45.4372)</f>
        <v>45.4372</v>
      </c>
      <c r="C94" s="27" t="s">
        <v>210</v>
      </c>
      <c r="D94" s="27">
        <f>IF(14.606="","-",14.606/905353.79766*100)</f>
        <v>0.0016132919569952686</v>
      </c>
      <c r="E94" s="27">
        <f>IF(45.4372="","-",45.4372/1028241.56935*100)</f>
        <v>0.004418922688442075</v>
      </c>
      <c r="F94" s="27" t="str">
        <f>IF(OR(992587.42702="",""="",14.606=""),"-",(14.606-"")/992587.42702*100)</f>
        <v>-</v>
      </c>
      <c r="G94" s="27">
        <f>IF(OR(905353.79766="",45.4372="",14.606=""),"-",(45.4372-14.606)/905353.79766*100)</f>
        <v>0.0034054311231351856</v>
      </c>
    </row>
    <row r="95" spans="1:7" ht="15">
      <c r="A95" s="50" t="s">
        <v>28</v>
      </c>
      <c r="B95" s="50"/>
      <c r="C95" s="50"/>
      <c r="D95" s="50"/>
      <c r="E95" s="50"/>
      <c r="F95" s="50"/>
      <c r="G95" s="50"/>
    </row>
  </sheetData>
  <sheetProtection/>
  <mergeCells count="10">
    <mergeCell ref="A95:G95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9"/>
  <sheetViews>
    <sheetView zoomScalePageLayoutView="0" workbookViewId="0" topLeftCell="A1">
      <selection activeCell="K18" sqref="K18"/>
    </sheetView>
  </sheetViews>
  <sheetFormatPr defaultColWidth="9.00390625" defaultRowHeight="15.75"/>
  <cols>
    <col min="1" max="1" width="33.125" style="0" customWidth="1"/>
    <col min="2" max="2" width="11.75390625" style="0" customWidth="1"/>
    <col min="3" max="3" width="9.625" style="0" customWidth="1"/>
    <col min="4" max="4" width="8.25390625" style="0" customWidth="1"/>
    <col min="5" max="5" width="7.375" style="0" customWidth="1"/>
    <col min="6" max="6" width="9.625" style="0" customWidth="1"/>
    <col min="7" max="7" width="10.00390625" style="0" customWidth="1"/>
  </cols>
  <sheetData>
    <row r="1" spans="1:7" ht="15.75">
      <c r="A1" s="65" t="s">
        <v>31</v>
      </c>
      <c r="B1" s="65"/>
      <c r="C1" s="65"/>
      <c r="D1" s="65"/>
      <c r="E1" s="65"/>
      <c r="F1" s="65"/>
      <c r="G1" s="65"/>
    </row>
    <row r="2" ht="15">
      <c r="A2" s="2"/>
    </row>
    <row r="3" spans="1:7" ht="56.25" customHeight="1">
      <c r="A3" s="66"/>
      <c r="B3" s="69" t="s">
        <v>263</v>
      </c>
      <c r="C3" s="70"/>
      <c r="D3" s="69" t="s">
        <v>239</v>
      </c>
      <c r="E3" s="70"/>
      <c r="F3" s="71" t="s">
        <v>222</v>
      </c>
      <c r="G3" s="72"/>
    </row>
    <row r="4" spans="1:7" ht="27" customHeight="1">
      <c r="A4" s="67"/>
      <c r="B4" s="73" t="s">
        <v>219</v>
      </c>
      <c r="C4" s="75" t="s">
        <v>264</v>
      </c>
      <c r="D4" s="77" t="s">
        <v>265</v>
      </c>
      <c r="E4" s="77"/>
      <c r="F4" s="77" t="s">
        <v>265</v>
      </c>
      <c r="G4" s="69"/>
    </row>
    <row r="5" spans="1:7" ht="22.5" customHeight="1">
      <c r="A5" s="68"/>
      <c r="B5" s="74"/>
      <c r="C5" s="76"/>
      <c r="D5" s="18">
        <v>2016</v>
      </c>
      <c r="E5" s="18">
        <v>2017</v>
      </c>
      <c r="F5" s="18" t="s">
        <v>2</v>
      </c>
      <c r="G5" s="19" t="s">
        <v>187</v>
      </c>
    </row>
    <row r="6" spans="1:7" s="3" customFormat="1" ht="13.5">
      <c r="A6" s="7" t="s">
        <v>30</v>
      </c>
      <c r="B6" s="39">
        <f>IF(2181439.02047="","-",2181439.02047)</f>
        <v>2181439.02047</v>
      </c>
      <c r="C6" s="39">
        <f>IF(1868312.11307="","-",2181439.02047/1868312.11307*100)</f>
        <v>116.75988209943529</v>
      </c>
      <c r="D6" s="39">
        <v>100</v>
      </c>
      <c r="E6" s="39">
        <v>100</v>
      </c>
      <c r="F6" s="39">
        <f>IF(1985308.615="","-",(1868312.11307-1985308.615)/1985308.615*100)</f>
        <v>-5.893114100550056</v>
      </c>
      <c r="G6" s="39">
        <f>IF(1868312.11307="","-",(2181439.02047-1868312.11307)/1868312.11307*100)</f>
        <v>16.759882099435277</v>
      </c>
    </row>
    <row r="7" spans="1:7" ht="12.75" customHeight="1">
      <c r="A7" s="8" t="s">
        <v>3</v>
      </c>
      <c r="B7" s="43"/>
      <c r="C7" s="44"/>
      <c r="D7" s="45"/>
      <c r="E7" s="45"/>
      <c r="F7" s="46"/>
      <c r="G7" s="46"/>
    </row>
    <row r="8" spans="1:7" ht="15">
      <c r="A8" s="9" t="s">
        <v>4</v>
      </c>
      <c r="B8" s="26">
        <f>IF(1072861.59393="","-",1072861.59393)</f>
        <v>1072861.59393</v>
      </c>
      <c r="C8" s="26">
        <f>IF(922840.94301="","-",1072861.59393/922840.94301*100)</f>
        <v>116.25639304977979</v>
      </c>
      <c r="D8" s="26">
        <f>IF(922840.94301="","-",922840.94301/1868312.11307*100)</f>
        <v>49.39436706287757</v>
      </c>
      <c r="E8" s="26">
        <f>IF(1072861.59393="","-",1072861.59393/2181439.02047*100)</f>
        <v>49.18136990594619</v>
      </c>
      <c r="F8" s="26">
        <f>IF(1985308.615="","-",(922840.94301-962278.411)/1985308.615*100)</f>
        <v>-1.9864653632201117</v>
      </c>
      <c r="G8" s="26">
        <f>IF(1868312.11307="","-",(1072861.59393-922840.94301)/1868312.11307*100)</f>
        <v>8.029742454192348</v>
      </c>
    </row>
    <row r="9" spans="1:7" s="16" customFormat="1" ht="15">
      <c r="A9" s="38" t="s">
        <v>5</v>
      </c>
      <c r="B9" s="27">
        <f>IF(300243.90388="","-",300243.90388)</f>
        <v>300243.90388</v>
      </c>
      <c r="C9" s="27">
        <f>IF(OR(241854.92739="",300243.90388=""),"-",300243.90388/241854.92739*100)</f>
        <v>124.14214881628011</v>
      </c>
      <c r="D9" s="27">
        <f>IF(241854.92739="","-",241854.92739/1868312.11307*100)</f>
        <v>12.945102999551041</v>
      </c>
      <c r="E9" s="27">
        <f>IF(300243.90388="","-",300243.90388/2181439.02047*100)</f>
        <v>13.763570792609697</v>
      </c>
      <c r="F9" s="27">
        <f>IF(OR(1985308.615="",279244.53294="",241854.92739=""),"-",(241854.92739-279244.53294)/1985308.615*100)</f>
        <v>-1.8833145268953566</v>
      </c>
      <c r="G9" s="27">
        <f>IF(OR(1868312.11307="",300243.90388="",241854.92739=""),"-",(300243.90388-241854.92739)/1868312.11307*100)</f>
        <v>3.1252260305723527</v>
      </c>
    </row>
    <row r="10" spans="1:7" s="16" customFormat="1" ht="15">
      <c r="A10" s="38" t="s">
        <v>7</v>
      </c>
      <c r="B10" s="27">
        <f>IF(173791.02256="","-",173791.02256)</f>
        <v>173791.02256</v>
      </c>
      <c r="C10" s="27">
        <f>IF(OR(150293.38917="",173791.02256=""),"-",173791.02256/150293.38917*100)</f>
        <v>115.63450895596034</v>
      </c>
      <c r="D10" s="27">
        <f>IF(150293.38917="","-",150293.38917/1868312.11307*100)</f>
        <v>8.044340563795776</v>
      </c>
      <c r="E10" s="27">
        <f>IF(173791.02256="","-",173791.02256/2181439.02047*100)</f>
        <v>7.966806357142913</v>
      </c>
      <c r="F10" s="27">
        <f>IF(OR(1985308.615="",161008.87746="",150293.38917=""),"-",(150293.38917-161008.87746)/1985308.615*100)</f>
        <v>-0.5397391724913247</v>
      </c>
      <c r="G10" s="27">
        <f>IF(OR(1868312.11307="",173791.02256="",150293.38917=""),"-",(173791.02256-150293.38917)/1868312.11307*100)</f>
        <v>1.2576931458946023</v>
      </c>
    </row>
    <row r="11" spans="1:7" s="16" customFormat="1" ht="15">
      <c r="A11" s="38" t="s">
        <v>6</v>
      </c>
      <c r="B11" s="27">
        <f>IF(155441.96859="","-",155441.96859)</f>
        <v>155441.96859</v>
      </c>
      <c r="C11" s="27">
        <f>IF(OR(138144.01267="",155441.96859=""),"-",155441.96859/138144.01267*100)</f>
        <v>112.52168341260042</v>
      </c>
      <c r="D11" s="27">
        <f>IF(138144.01267="","-",138144.01267/1868312.11307*100)</f>
        <v>7.394054328695783</v>
      </c>
      <c r="E11" s="27">
        <f>IF(155441.96859="","-",155441.96859/2181439.02047*100)</f>
        <v>7.125661874174663</v>
      </c>
      <c r="F11" s="27">
        <f>IF(OR(1985308.615="",135039.15877="",138144.01267=""),"-",(138144.01267-135039.15877)/1985308.615*100)</f>
        <v>0.1563914988602408</v>
      </c>
      <c r="G11" s="27">
        <f>IF(OR(1868312.11307="",155441.96859="",138144.01267=""),"-",(155441.96859-138144.01267)/1868312.11307*100)</f>
        <v>0.925860074394963</v>
      </c>
    </row>
    <row r="12" spans="1:7" s="16" customFormat="1" ht="15">
      <c r="A12" s="38" t="s">
        <v>8</v>
      </c>
      <c r="B12" s="27">
        <f>IF(69859.12126="","-",69859.12126)</f>
        <v>69859.12126</v>
      </c>
      <c r="C12" s="27">
        <f>IF(OR(56924.75115="",69859.12126=""),"-",69859.12126/56924.75115*100)</f>
        <v>122.72187378723393</v>
      </c>
      <c r="D12" s="27">
        <f>IF(56924.75115="","-",56924.75115/1868312.11307*100)</f>
        <v>3.0468544710370455</v>
      </c>
      <c r="E12" s="27">
        <f>IF(69859.12126="","-",69859.12126/2181439.02047*100)</f>
        <v>3.202432917191908</v>
      </c>
      <c r="F12" s="27">
        <f>IF(OR(1985308.615="",54339.25362="",56924.75115=""),"-",(56924.75115-54339.25362)/1985308.615*100)</f>
        <v>0.1302315171790051</v>
      </c>
      <c r="G12" s="27">
        <f>IF(OR(1868312.11307="",69859.12126="",56924.75115=""),"-",(69859.12126-56924.75115)/1868312.11307*100)</f>
        <v>0.6923024273897319</v>
      </c>
    </row>
    <row r="13" spans="1:7" s="16" customFormat="1" ht="15">
      <c r="A13" s="38" t="s">
        <v>202</v>
      </c>
      <c r="B13" s="27">
        <f>IF(59072.95082="","-",59072.95082)</f>
        <v>59072.95082</v>
      </c>
      <c r="C13" s="27">
        <f>IF(OR(50277.16029="",59072.95082=""),"-",59072.95082/50277.16029*100)</f>
        <v>117.49460486484449</v>
      </c>
      <c r="D13" s="27">
        <f>IF(50277.16029="","-",50277.16029/1868312.11307*100)</f>
        <v>2.6910471723798253</v>
      </c>
      <c r="E13" s="27">
        <f>IF(59072.95082="","-",59072.95082/2181439.02047*100)</f>
        <v>2.7079808450145215</v>
      </c>
      <c r="F13" s="27">
        <f>IF(OR(1985308.615="",45503.55622="",50277.16029=""),"-",(50277.16029-45503.55622)/1985308.615*100)</f>
        <v>0.24044644917838132</v>
      </c>
      <c r="G13" s="27">
        <f>IF(OR(1868312.11307="",59072.95082="",50277.16029=""),"-",(59072.95082-50277.16029)/1868312.11307*100)</f>
        <v>0.47078806953442087</v>
      </c>
    </row>
    <row r="14" spans="1:7" s="16" customFormat="1" ht="15">
      <c r="A14" s="38" t="s">
        <v>126</v>
      </c>
      <c r="B14" s="27">
        <f>IF(45191.89129="","-",45191.89129)</f>
        <v>45191.89129</v>
      </c>
      <c r="C14" s="27">
        <f>IF(OR(37365.60683="",45191.89129=""),"-",45191.89129/37365.60683*100)</f>
        <v>120.94515551589132</v>
      </c>
      <c r="D14" s="27">
        <f>IF(37365.60683="","-",37365.60683/1868312.11307*100)</f>
        <v>1.9999659890124593</v>
      </c>
      <c r="E14" s="27">
        <f>IF(45191.89129="","-",45191.89129/2181439.02047*100)</f>
        <v>2.07165503440308</v>
      </c>
      <c r="F14" s="27">
        <f>IF(OR(1985308.615="",33432.09509="",37365.60683=""),"-",(37365.60683-33432.09509)/1985308.615*100)</f>
        <v>0.19813099637408232</v>
      </c>
      <c r="G14" s="27">
        <f>IF(OR(1868312.11307="",45191.89129="",37365.60683=""),"-",(45191.89129-37365.60683)/1868312.11307*100)</f>
        <v>0.4188959866635931</v>
      </c>
    </row>
    <row r="15" spans="1:7" s="16" customFormat="1" ht="15">
      <c r="A15" s="38" t="s">
        <v>11</v>
      </c>
      <c r="B15" s="27">
        <f>IF(35566.9506="","-",35566.9506)</f>
        <v>35566.9506</v>
      </c>
      <c r="C15" s="27">
        <f>IF(OR(36244.28488="",35566.9506=""),"-",35566.9506/36244.28488*100)</f>
        <v>98.13119700873513</v>
      </c>
      <c r="D15" s="27">
        <f>IF(36244.28488="","-",36244.28488/1868312.11307*100)</f>
        <v>1.939948075401791</v>
      </c>
      <c r="E15" s="27">
        <f>IF(35566.9506="","-",35566.9506/2181439.02047*100)</f>
        <v>1.630435243261439</v>
      </c>
      <c r="F15" s="27">
        <f>IF(OR(1985308.615="",44712.16774="",36244.28488=""),"-",(36244.28488-44712.16774)/1985308.615*100)</f>
        <v>-0.42652728125093026</v>
      </c>
      <c r="G15" s="27">
        <f>IF(OR(1868312.11307="",35566.9506="",36244.28488=""),"-",(35566.9506-36244.28488)/1868312.11307*100)</f>
        <v>-0.036253807662094045</v>
      </c>
    </row>
    <row r="16" spans="1:7" s="16" customFormat="1" ht="15">
      <c r="A16" s="38" t="s">
        <v>9</v>
      </c>
      <c r="B16" s="27">
        <f>IF(31878.79144="","-",31878.79144)</f>
        <v>31878.79144</v>
      </c>
      <c r="C16" s="27">
        <f>IF(OR(27299.09046="",31878.79144=""),"-",31878.79144/27299.09046*100)</f>
        <v>116.77602038320805</v>
      </c>
      <c r="D16" s="27">
        <f>IF(27299.09046="","-",27299.09046/1868312.11307*100)</f>
        <v>1.4611632750773258</v>
      </c>
      <c r="E16" s="27">
        <f>IF(31878.79144="","-",31878.79144/2181439.02047*100)</f>
        <v>1.4613652337222605</v>
      </c>
      <c r="F16" s="27">
        <f>IF(OR(1985308.615="",34611.73502="",27299.09046=""),"-",(27299.09046-34611.73502)/1985308.615*100)</f>
        <v>-0.36833792513412333</v>
      </c>
      <c r="G16" s="27">
        <f>IF(OR(1868312.11307="",31878.79144="",27299.09046=""),"-",(31878.79144-27299.09046)/1868312.11307*100)</f>
        <v>0.24512504885892233</v>
      </c>
    </row>
    <row r="17" spans="1:7" s="16" customFormat="1" ht="15">
      <c r="A17" s="38" t="s">
        <v>10</v>
      </c>
      <c r="B17" s="27">
        <f>IF(29595.81654="","-",29595.81654)</f>
        <v>29595.81654</v>
      </c>
      <c r="C17" s="27">
        <f>IF(OR(25635.93854="",29595.81654=""),"-",29595.81654/25635.93854*100)</f>
        <v>115.44658875594263</v>
      </c>
      <c r="D17" s="27">
        <f>IF(25635.93854="","-",25635.93854/1868312.11307*100)</f>
        <v>1.3721443200341494</v>
      </c>
      <c r="E17" s="27">
        <f>IF(29595.81654="","-",29595.81654/2181439.02047*100)</f>
        <v>1.3567106970344494</v>
      </c>
      <c r="F17" s="27">
        <f>IF(OR(1985308.615="",22122.99214="",25635.93854=""),"-",(25635.93854-22122.99214)/1985308.615*100)</f>
        <v>0.17694711912585948</v>
      </c>
      <c r="G17" s="27">
        <f>IF(OR(1868312.11307="",29595.81654="",25635.93854=""),"-",(29595.81654-25635.93854)/1868312.11307*100)</f>
        <v>0.21194949025370025</v>
      </c>
    </row>
    <row r="18" spans="1:7" s="16" customFormat="1" ht="15">
      <c r="A18" s="38" t="s">
        <v>124</v>
      </c>
      <c r="B18" s="27">
        <f>IF(29395.3551="","-",29395.3551)</f>
        <v>29395.3551</v>
      </c>
      <c r="C18" s="27">
        <f>IF(OR(25858.82135="",29395.3551=""),"-",29395.3551/25858.82135*100)</f>
        <v>113.67631456257384</v>
      </c>
      <c r="D18" s="27">
        <f>IF(25858.82135="","-",25858.82135/1868312.11307*100)</f>
        <v>1.384073954726383</v>
      </c>
      <c r="E18" s="27">
        <f>IF(29395.3551="","-",29395.3551/2181439.02047*100)</f>
        <v>1.3475212840772717</v>
      </c>
      <c r="F18" s="27">
        <f>IF(OR(1985308.615="",21918.47868="",25858.82135=""),"-",(25858.82135-21918.47868)/1985308.615*100)</f>
        <v>0.1984750703356011</v>
      </c>
      <c r="G18" s="27">
        <f>IF(OR(1868312.11307="",29395.3551="",25858.82135=""),"-",(29395.3551-25858.82135)/1868312.11307*100)</f>
        <v>0.18929030782703593</v>
      </c>
    </row>
    <row r="19" spans="1:7" s="16" customFormat="1" ht="26.25">
      <c r="A19" s="38" t="s">
        <v>211</v>
      </c>
      <c r="B19" s="27">
        <f>IF(28350.55451="","-",28350.55451)</f>
        <v>28350.55451</v>
      </c>
      <c r="C19" s="27">
        <f>IF(OR(30560.07231="",28350.55451=""),"-",28350.55451/30560.07231*100)</f>
        <v>92.76991959447363</v>
      </c>
      <c r="D19" s="27">
        <f>IF(30560.07231="","-",30560.07231/1868312.11307*100)</f>
        <v>1.6357048748018799</v>
      </c>
      <c r="E19" s="27">
        <f>IF(28350.55451="","-",28350.55451/2181439.02047*100)</f>
        <v>1.2996262670634617</v>
      </c>
      <c r="F19" s="27">
        <f>IF(OR(1985308.615="",25994.57859="",30560.07231=""),"-",(30560.07231-25994.57859)/1985308.615*100)</f>
        <v>0.22996393031820891</v>
      </c>
      <c r="G19" s="27">
        <f>IF(OR(1868312.11307="",28350.55451="",30560.07231=""),"-",(28350.55451-30560.07231)/1868312.11307*100)</f>
        <v>-0.11826277764529025</v>
      </c>
    </row>
    <row r="20" spans="1:7" s="16" customFormat="1" ht="15">
      <c r="A20" s="38" t="s">
        <v>13</v>
      </c>
      <c r="B20" s="27">
        <f>IF(22513.55893="","-",22513.55893)</f>
        <v>22513.55893</v>
      </c>
      <c r="C20" s="27">
        <f>IF(OR(19562.4412="",22513.55893=""),"-",22513.55893/19562.4412*100)</f>
        <v>115.08563118390356</v>
      </c>
      <c r="D20" s="27">
        <f>IF(19562.4412="","-",19562.4412/1868312.11307*100)</f>
        <v>1.0470649450457776</v>
      </c>
      <c r="E20" s="27">
        <f>IF(22513.55893="","-",22513.55893/2181439.02047*100)</f>
        <v>1.032050803104703</v>
      </c>
      <c r="F20" s="27">
        <f>IF(OR(1985308.615="",22374.25652="",19562.4412=""),"-",(19562.4412-22374.25652)/1985308.615*100)</f>
        <v>-0.1416311448384058</v>
      </c>
      <c r="G20" s="27">
        <f>IF(OR(1868312.11307="",22513.55893="",19562.4412=""),"-",(22513.55893-19562.4412)/1868312.11307*100)</f>
        <v>0.15795635586554851</v>
      </c>
    </row>
    <row r="21" spans="1:7" s="16" customFormat="1" ht="15">
      <c r="A21" s="38" t="s">
        <v>125</v>
      </c>
      <c r="B21" s="27">
        <f>IF(17638.07149="","-",17638.07149)</f>
        <v>17638.07149</v>
      </c>
      <c r="C21" s="27">
        <f>IF(OR(16433.26392="",17638.07149=""),"-",17638.07149/16433.26392*100)</f>
        <v>107.33151719503327</v>
      </c>
      <c r="D21" s="27">
        <f>IF(16433.26392="","-",16433.26392/1868312.11307*100)</f>
        <v>0.8795780857512588</v>
      </c>
      <c r="E21" s="27">
        <f>IF(17638.07149="","-",17638.07149/2181439.02047*100)</f>
        <v>0.808552121993298</v>
      </c>
      <c r="F21" s="27">
        <f>IF(OR(1985308.615="",17517.59291="",16433.26392=""),"-",(16433.26392-17517.59291)/1985308.615*100)</f>
        <v>-0.05461765399129133</v>
      </c>
      <c r="G21" s="27">
        <f>IF(OR(1868312.11307="",17638.07149="",16433.26392=""),"-",(17638.07149-16433.26392)/1868312.11307*100)</f>
        <v>0.06448641860059796</v>
      </c>
    </row>
    <row r="22" spans="1:7" s="16" customFormat="1" ht="15">
      <c r="A22" s="38" t="s">
        <v>12</v>
      </c>
      <c r="B22" s="27">
        <f>IF(10628.0025="","-",10628.0025)</f>
        <v>10628.0025</v>
      </c>
      <c r="C22" s="27">
        <f>IF(OR(8920.48787="",10628.0025=""),"-",10628.0025/8920.48787*100)</f>
        <v>119.14149377123697</v>
      </c>
      <c r="D22" s="27">
        <f>IF(8920.48787="","-",8920.48787/1868312.11307*100)</f>
        <v>0.47746240082669617</v>
      </c>
      <c r="E22" s="27">
        <f>IF(10628.0025="","-",10628.0025/2181439.02047*100)</f>
        <v>0.4872014482307259</v>
      </c>
      <c r="F22" s="27">
        <f>IF(OR(1985308.615="",10455.39837="",8920.48787=""),"-",(8920.48787-10455.39837)/1985308.615*100)</f>
        <v>-0.07731344579895454</v>
      </c>
      <c r="G22" s="27">
        <f>IF(OR(1868312.11307="",10628.0025="",8920.48787=""),"-",(10628.0025-8920.48787)/1868312.11307*100)</f>
        <v>0.09139343571424055</v>
      </c>
    </row>
    <row r="23" spans="1:7" s="16" customFormat="1" ht="15">
      <c r="A23" s="38" t="s">
        <v>128</v>
      </c>
      <c r="B23" s="27">
        <f>IF(10382.60058="","-",10382.60058)</f>
        <v>10382.60058</v>
      </c>
      <c r="C23" s="27">
        <f>IF(OR(7529.14659="",10382.60058=""),"-",10382.60058/7529.14659*100)</f>
        <v>137.89877054313004</v>
      </c>
      <c r="D23" s="27">
        <f>IF(7529.14659="","-",7529.14659/1868312.11307*100)</f>
        <v>0.4029919057596939</v>
      </c>
      <c r="E23" s="27">
        <f>IF(10382.60058="","-",10382.60058/2181439.02047*100)</f>
        <v>0.47595190525944786</v>
      </c>
      <c r="F23" s="27">
        <f>IF(OR(1985308.615="",7042.25027="",7529.14659=""),"-",(7529.14659-7042.25027)/1985308.615*100)</f>
        <v>0.024524968879964325</v>
      </c>
      <c r="G23" s="27">
        <f>IF(OR(1868312.11307="",10382.60058="",7529.14659=""),"-",(10382.60058-7529.14659)/1868312.11307*100)</f>
        <v>0.15272897767125324</v>
      </c>
    </row>
    <row r="24" spans="1:7" s="16" customFormat="1" ht="15">
      <c r="A24" s="38" t="s">
        <v>134</v>
      </c>
      <c r="B24" s="27">
        <f>IF(8399.03573="","-",8399.03573)</f>
        <v>8399.03573</v>
      </c>
      <c r="C24" s="27">
        <f>IF(OR(9021.6219="",8399.03573=""),"-",8399.03573/9021.6219*100)</f>
        <v>93.09895518897771</v>
      </c>
      <c r="D24" s="27">
        <f>IF(9021.6219="","-",9021.6219/1868312.11307*100)</f>
        <v>0.4828755236819464</v>
      </c>
      <c r="E24" s="27">
        <f>IF(8399.03573="","-",8399.03573/2181439.02047*100)</f>
        <v>0.3850227144185948</v>
      </c>
      <c r="F24" s="27">
        <f>IF(OR(1985308.615="",7357.95951="",9021.6219=""),"-",(9021.6219-7357.95951)/1985308.615*100)</f>
        <v>0.08379867882656623</v>
      </c>
      <c r="G24" s="27">
        <f>IF(OR(1868312.11307="",8399.03573="",9021.6219=""),"-",(8399.03573-9021.6219)/1868312.11307*100)</f>
        <v>-0.03332345627074967</v>
      </c>
    </row>
    <row r="25" spans="1:7" s="16" customFormat="1" ht="15">
      <c r="A25" s="38" t="s">
        <v>136</v>
      </c>
      <c r="B25" s="27">
        <f>IF(8311.37004="","-",8311.37004)</f>
        <v>8311.37004</v>
      </c>
      <c r="C25" s="27">
        <f>IF(OR(6523.43505="",8311.37004=""),"-",8311.37004/6523.43505*100)</f>
        <v>127.40787600851486</v>
      </c>
      <c r="D25" s="27">
        <f>IF(6523.43505="","-",6523.43505/1868312.11307*100)</f>
        <v>0.3491619523507091</v>
      </c>
      <c r="E25" s="27">
        <f>IF(8311.37004="","-",8311.37004/2181439.02047*100)</f>
        <v>0.3810040052464671</v>
      </c>
      <c r="F25" s="27">
        <f>IF(OR(1985308.615="",8567.81997="",6523.43505=""),"-",(6523.43505-8567.81997)/1985308.615*100)</f>
        <v>-0.10297567363349201</v>
      </c>
      <c r="G25" s="27">
        <f>IF(OR(1868312.11307="",8311.37004="",6523.43505=""),"-",(8311.37004-6523.43505)/1868312.11307*100)</f>
        <v>0.0956978749691921</v>
      </c>
    </row>
    <row r="26" spans="1:7" s="16" customFormat="1" ht="15">
      <c r="A26" s="38" t="s">
        <v>132</v>
      </c>
      <c r="B26" s="27">
        <f>IF(7067.89353="","-",7067.89353)</f>
        <v>7067.89353</v>
      </c>
      <c r="C26" s="27">
        <f>IF(OR(5414.31649="",7067.89353=""),"-",7067.89353/5414.31649*100)</f>
        <v>130.54082713956754</v>
      </c>
      <c r="D26" s="27">
        <f>IF(5414.31649="","-",5414.31649/1868312.11307*100)</f>
        <v>0.2897972160070849</v>
      </c>
      <c r="E26" s="27">
        <f>IF(7067.89353="","-",7067.89353/2181439.02047*100)</f>
        <v>0.3240014258329896</v>
      </c>
      <c r="F26" s="27">
        <f>IF(OR(1985308.615="",7369.22436="",5414.31649=""),"-",(5414.31649-7369.22436)/1985308.615*100)</f>
        <v>-0.09846871439682943</v>
      </c>
      <c r="G26" s="27">
        <f>IF(OR(1868312.11307="",7067.89353="",5414.31649=""),"-",(7067.89353-5414.31649)/1868312.11307*100)</f>
        <v>0.08850646679600292</v>
      </c>
    </row>
    <row r="27" spans="1:7" s="16" customFormat="1" ht="15">
      <c r="A27" s="38" t="s">
        <v>133</v>
      </c>
      <c r="B27" s="27">
        <f>IF(6194.66348="","-",6194.66348)</f>
        <v>6194.66348</v>
      </c>
      <c r="C27" s="27">
        <f>IF(OR(5336.42507="",6194.66348=""),"-",6194.66348/5336.42507*100)</f>
        <v>116.08264706694365</v>
      </c>
      <c r="D27" s="27">
        <f>IF(5336.42507="","-",5336.42507/1868312.11307*100)</f>
        <v>0.2856281363626775</v>
      </c>
      <c r="E27" s="27">
        <f>IF(6194.66348="","-",6194.66348/2181439.02047*100)</f>
        <v>0.2839714253697238</v>
      </c>
      <c r="F27" s="27">
        <f>IF(OR(1985308.615="",5582.80331="",5336.42507=""),"-",(5336.42507-5582.80331)/1985308.615*100)</f>
        <v>-0.012410072577053718</v>
      </c>
      <c r="G27" s="27">
        <f>IF(OR(1868312.11307="",6194.66348="",5336.42507=""),"-",(6194.66348-5336.42507)/1868312.11307*100)</f>
        <v>0.045936565095097914</v>
      </c>
    </row>
    <row r="28" spans="1:7" s="16" customFormat="1" ht="15">
      <c r="A28" s="38" t="s">
        <v>127</v>
      </c>
      <c r="B28" s="27">
        <f>IF(5928.33904="","-",5928.33904)</f>
        <v>5928.33904</v>
      </c>
      <c r="C28" s="27">
        <f>IF(OR(6700.77912="",5928.33904=""),"-",5928.33904/6700.77912*100)</f>
        <v>88.47238408897144</v>
      </c>
      <c r="D28" s="27">
        <f>IF(6700.77912="","-",6700.77912/1868312.11307*100)</f>
        <v>0.3586541602510577</v>
      </c>
      <c r="E28" s="27">
        <f>IF(5928.33904="","-",5928.33904/2181439.02047*100)</f>
        <v>0.2717627668878278</v>
      </c>
      <c r="F28" s="27">
        <f>IF(OR(1985308.615="",3605.42378="",6700.77912=""),"-",(6700.77912-3605.42378)/1985308.615*100)</f>
        <v>0.15591305636882052</v>
      </c>
      <c r="G28" s="27">
        <f>IF(OR(1868312.11307="",5928.33904="",6700.77912=""),"-",(5928.33904-6700.77912)/1868312.11307*100)</f>
        <v>-0.041344274042666836</v>
      </c>
    </row>
    <row r="29" spans="1:7" s="16" customFormat="1" ht="15">
      <c r="A29" s="38" t="s">
        <v>135</v>
      </c>
      <c r="B29" s="27">
        <f>IF(5762.36767="","-",5762.36767)</f>
        <v>5762.36767</v>
      </c>
      <c r="C29" s="27">
        <f>IF(OR(6231.82306="",5762.36767=""),"-",5762.36767/6231.82306*100)</f>
        <v>92.46680489031728</v>
      </c>
      <c r="D29" s="27">
        <f>IF(6231.82306="","-",6231.82306/1868312.11307*100)</f>
        <v>0.3335536400157414</v>
      </c>
      <c r="E29" s="27">
        <f>IF(5762.36767="","-",5762.36767/2181439.02047*100)</f>
        <v>0.2641544235675437</v>
      </c>
      <c r="F29" s="27">
        <f>IF(OR(1985308.615="",2725.42009="",6231.82306=""),"-",(6231.82306-2725.42009)/1985308.615*100)</f>
        <v>0.17661752654007395</v>
      </c>
      <c r="G29" s="27">
        <f>IF(OR(1868312.11307="",5762.36767="",6231.82306=""),"-",(5762.36767-6231.82306)/1868312.11307*100)</f>
        <v>-0.02512724649783454</v>
      </c>
    </row>
    <row r="30" spans="1:7" s="16" customFormat="1" ht="15">
      <c r="A30" s="38" t="s">
        <v>129</v>
      </c>
      <c r="B30" s="27">
        <f>IF(3401.25748="","-",3401.25748)</f>
        <v>3401.25748</v>
      </c>
      <c r="C30" s="27">
        <f>IF(OR(4001.64375="",3401.25748=""),"-",3401.25748/4001.64375*100)</f>
        <v>84.99650874718671</v>
      </c>
      <c r="D30" s="27">
        <f>IF(4001.64375="","-",4001.64375/1868312.11307*100)</f>
        <v>0.21418497059490352</v>
      </c>
      <c r="E30" s="27">
        <f>IF(3401.25748="","-",3401.25748/2181439.02047*100)</f>
        <v>0.1559180636306389</v>
      </c>
      <c r="F30" s="27">
        <f>IF(OR(1985308.615="",3766.36407="",4001.64375=""),"-",(4001.64375-3766.36407)/1985308.615*100)</f>
        <v>0.011851038081552882</v>
      </c>
      <c r="G30" s="27">
        <f>IF(OR(1868312.11307="",3401.25748="",4001.64375=""),"-",(3401.25748-4001.64375)/1868312.11307*100)</f>
        <v>-0.03213522332804708</v>
      </c>
    </row>
    <row r="31" spans="1:7" s="16" customFormat="1" ht="15">
      <c r="A31" s="38" t="s">
        <v>137</v>
      </c>
      <c r="B31" s="27">
        <f>IF(2919.80039="","-",2919.80039)</f>
        <v>2919.80039</v>
      </c>
      <c r="C31" s="27">
        <f>IF(OR(2430.04229="",2919.80039=""),"-",2919.80039/2430.04229*100)</f>
        <v>120.15430356975392</v>
      </c>
      <c r="D31" s="27">
        <f>IF(2430.04229="","-",2430.04229/1868312.11307*100)</f>
        <v>0.13006618503409306</v>
      </c>
      <c r="E31" s="27">
        <f>IF(2919.80039="","-",2919.80039/2181439.02047*100)</f>
        <v>0.13384744485641945</v>
      </c>
      <c r="F31" s="27">
        <f>IF(OR(1985308.615="",2777.50479="",2430.04229=""),"-",(2430.04229-2777.50479)/1985308.615*100)</f>
        <v>-0.017501687011014157</v>
      </c>
      <c r="G31" s="27">
        <f>IF(OR(1868312.11307="",2919.80039="",2430.04229=""),"-",(2919.80039-2430.04229)/1868312.11307*100)</f>
        <v>0.026213933773368957</v>
      </c>
    </row>
    <row r="32" spans="1:7" s="16" customFormat="1" ht="15">
      <c r="A32" s="38" t="s">
        <v>130</v>
      </c>
      <c r="B32" s="27">
        <f>IF(2430.86959="","-",2430.86959)</f>
        <v>2430.86959</v>
      </c>
      <c r="C32" s="27">
        <f>IF(OR(2074.01853="",2430.86959=""),"-",2430.86959/2074.01853*100)</f>
        <v>117.20577973813957</v>
      </c>
      <c r="D32" s="27">
        <f>IF(2074.01853="","-",2074.01853/1868312.11307*100)</f>
        <v>0.1110102811779122</v>
      </c>
      <c r="E32" s="27">
        <f>IF(2430.86959="","-",2430.86959/2181439.02047*100)</f>
        <v>0.11143422150192671</v>
      </c>
      <c r="F32" s="27">
        <f>IF(OR(1985308.615="",3299.08034="",2074.01853=""),"-",(2074.01853-3299.08034)/1985308.615*100)</f>
        <v>-0.06170636649355396</v>
      </c>
      <c r="G32" s="27">
        <f>IF(OR(1868312.11307="",2430.86959="",2074.01853=""),"-",(2430.86959-2074.01853)/1868312.11307*100)</f>
        <v>0.019100184466160974</v>
      </c>
    </row>
    <row r="33" spans="1:7" s="16" customFormat="1" ht="15">
      <c r="A33" s="38" t="s">
        <v>138</v>
      </c>
      <c r="B33" s="27">
        <f>IF(1178.75189="","-",1178.75189)</f>
        <v>1178.75189</v>
      </c>
      <c r="C33" s="27">
        <f>IF(OR(936.40606="",1178.75189=""),"-",1178.75189/936.40606*100)</f>
        <v>125.88042093619087</v>
      </c>
      <c r="D33" s="27">
        <f>IF(936.40606="","-",936.40606/1868312.11307*100)</f>
        <v>0.0501204297424001</v>
      </c>
      <c r="E33" s="27">
        <f>IF(1178.75189="","-",1178.75189/2181439.02047*100)</f>
        <v>0.05403551870755631</v>
      </c>
      <c r="F33" s="27">
        <f>IF(OR(1985308.615="",816.93436="",936.40606=""),"-",(936.40606-816.93436)/1985308.615*100)</f>
        <v>0.006017789833647605</v>
      </c>
      <c r="G33" s="27">
        <f>IF(OR(1868312.11307="",1178.75189="",936.40606=""),"-",(1178.75189-936.40606)/1868312.11307*100)</f>
        <v>0.012971378192360945</v>
      </c>
    </row>
    <row r="34" spans="1:7" s="16" customFormat="1" ht="15">
      <c r="A34" s="38" t="s">
        <v>203</v>
      </c>
      <c r="B34" s="27">
        <f>IF(1014.39371="","-",1014.39371)</f>
        <v>1014.39371</v>
      </c>
      <c r="C34" s="27">
        <f>IF(OR(712.64625="",1014.39371=""),"-",1014.39371/712.64625*100)</f>
        <v>142.34182948412345</v>
      </c>
      <c r="D34" s="27">
        <f>IF(712.64625="","-",712.64625/1868312.11307*100)</f>
        <v>0.03814385428508429</v>
      </c>
      <c r="E34" s="27">
        <f>IF(1014.39371="","-",1014.39371/2181439.02047*100)</f>
        <v>0.04650112611359839</v>
      </c>
      <c r="F34" s="27">
        <f>IF(OR(1985308.615="",567.51511="",712.64625=""),"-",(712.64625-567.51511)/1985308.615*100)</f>
        <v>0.007310255891878047</v>
      </c>
      <c r="G34" s="27">
        <f>IF(OR(1868312.11307="",1014.39371="",712.64625=""),"-",(1014.39371-712.64625)/1868312.11307*100)</f>
        <v>0.0161508057400629</v>
      </c>
    </row>
    <row r="35" spans="1:7" s="16" customFormat="1" ht="15">
      <c r="A35" s="38" t="s">
        <v>131</v>
      </c>
      <c r="B35" s="27">
        <f>IF(481.69201="","-",481.69201)</f>
        <v>481.69201</v>
      </c>
      <c r="C35" s="27">
        <f>IF(OR(339.66915="",481.69201=""),"-",481.69201/339.66915*100)</f>
        <v>141.81211629021945</v>
      </c>
      <c r="D35" s="27">
        <f>IF(339.66915="","-",339.66915/1868312.11307*100)</f>
        <v>0.018180535662312737</v>
      </c>
      <c r="E35" s="27">
        <f>IF(481.69201="","-",481.69201/2181439.02047*100)</f>
        <v>0.022081387812354133</v>
      </c>
      <c r="F35" s="27">
        <f>IF(OR(1985308.615="",402.62008="",339.66915=""),"-",(339.66915-402.62008)/1985308.615*100)</f>
        <v>-0.003170838504622113</v>
      </c>
      <c r="G35" s="27">
        <f>IF(OR(1868312.11307="",481.69201="",339.66915=""),"-",(481.69201-339.66915)/1868312.11307*100)</f>
        <v>0.007601666713311023</v>
      </c>
    </row>
    <row r="36" spans="1:7" s="16" customFormat="1" ht="15">
      <c r="A36" s="38" t="s">
        <v>139</v>
      </c>
      <c r="B36" s="27">
        <f>IF(220.59928="","-",220.59928)</f>
        <v>220.59928</v>
      </c>
      <c r="C36" s="27">
        <f>IF(OR(214.72167="",220.59928=""),"-",220.59928/214.72167*100)</f>
        <v>102.73731570735269</v>
      </c>
      <c r="D36" s="27">
        <f>IF(214.72167="","-",214.72167/1868312.11307*100)</f>
        <v>0.011492815814760764</v>
      </c>
      <c r="E36" s="27">
        <f>IF(220.59928="","-",220.59928/2181439.02047*100)</f>
        <v>0.010112557716716326</v>
      </c>
      <c r="F36" s="27">
        <f>IF(OR(1985308.615="",122.81689="",214.72167=""),"-",(214.72167-122.81689)/1985308.615*100)</f>
        <v>0.004629244002953163</v>
      </c>
      <c r="G36" s="27">
        <f>IF(OR(1868312.11307="",220.59928="",214.72167=""),"-",(220.59928-214.72167)/1868312.11307*100)</f>
        <v>0.00031459465251456025</v>
      </c>
    </row>
    <row r="37" spans="1:7" s="16" customFormat="1" ht="15">
      <c r="A37" s="15" t="s">
        <v>14</v>
      </c>
      <c r="B37" s="26">
        <f>IF(542807.19234="","-",542807.19234)</f>
        <v>542807.19234</v>
      </c>
      <c r="C37" s="26">
        <f>IF(472561.9397="","-",542807.19234/472561.9397*100)</f>
        <v>114.86477152277526</v>
      </c>
      <c r="D37" s="26">
        <f>IF(472561.9397="","-",472561.9397/1868312.11307*100)</f>
        <v>25.293522232936173</v>
      </c>
      <c r="E37" s="26">
        <f>IF(542807.19234="","-",542807.19234/2181439.02047*100)</f>
        <v>24.882987204613674</v>
      </c>
      <c r="F37" s="26">
        <f>IF(1985308.615="","-",(472561.9397-507123.96541)/1985308.615*100)</f>
        <v>-1.7408893231443523</v>
      </c>
      <c r="G37" s="26">
        <f>IF(1868312.11307="","-",(542807.19234-472561.9397)/1868312.11307*100)</f>
        <v>3.7598242899883236</v>
      </c>
    </row>
    <row r="38" spans="1:7" s="16" customFormat="1" ht="15">
      <c r="A38" s="38" t="s">
        <v>212</v>
      </c>
      <c r="B38" s="27">
        <f>IF(261532.62008="","-",261532.62008)</f>
        <v>261532.62008</v>
      </c>
      <c r="C38" s="27">
        <f>IF(OR(251849.82979="",261532.62008=""),"-",261532.62008/251849.82979*100)</f>
        <v>103.84466818900526</v>
      </c>
      <c r="D38" s="27">
        <f>IF(251849.82979="","-",251849.82979/1868312.11307*100)</f>
        <v>13.480072629629413</v>
      </c>
      <c r="E38" s="27">
        <f>IF(261532.62008="","-",261532.62008/2181439.02047*100)</f>
        <v>11.98899522864736</v>
      </c>
      <c r="F38" s="27">
        <f>IF(OR(1985308.615="",289944.85295="",251849.82979=""),"-",(251849.82979-289944.85295)/1985308.615*100)</f>
        <v>-1.9188464137098393</v>
      </c>
      <c r="G38" s="27">
        <f>IF(OR(1868312.11307="",261532.62008="",251849.82979=""),"-",(261532.62008-251849.82979)/1868312.11307*100)</f>
        <v>0.5182640642461659</v>
      </c>
    </row>
    <row r="39" spans="1:7" s="16" customFormat="1" ht="15">
      <c r="A39" s="38" t="s">
        <v>16</v>
      </c>
      <c r="B39" s="27">
        <f>IF(224670.81343="","-",224670.81343)</f>
        <v>224670.81343</v>
      </c>
      <c r="C39" s="27">
        <f>IF(OR(171342.32326="",224670.81343=""),"-",224670.81343/171342.32326*100)</f>
        <v>131.1239448347375</v>
      </c>
      <c r="D39" s="27">
        <f>IF(171342.32326="","-",171342.32326/1868312.11307*100)</f>
        <v>9.170968922234907</v>
      </c>
      <c r="E39" s="27">
        <f>IF(224670.81343="","-",224670.81343/2181439.02047*100)</f>
        <v>10.299202101078846</v>
      </c>
      <c r="F39" s="27">
        <f>IF(OR(1985308.615="",168616.43917="",171342.32326=""),"-",(171342.32326-168616.43917)/1985308.615*100)</f>
        <v>0.13730278856418537</v>
      </c>
      <c r="G39" s="27">
        <f>IF(OR(1868312.11307="",224670.81343="",171342.32326=""),"-",(224670.81343-171342.32326)/1868312.11307*100)</f>
        <v>2.8543673081673133</v>
      </c>
    </row>
    <row r="40" spans="1:7" s="16" customFormat="1" ht="15">
      <c r="A40" s="38" t="s">
        <v>15</v>
      </c>
      <c r="B40" s="27">
        <f>IF(53304.67259="","-",53304.67259)</f>
        <v>53304.67259</v>
      </c>
      <c r="C40" s="27">
        <f>IF(OR(45537.24843="",53304.67259=""),"-",53304.67259/45537.24843*100)</f>
        <v>117.05729798747086</v>
      </c>
      <c r="D40" s="27">
        <f>IF(45537.24843="","-",45537.24843/1868312.11307*100)</f>
        <v>2.4373469567230632</v>
      </c>
      <c r="E40" s="27">
        <f>IF(53304.67259="","-",53304.67259/2181439.02047*100)</f>
        <v>2.4435554736943916</v>
      </c>
      <c r="F40" s="27">
        <f>IF(OR(1985308.615="",34249.89935="",45537.24843=""),"-",(45537.24843-34249.89935)/1985308.615*100)</f>
        <v>0.5685438019418457</v>
      </c>
      <c r="G40" s="27">
        <f>IF(OR(1868312.11307="",53304.67259="",45537.24843=""),"-",(53304.67259-45537.24843)/1868312.11307*100)</f>
        <v>0.41574553339680564</v>
      </c>
    </row>
    <row r="41" spans="1:7" s="16" customFormat="1" ht="15">
      <c r="A41" s="38" t="s">
        <v>19</v>
      </c>
      <c r="B41" s="27">
        <f>IF(2074.78415="","-",2074.78415)</f>
        <v>2074.78415</v>
      </c>
      <c r="C41" s="27" t="s">
        <v>217</v>
      </c>
      <c r="D41" s="27">
        <f>IF(1288.0152="","-",1288.0152/1868312.11307*100)</f>
        <v>0.06894004438495775</v>
      </c>
      <c r="E41" s="27">
        <f>IF(2074.78415="","-",2074.78415/2181439.02047*100)</f>
        <v>0.09511080211414662</v>
      </c>
      <c r="F41" s="27">
        <f>IF(OR(1985308.615="",7607.42344="",1288.0152=""),"-",(1288.0152-7607.42344)/1985308.615*100)</f>
        <v>-0.3183086091630142</v>
      </c>
      <c r="G41" s="27">
        <f>IF(OR(1868312.11307="",2074.78415="",1288.0152=""),"-",(2074.78415-1288.0152)/1868312.11307*100)</f>
        <v>0.042111216027347034</v>
      </c>
    </row>
    <row r="42" spans="1:7" s="16" customFormat="1" ht="15">
      <c r="A42" s="38" t="s">
        <v>17</v>
      </c>
      <c r="B42" s="27">
        <f>IF(785.04837="","-",785.04837)</f>
        <v>785.04837</v>
      </c>
      <c r="C42" s="27">
        <f>IF(OR(1933.14132="",785.04837=""),"-",785.04837/1933.14132*100)</f>
        <v>40.60998344394191</v>
      </c>
      <c r="D42" s="27">
        <f>IF(1933.14132="","-",1933.14132/1868312.11307*100)</f>
        <v>0.10346993451878193</v>
      </c>
      <c r="E42" s="27">
        <f>IF(785.04837="","-",785.04837/2181439.02047*100)</f>
        <v>0.03598763763888564</v>
      </c>
      <c r="F42" s="27">
        <f>IF(OR(1985308.615="",5008.94005="",1933.14132=""),"-",(1933.14132-5008.94005)/1985308.615*100)</f>
        <v>-0.15492798987325204</v>
      </c>
      <c r="G42" s="27">
        <f>IF(OR(1868312.11307="",785.04837="",1933.14132=""),"-",(785.04837-1933.14132)/1868312.11307*100)</f>
        <v>-0.06145081124124706</v>
      </c>
    </row>
    <row r="43" spans="1:7" s="16" customFormat="1" ht="15">
      <c r="A43" s="38" t="s">
        <v>22</v>
      </c>
      <c r="B43" s="27">
        <f>IF(331.79106="","-",331.79106)</f>
        <v>331.79106</v>
      </c>
      <c r="C43" s="27" t="s">
        <v>249</v>
      </c>
      <c r="D43" s="27">
        <f>IF(40.39007="","-",40.39007/1868312.11307*100)</f>
        <v>0.0021618481043636367</v>
      </c>
      <c r="E43" s="27">
        <f>IF(331.79106="","-",331.79106/2181439.02047*100)</f>
        <v>0.015209733432223758</v>
      </c>
      <c r="F43" s="27">
        <f>IF(OR(1985308.615="",148.54887="",40.39007=""),"-",(40.39007-148.54887)/1985308.615*100)</f>
        <v>-0.005447959031800201</v>
      </c>
      <c r="G43" s="27">
        <f>IF(OR(1868312.11307="",331.79106="",40.39007=""),"-",(331.79106-40.39007)/1868312.11307*100)</f>
        <v>0.015597018718739215</v>
      </c>
    </row>
    <row r="44" spans="1:7" s="16" customFormat="1" ht="15">
      <c r="A44" s="38" t="s">
        <v>18</v>
      </c>
      <c r="B44" s="27">
        <f>IF(76.96647="","-",76.96647)</f>
        <v>76.96647</v>
      </c>
      <c r="C44" s="27">
        <f>IF(OR(493.4583="",76.96647=""),"-",76.96647/493.4583*100)</f>
        <v>15.597360506450089</v>
      </c>
      <c r="D44" s="27">
        <f>IF(493.4583="","-",493.4583/1868312.11307*100)</f>
        <v>0.026411984194073018</v>
      </c>
      <c r="E44" s="27">
        <f>IF(76.96647="","-",76.96647/2181439.02047*100)</f>
        <v>0.0035282430211327777</v>
      </c>
      <c r="F44" s="27" t="str">
        <f>IF(OR(1985308.615="",""="",493.4583=""),"-",(493.4583-"")/1985308.615*100)</f>
        <v>-</v>
      </c>
      <c r="G44" s="27">
        <f>IF(OR(1868312.11307="",76.96647="",493.4583=""),"-",(76.96647-493.4583)/1868312.11307*100)</f>
        <v>-0.022292411802416832</v>
      </c>
    </row>
    <row r="45" spans="1:7" s="16" customFormat="1" ht="15">
      <c r="A45" s="38" t="s">
        <v>20</v>
      </c>
      <c r="B45" s="27">
        <f>IF(23.4488="","-",23.4488)</f>
        <v>23.4488</v>
      </c>
      <c r="C45" s="27">
        <f>IF(OR(76.73739="",23.4488=""),"-",23.4488/76.73739*100)</f>
        <v>30.55720294891447</v>
      </c>
      <c r="D45" s="27">
        <f>IF(76.73739="","-",76.73739/1868312.11307*100)</f>
        <v>0.004107311057032412</v>
      </c>
      <c r="E45" s="27">
        <f>IF(23.4488="","-",23.4488/2181439.02047*100)</f>
        <v>0.001074923469322918</v>
      </c>
      <c r="F45" s="27">
        <f>IF(OR(1985308.615="",97.8197="",76.73739=""),"-",(76.73739-97.8197)/1985308.615*100)</f>
        <v>-0.0010619160084589666</v>
      </c>
      <c r="G45" s="27">
        <f>IF(OR(1868312.11307="",23.4488="",76.73739=""),"-",(23.4488-76.73739)/1868312.11307*100)</f>
        <v>-0.0028522316815918136</v>
      </c>
    </row>
    <row r="46" spans="1:7" s="16" customFormat="1" ht="15">
      <c r="A46" s="38" t="s">
        <v>21</v>
      </c>
      <c r="B46" s="27">
        <f>IF(4.47522="","-",4.47522)</f>
        <v>4.47522</v>
      </c>
      <c r="C46" s="27" t="s">
        <v>190</v>
      </c>
      <c r="D46" s="27">
        <f>IF(0.63973="","-",0.63973/1868312.11307*100)</f>
        <v>3.4241066871252005E-05</v>
      </c>
      <c r="E46" s="27">
        <f>IF(4.47522="","-",4.47522/2181439.02047*100)</f>
        <v>0.0002051499014185506</v>
      </c>
      <c r="F46" s="27">
        <f>IF(OR(1985308.615="",1362.13044="",0.63973=""),"-",(0.63973-1362.13044)/1985308.615*100)</f>
        <v>-0.06857829053444166</v>
      </c>
      <c r="G46" s="27">
        <f>IF(OR(1868312.11307="",4.47522="",0.63973=""),"-",(4.47522-0.63973)/1868312.11307*100)</f>
        <v>0.00020529171615215534</v>
      </c>
    </row>
    <row r="47" spans="1:7" s="16" customFormat="1" ht="15">
      <c r="A47" s="38" t="s">
        <v>23</v>
      </c>
      <c r="B47" s="27">
        <f>IF(2.57217="","-",2.57217)</f>
        <v>2.57217</v>
      </c>
      <c r="C47" s="27" t="s">
        <v>250</v>
      </c>
      <c r="D47" s="27">
        <f>IF(0.15621="","-",0.15621/1868312.11307*100)</f>
        <v>8.361022706389063E-06</v>
      </c>
      <c r="E47" s="27">
        <f>IF(2.57217="","-",2.57217/2181439.02047*100)</f>
        <v>0.00011791161594999869</v>
      </c>
      <c r="F47" s="27">
        <f>IF(OR(1985308.615="",87.91144="",0.15621=""),"-",(0.15621-87.91144)/1985308.615*100)</f>
        <v>-0.004420231158871992</v>
      </c>
      <c r="G47" s="27">
        <f>IF(OR(1868312.11307="",2.57217="",0.15621=""),"-",(2.57217-0.15621)/1868312.11307*100)</f>
        <v>0.00012931244105836835</v>
      </c>
    </row>
    <row r="48" spans="1:7" s="16" customFormat="1" ht="15">
      <c r="A48" s="15" t="s">
        <v>24</v>
      </c>
      <c r="B48" s="26">
        <f>IF(565770.2342="","-",565770.2342)</f>
        <v>565770.2342</v>
      </c>
      <c r="C48" s="26">
        <f>IF(472909.23036="","-",565770.2342/472909.23036*100)</f>
        <v>119.63611574451822</v>
      </c>
      <c r="D48" s="26">
        <f>IF(472909.23036="","-",472909.23036/1868312.11307*100)</f>
        <v>25.312110704186264</v>
      </c>
      <c r="E48" s="26">
        <f>IF(565770.2342="","-",565770.2342/2181439.02047*100)</f>
        <v>25.935642889440132</v>
      </c>
      <c r="F48" s="26">
        <f>IF(1985308.615="","-",(472909.23036-515906.23859)/1985308.615*100)</f>
        <v>-2.1657594141855894</v>
      </c>
      <c r="G48" s="26">
        <f>IF(1868312.11307="","-",(565770.2342-472909.23036)/1868312.11307*100)</f>
        <v>4.970315355254604</v>
      </c>
    </row>
    <row r="49" spans="1:7" s="16" customFormat="1" ht="15">
      <c r="A49" s="38" t="s">
        <v>143</v>
      </c>
      <c r="B49" s="27">
        <f>IF(219548.50487="","-",219548.50487)</f>
        <v>219548.50487</v>
      </c>
      <c r="C49" s="27">
        <f>IF(OR(168992.19114="",219548.50487=""),"-",219548.50487/168992.19114*100)</f>
        <v>129.91636086197445</v>
      </c>
      <c r="D49" s="27">
        <f>IF(168992.19114="","-",168992.19114/1868312.11307*100)</f>
        <v>9.04517986891992</v>
      </c>
      <c r="E49" s="27">
        <f>IF(219548.50487="","-",219548.50487/2181439.02047*100)</f>
        <v>10.064388819023572</v>
      </c>
      <c r="F49" s="27">
        <f>IF(OR(1985308.615="",178338.70061="",168992.19114=""),"-",(168992.19114-178338.70061)/1985308.615*100)</f>
        <v>-0.4707837058370892</v>
      </c>
      <c r="G49" s="27">
        <f>IF(OR(1868312.11307="",219548.50487="",168992.19114=""),"-",(219548.50487-168992.19114)/1868312.11307*100)</f>
        <v>2.7059886502007497</v>
      </c>
    </row>
    <row r="50" spans="1:7" s="16" customFormat="1" ht="15">
      <c r="A50" s="38" t="s">
        <v>140</v>
      </c>
      <c r="B50" s="27">
        <f>IF(146022.77785="","-",146022.77785)</f>
        <v>146022.77785</v>
      </c>
      <c r="C50" s="27">
        <f>IF(OR(134532.39887="",146022.77785=""),"-",146022.77785/134532.39887*100)</f>
        <v>108.54097531636471</v>
      </c>
      <c r="D50" s="27">
        <f>IF(134532.39887="","-",134532.39887/1868312.11307*100)</f>
        <v>7.200745417688115</v>
      </c>
      <c r="E50" s="27">
        <f>IF(146022.77785="","-",146022.77785/2181439.02047*100)</f>
        <v>6.693873928162283</v>
      </c>
      <c r="F50" s="27">
        <f>IF(OR(1985308.615="",147604.08875="",134532.39887=""),"-",(134532.39887-147604.08875)/1985308.615*100)</f>
        <v>-0.6584210525878361</v>
      </c>
      <c r="G50" s="27">
        <f>IF(OR(1868312.11307="",146022.77785="",134532.39887=""),"-",(146022.77785-134532.39887)/1868312.11307*100)</f>
        <v>0.6150138887190044</v>
      </c>
    </row>
    <row r="51" spans="1:7" s="16" customFormat="1" ht="15">
      <c r="A51" s="38" t="s">
        <v>25</v>
      </c>
      <c r="B51" s="27">
        <f>IF(39715.04866="","-",39715.04866)</f>
        <v>39715.04866</v>
      </c>
      <c r="C51" s="27">
        <f>IF(OR(30727.80065="",39715.04866=""),"-",39715.04866/30727.80065*100)</f>
        <v>129.24793776283497</v>
      </c>
      <c r="D51" s="27">
        <f>IF(30727.80065="","-",30727.80065/1868312.11307*100)</f>
        <v>1.6446824079895437</v>
      </c>
      <c r="E51" s="27">
        <f>IF(39715.04866="","-",39715.04866/2181439.02047*100)</f>
        <v>1.820589449777204</v>
      </c>
      <c r="F51" s="27">
        <f>IF(OR(1985308.615="",27107.29799="",30727.80065=""),"-",(30727.80065-27107.29799)/1985308.615*100)</f>
        <v>0.18236472821632327</v>
      </c>
      <c r="G51" s="27">
        <f>IF(OR(1868312.11307="",39715.04866="",30727.80065=""),"-",(39715.04866-30727.80065)/1868312.11307*100)</f>
        <v>0.48103568708507727</v>
      </c>
    </row>
    <row r="52" spans="1:7" s="16" customFormat="1" ht="15">
      <c r="A52" s="38" t="s">
        <v>240</v>
      </c>
      <c r="B52" s="27">
        <f>IF(16021.45758="","-",16021.45758)</f>
        <v>16021.45758</v>
      </c>
      <c r="C52" s="27">
        <f>IF(OR(12564.91492="",16021.45758=""),"-",16021.45758/12564.91492*100)</f>
        <v>127.50947922853106</v>
      </c>
      <c r="D52" s="27">
        <f>IF(12564.91492="","-",12564.91492/1868312.11307*100)</f>
        <v>0.6725276163495725</v>
      </c>
      <c r="E52" s="27">
        <f>IF(16021.45758="","-",16021.45758/2181439.02047*100)</f>
        <v>0.7344444391825408</v>
      </c>
      <c r="F52" s="27">
        <f>IF(OR(1985308.615="",17147.00245="",12564.91492=""),"-",(12564.91492-17147.00245)/1985308.615*100)</f>
        <v>-0.23079976057022253</v>
      </c>
      <c r="G52" s="27">
        <f>IF(OR(1868312.11307="",16021.45758="",12564.91492=""),"-",(16021.45758-12564.91492)/1868312.11307*100)</f>
        <v>0.18500884492582073</v>
      </c>
    </row>
    <row r="53" spans="1:7" s="16" customFormat="1" ht="15">
      <c r="A53" s="38" t="s">
        <v>162</v>
      </c>
      <c r="B53" s="27">
        <f>IF(15309.08871="","-",15309.08871)</f>
        <v>15309.08871</v>
      </c>
      <c r="C53" s="27">
        <f>IF(OR(13660.80026="",15309.08871=""),"-",15309.08871/13660.80026*100)</f>
        <v>112.06582644229366</v>
      </c>
      <c r="D53" s="27">
        <f>IF(13660.80026="","-",13660.80026/1868312.11307*100)</f>
        <v>0.7311840545503208</v>
      </c>
      <c r="E53" s="27">
        <f>IF(15309.08871="","-",15309.08871/2181439.02047*100)</f>
        <v>0.7017885242880452</v>
      </c>
      <c r="F53" s="27">
        <f>IF(OR(1985308.615="",31098.72172="",13660.80026=""),"-",(13660.80026-31098.72172)/1985308.615*100)</f>
        <v>-0.878348148406136</v>
      </c>
      <c r="G53" s="27">
        <f>IF(OR(1868312.11307="",15309.08871="",13660.80026=""),"-",(15309.08871-13660.80026)/1868312.11307*100)</f>
        <v>0.08822339899576745</v>
      </c>
    </row>
    <row r="54" spans="1:7" s="16" customFormat="1" ht="15">
      <c r="A54" s="38" t="s">
        <v>158</v>
      </c>
      <c r="B54" s="27">
        <f>IF(14228.72543="","-",14228.72543)</f>
        <v>14228.72543</v>
      </c>
      <c r="C54" s="27" t="s">
        <v>218</v>
      </c>
      <c r="D54" s="27">
        <f>IF(7588.973="","-",7588.973/1868312.11307*100)</f>
        <v>0.40619406933726093</v>
      </c>
      <c r="E54" s="27">
        <f>IF(14228.72543="","-",14228.72543/2181439.02047*100)</f>
        <v>0.6522632673424152</v>
      </c>
      <c r="F54" s="27">
        <f>IF(OR(1985308.615="",4757.09931="",7588.973=""),"-",(7588.973-4757.09931)/1985308.615*100)</f>
        <v>0.14264148498645388</v>
      </c>
      <c r="G54" s="27">
        <f>IF(OR(1868312.11307="",14228.72543="",7588.973=""),"-",(14228.72543-7588.973)/1868312.11307*100)</f>
        <v>0.35538775258966754</v>
      </c>
    </row>
    <row r="55" spans="1:7" s="16" customFormat="1" ht="15">
      <c r="A55" s="38" t="s">
        <v>155</v>
      </c>
      <c r="B55" s="27">
        <f>IF(14042.21561="","-",14042.21561)</f>
        <v>14042.21561</v>
      </c>
      <c r="C55" s="27">
        <f>IF(OR(11924.16115="",14042.21561=""),"-",14042.21561/11924.16115*100)</f>
        <v>117.76271247390848</v>
      </c>
      <c r="D55" s="27">
        <f>IF(11924.16115="","-",11924.16115/1868312.11307*100)</f>
        <v>0.6382317529594285</v>
      </c>
      <c r="E55" s="27">
        <f>IF(14042.21561="","-",14042.21561/2181439.02047*100)</f>
        <v>0.643713414779504</v>
      </c>
      <c r="F55" s="27">
        <f>IF(OR(1985308.615="",14122.17717="",11924.16115=""),"-",(11924.16115-14122.17717)/1985308.615*100)</f>
        <v>-0.11071407253224462</v>
      </c>
      <c r="G55" s="27">
        <f>IF(OR(1868312.11307="",14042.21561="",11924.16115=""),"-",(14042.21561-11924.16115)/1868312.11307*100)</f>
        <v>0.11336727119536918</v>
      </c>
    </row>
    <row r="56" spans="1:7" s="16" customFormat="1" ht="15">
      <c r="A56" s="38" t="s">
        <v>115</v>
      </c>
      <c r="B56" s="27">
        <f>IF(11202.55649="","-",11202.55649)</f>
        <v>11202.55649</v>
      </c>
      <c r="C56" s="27">
        <f>IF(OR(10301.69144="",11202.55649=""),"-",11202.55649/10301.69144*100)</f>
        <v>108.74482656801455</v>
      </c>
      <c r="D56" s="27">
        <f>IF(10301.69144="","-",10301.69144/1868312.11307*100)</f>
        <v>0.5513902825942887</v>
      </c>
      <c r="E56" s="27">
        <f>IF(11202.55649="","-",11202.55649/2181439.02047*100)</f>
        <v>0.5135397499026292</v>
      </c>
      <c r="F56" s="27">
        <f>IF(OR(1985308.615="",12746.56881="",10301.69144=""),"-",(10301.69144-12746.56881)/1985308.615*100)</f>
        <v>-0.1231484793612302</v>
      </c>
      <c r="G56" s="27">
        <f>IF(OR(1868312.11307="",11202.55649="",10301.69144=""),"-",(11202.55649-10301.69144)/1868312.11307*100)</f>
        <v>0.04821812392575585</v>
      </c>
    </row>
    <row r="57" spans="1:7" s="16" customFormat="1" ht="15">
      <c r="A57" s="38" t="s">
        <v>156</v>
      </c>
      <c r="B57" s="27">
        <f>IF(8330.83104="","-",8330.83104)</f>
        <v>8330.83104</v>
      </c>
      <c r="C57" s="27">
        <f>IF(OR(6759.83489="",8330.83104=""),"-",8330.83104/6759.83489*100)</f>
        <v>123.2401556482395</v>
      </c>
      <c r="D57" s="27">
        <f>IF(6759.83489="","-",6759.83489/1868312.11307*100)</f>
        <v>0.36181507590250955</v>
      </c>
      <c r="E57" s="27">
        <f>IF(8330.83104="","-",8330.83104/2181439.02047*100)</f>
        <v>0.3818961227806903</v>
      </c>
      <c r="F57" s="27">
        <f>IF(OR(1985308.615="",5504.20328="",6759.83489=""),"-",(6759.83489-5504.20328)/1985308.615*100)</f>
        <v>0.06324616739750562</v>
      </c>
      <c r="G57" s="27">
        <f>IF(OR(1868312.11307="",8330.83104="",6759.83489=""),"-",(8330.83104-6759.83489)/1868312.11307*100)</f>
        <v>0.08408638679853908</v>
      </c>
    </row>
    <row r="58" spans="1:7" s="16" customFormat="1" ht="15">
      <c r="A58" s="38" t="s">
        <v>152</v>
      </c>
      <c r="B58" s="27">
        <f>IF(7274.46996="","-",7274.46996)</f>
        <v>7274.46996</v>
      </c>
      <c r="C58" s="27">
        <f>IF(OR(7705.51313="",7274.46996=""),"-",7274.46996/7705.51313*100)</f>
        <v>94.40604197633753</v>
      </c>
      <c r="D58" s="27">
        <f>IF(7705.51313="","-",7705.51313/1868312.11307*100)</f>
        <v>0.4124317921023562</v>
      </c>
      <c r="E58" s="27">
        <f>IF(7274.46996="","-",7274.46996/2181439.02047*100)</f>
        <v>0.33347115787965903</v>
      </c>
      <c r="F58" s="27">
        <f>IF(OR(1985308.615="",6590.90503="",7705.51313=""),"-",(7705.51313-6590.90503)/1985308.615*100)</f>
        <v>0.05614281283920185</v>
      </c>
      <c r="G58" s="27">
        <f>IF(OR(1868312.11307="",7274.46996="",7705.51313=""),"-",(7274.46996-7705.51313)/1868312.11307*100)</f>
        <v>-0.02307126132644466</v>
      </c>
    </row>
    <row r="59" spans="1:7" s="16" customFormat="1" ht="15">
      <c r="A59" s="38" t="s">
        <v>167</v>
      </c>
      <c r="B59" s="27">
        <f>IF(6930.17435="","-",6930.17435)</f>
        <v>6930.17435</v>
      </c>
      <c r="C59" s="27">
        <f>IF(OR(5244.32444="",6930.17435=""),"-",6930.17435/5244.32444*100)</f>
        <v>132.14617877455345</v>
      </c>
      <c r="D59" s="27">
        <f>IF(5244.32444="","-",5244.32444/1868312.11307*100)</f>
        <v>0.28069851944504903</v>
      </c>
      <c r="E59" s="27">
        <f>IF(6930.17435="","-",6930.17435/2181439.02047*100)</f>
        <v>0.31768819962278233</v>
      </c>
      <c r="F59" s="27">
        <f>IF(OR(1985308.615="",4284.85729="",5244.32444=""),"-",(5244.32444-4284.85729)/1985308.615*100)</f>
        <v>0.04832836279209922</v>
      </c>
      <c r="G59" s="27">
        <f>IF(OR(1868312.11307="",6930.17435="",5244.32444=""),"-",(6930.17435-5244.32444)/1868312.11307*100)</f>
        <v>0.09023384787833018</v>
      </c>
    </row>
    <row r="60" spans="1:7" s="16" customFormat="1" ht="15">
      <c r="A60" s="38" t="s">
        <v>150</v>
      </c>
      <c r="B60" s="27">
        <f>IF(5662.23323="","-",5662.23323)</f>
        <v>5662.23323</v>
      </c>
      <c r="C60" s="27" t="s">
        <v>218</v>
      </c>
      <c r="D60" s="27">
        <f>IF(2984.24786="","-",2984.24786/1868312.11307*100)</f>
        <v>0.15972962114431194</v>
      </c>
      <c r="E60" s="27">
        <f>IF(5662.23323="","-",5662.23323/2181439.02047*100)</f>
        <v>0.25956413068929374</v>
      </c>
      <c r="F60" s="27">
        <f>IF(OR(1985308.615="",1068.38132="",2984.24786=""),"-",(2984.24786-1068.38132)/1985308.615*100)</f>
        <v>0.09650220250517574</v>
      </c>
      <c r="G60" s="27">
        <f>IF(OR(1868312.11307="",5662.23323="",2984.24786=""),"-",(5662.23323-2984.24786)/1868312.11307*100)</f>
        <v>0.14333715182093154</v>
      </c>
    </row>
    <row r="61" spans="1:7" s="16" customFormat="1" ht="15">
      <c r="A61" s="38" t="s">
        <v>146</v>
      </c>
      <c r="B61" s="27">
        <f>IF(4876.21645="","-",4876.21645)</f>
        <v>4876.21645</v>
      </c>
      <c r="C61" s="27">
        <f>IF(OR(7372.84661="",4876.21645=""),"-",4876.21645/7372.84661*100)</f>
        <v>66.13750031617707</v>
      </c>
      <c r="D61" s="27">
        <f>IF(7372.84661="","-",7372.84661/1868312.11307*100)</f>
        <v>0.39462606694151225</v>
      </c>
      <c r="E61" s="27">
        <f>IF(4876.21645="","-",4876.21645/2181439.02047*100)</f>
        <v>0.22353209987732775</v>
      </c>
      <c r="F61" s="27">
        <f>IF(OR(1985308.615="",12578.71268="",7372.84661=""),"-",(7372.84661-12578.71268)/1985308.615*100)</f>
        <v>-0.2622194872206305</v>
      </c>
      <c r="G61" s="27">
        <f>IF(OR(1868312.11307="",4876.21645="",7372.84661=""),"-",(4876.21645-7372.84661)/1868312.11307*100)</f>
        <v>-0.13363025067035245</v>
      </c>
    </row>
    <row r="62" spans="1:7" s="16" customFormat="1" ht="15">
      <c r="A62" s="38" t="s">
        <v>157</v>
      </c>
      <c r="B62" s="27">
        <f>IF(4465.7532="","-",4465.7532)</f>
        <v>4465.7532</v>
      </c>
      <c r="C62" s="27" t="s">
        <v>216</v>
      </c>
      <c r="D62" s="27">
        <f>IF(2558.58912="","-",2558.58912/1868312.11307*100)</f>
        <v>0.13694655738198586</v>
      </c>
      <c r="E62" s="27">
        <f>IF(4465.7532="","-",4465.7532/2181439.02047*100)</f>
        <v>0.2047159310021802</v>
      </c>
      <c r="F62" s="27">
        <f>IF(OR(1985308.615="",2434.52986="",2558.58912=""),"-",(2558.58912-2434.52986)/1985308.615*100)</f>
        <v>0.006248865242545679</v>
      </c>
      <c r="G62" s="27">
        <f>IF(OR(1868312.11307="",4465.7532="",2558.58912=""),"-",(4465.7532-2558.58912)/1868312.11307*100)</f>
        <v>0.10207952229492098</v>
      </c>
    </row>
    <row r="63" spans="1:7" s="16" customFormat="1" ht="15">
      <c r="A63" s="38" t="s">
        <v>145</v>
      </c>
      <c r="B63" s="27">
        <f>IF(4135.48477="","-",4135.48477)</f>
        <v>4135.48477</v>
      </c>
      <c r="C63" s="27">
        <f>IF(OR(3137.04694="",4135.48477=""),"-",4135.48477/3137.04694*100)</f>
        <v>131.8273155963678</v>
      </c>
      <c r="D63" s="27">
        <f>IF(3137.04694="","-",3137.04694/1868312.11307*100)</f>
        <v>0.16790807692432194</v>
      </c>
      <c r="E63" s="27">
        <f>IF(4135.48477="","-",4135.48477/2181439.02047*100)</f>
        <v>0.18957599690817822</v>
      </c>
      <c r="F63" s="27">
        <f>IF(OR(1985308.615="",3760.29411="",3137.04694=""),"-",(3137.04694-3760.29411)/1985308.615*100)</f>
        <v>-0.03139296154215296</v>
      </c>
      <c r="G63" s="27">
        <f>IF(OR(1868312.11307="",4135.48477="",3137.04694=""),"-",(4135.48477-3137.04694)/1868312.11307*100)</f>
        <v>0.053440633554496006</v>
      </c>
    </row>
    <row r="64" spans="1:7" s="16" customFormat="1" ht="15">
      <c r="A64" s="38" t="s">
        <v>164</v>
      </c>
      <c r="B64" s="27">
        <f>IF(3787.63259="","-",3787.63259)</f>
        <v>3787.63259</v>
      </c>
      <c r="C64" s="27">
        <f>IF(OR(2990.85024="",3787.63259=""),"-",3787.63259/2990.85024*100)</f>
        <v>126.64066355926936</v>
      </c>
      <c r="D64" s="27">
        <f>IF(2990.85024="","-",2990.85024/1868312.11307*100)</f>
        <v>0.16008300856570756</v>
      </c>
      <c r="E64" s="27">
        <f>IF(3787.63259="","-",3787.63259/2181439.02047*100)</f>
        <v>0.1736300008598883</v>
      </c>
      <c r="F64" s="27">
        <f>IF(OR(1985308.615="",2701.01062="",2990.85024=""),"-",(2990.85024-2701.01062)/1985308.615*100)</f>
        <v>0.014599222398478344</v>
      </c>
      <c r="G64" s="27">
        <f>IF(OR(1868312.11307="",3787.63259="",2990.85024=""),"-",(3787.63259-2990.85024)/1868312.11307*100)</f>
        <v>0.04264717572754649</v>
      </c>
    </row>
    <row r="65" spans="1:7" s="16" customFormat="1" ht="15">
      <c r="A65" s="38" t="s">
        <v>148</v>
      </c>
      <c r="B65" s="27">
        <f>IF(3364.153="","-",3364.153)</f>
        <v>3364.153</v>
      </c>
      <c r="C65" s="27">
        <f>IF(OR(2486.14827="",3364.153=""),"-",3364.153/2486.14827*100)</f>
        <v>135.31586352249215</v>
      </c>
      <c r="D65" s="27">
        <f>IF(2486.14827="","-",2486.14827/1868312.11307*100)</f>
        <v>0.13306921539542851</v>
      </c>
      <c r="E65" s="27">
        <f>IF(3364.153="","-",3364.153/2181439.02047*100)</f>
        <v>0.15421714604129433</v>
      </c>
      <c r="F65" s="27">
        <f>IF(OR(1985308.615="",1399.70297="",2486.14827=""),"-",(2486.14827-1399.70297)/1985308.615*100)</f>
        <v>0.05472425253138793</v>
      </c>
      <c r="G65" s="27">
        <f>IF(OR(1868312.11307="",3364.153="",2486.14827=""),"-",(3364.153-2486.14827)/1868312.11307*100)</f>
        <v>0.04699454249950065</v>
      </c>
    </row>
    <row r="66" spans="1:7" s="16" customFormat="1" ht="15">
      <c r="A66" s="38" t="s">
        <v>168</v>
      </c>
      <c r="B66" s="27">
        <f>IF(3265.68337="","-",3265.68337)</f>
        <v>3265.68337</v>
      </c>
      <c r="C66" s="27">
        <f>IF(OR(2621.12258="",3265.68337=""),"-",3265.68337/2621.12258*100)</f>
        <v>124.59102046269047</v>
      </c>
      <c r="D66" s="27">
        <f>IF(2621.12258="","-",2621.12258/1868312.11307*100)</f>
        <v>0.14029361377382424</v>
      </c>
      <c r="E66" s="27">
        <f>IF(3265.68337="","-",3265.68337/2181439.02047*100)</f>
        <v>0.1497031702172631</v>
      </c>
      <c r="F66" s="27">
        <f>IF(OR(1985308.615="",1239.49746="",2621.12258=""),"-",(2621.12258-1239.49746)/1985308.615*100)</f>
        <v>0.06959246081748353</v>
      </c>
      <c r="G66" s="27">
        <f>IF(OR(1868312.11307="",3265.68337="",2621.12258=""),"-",(3265.68337-2621.12258)/1868312.11307*100)</f>
        <v>0.03449963127096903</v>
      </c>
    </row>
    <row r="67" spans="1:7" s="16" customFormat="1" ht="15">
      <c r="A67" s="38" t="s">
        <v>170</v>
      </c>
      <c r="B67" s="27">
        <f>IF(3024.73978="","-",3024.73978)</f>
        <v>3024.73978</v>
      </c>
      <c r="C67" s="27">
        <f>IF(OR(2329.03739="",3024.73978=""),"-",3024.73978/2329.03739*100)</f>
        <v>129.8708124217791</v>
      </c>
      <c r="D67" s="27">
        <f>IF(2329.03739="","-",2329.03739/1868312.11307*100)</f>
        <v>0.12465997376492619</v>
      </c>
      <c r="E67" s="27">
        <f>IF(3024.73978="","-",3024.73978/2181439.02047*100)</f>
        <v>0.13865800288785096</v>
      </c>
      <c r="F67" s="27">
        <f>IF(OR(1985308.615="",2577.01055="",2329.03739=""),"-",(2329.03739-2577.01055)/1985308.615*100)</f>
        <v>-0.012490408701520695</v>
      </c>
      <c r="G67" s="27">
        <f>IF(OR(1868312.11307="",3024.73978="",2329.03739=""),"-",(3024.73978-2329.03739)/1868312.11307*100)</f>
        <v>0.037236946928360146</v>
      </c>
    </row>
    <row r="68" spans="1:7" s="16" customFormat="1" ht="15">
      <c r="A68" s="38" t="s">
        <v>171</v>
      </c>
      <c r="B68" s="27">
        <f>IF(2579.42302="","-",2579.42302)</f>
        <v>2579.42302</v>
      </c>
      <c r="C68" s="27">
        <f>IF(OR(2101.96711="",2579.42302=""),"-",2579.42302/2101.96711*100)</f>
        <v>122.71471840489457</v>
      </c>
      <c r="D68" s="27">
        <f>IF(2101.96711="","-",2101.96711/1868312.11307*100)</f>
        <v>0.11250620789189551</v>
      </c>
      <c r="E68" s="27">
        <f>IF(2579.42302="","-",2579.42302/2181439.02047*100)</f>
        <v>0.11824410381383263</v>
      </c>
      <c r="F68" s="27">
        <f>IF(OR(1985308.615="",2642.41806="",2101.96711=""),"-",(2101.96711-2642.41806)/1985308.615*100)</f>
        <v>-0.027222515729626244</v>
      </c>
      <c r="G68" s="27">
        <f>IF(OR(1868312.11307="",2579.42302="",2101.96711=""),"-",(2579.42302-2101.96711)/1868312.11307*100)</f>
        <v>0.025555468310669318</v>
      </c>
    </row>
    <row r="69" spans="1:7" s="16" customFormat="1" ht="15">
      <c r="A69" s="38" t="s">
        <v>154</v>
      </c>
      <c r="B69" s="27">
        <f>IF(2578.80792="","-",2578.80792)</f>
        <v>2578.80792</v>
      </c>
      <c r="C69" s="27" t="s">
        <v>215</v>
      </c>
      <c r="D69" s="27">
        <f>IF(1440.09579="","-",1440.09579/1868312.11307*100)</f>
        <v>0.07708004352836115</v>
      </c>
      <c r="E69" s="27">
        <f>IF(2578.80792="","-",2578.80792/2181439.02047*100)</f>
        <v>0.1182159068303631</v>
      </c>
      <c r="F69" s="27">
        <f>IF(OR(1985308.615="",1489.53397="",1440.09579=""),"-",(1440.09579-1489.53397)/1985308.615*100)</f>
        <v>-0.002490201252665187</v>
      </c>
      <c r="G69" s="27">
        <f>IF(OR(1868312.11307="",2578.80792="",1440.09579=""),"-",(2578.80792-1440.09579)/1868312.11307*100)</f>
        <v>0.060948709909549044</v>
      </c>
    </row>
    <row r="70" spans="1:7" s="16" customFormat="1" ht="15">
      <c r="A70" s="38" t="s">
        <v>151</v>
      </c>
      <c r="B70" s="27">
        <f>IF(2526.2539="","-",2526.2539)</f>
        <v>2526.2539</v>
      </c>
      <c r="C70" s="27">
        <f>IF(OR(2219.62241="",2526.2539=""),"-",2526.2539/2219.62241*100)</f>
        <v>113.81457894002793</v>
      </c>
      <c r="D70" s="27">
        <f>IF(2219.62241="","-",2219.62241/1868312.11307*100)</f>
        <v>0.11880361929210687</v>
      </c>
      <c r="E70" s="27">
        <f>IF(2526.2539="","-",2526.2539/2181439.02047*100)</f>
        <v>0.11580676224704685</v>
      </c>
      <c r="F70" s="27">
        <f>IF(OR(1985308.615="",2438.85539="",2219.62241=""),"-",(2219.62241-2438.85539)/1985308.615*100)</f>
        <v>-0.011042765761634507</v>
      </c>
      <c r="G70" s="27">
        <f>IF(OR(1868312.11307="",2526.2539="",2219.62241=""),"-",(2526.2539-2219.62241)/1868312.11307*100)</f>
        <v>0.016412219770718346</v>
      </c>
    </row>
    <row r="71" spans="1:7" s="16" customFormat="1" ht="15">
      <c r="A71" s="38" t="s">
        <v>169</v>
      </c>
      <c r="B71" s="27">
        <f>IF(2127.67128="","-",2127.67128)</f>
        <v>2127.67128</v>
      </c>
      <c r="C71" s="27">
        <f>IF(OR(2918.23983="",2127.67128=""),"-",2127.67128/2918.23983*100)</f>
        <v>72.90940443369934</v>
      </c>
      <c r="D71" s="27">
        <f>IF(2918.23983="","-",2918.23983/1868312.11307*100)</f>
        <v>0.15619659100773933</v>
      </c>
      <c r="E71" s="27">
        <f>IF(2127.67128="","-",2127.67128/2181439.02047*100)</f>
        <v>0.09753521689281898</v>
      </c>
      <c r="F71" s="27">
        <f>IF(OR(1985308.615="",2860.78406="",2918.23983=""),"-",(2918.23983-2860.78406)/1985308.615*100)</f>
        <v>0.002894047281409698</v>
      </c>
      <c r="G71" s="27">
        <f>IF(OR(1868312.11307="",2127.67128="",2918.23983=""),"-",(2127.67128-2918.23983)/1868312.11307*100)</f>
        <v>-0.042314586758255404</v>
      </c>
    </row>
    <row r="72" spans="1:7" s="16" customFormat="1" ht="15">
      <c r="A72" s="38" t="s">
        <v>173</v>
      </c>
      <c r="B72" s="27">
        <f>IF(1896.76564="","-",1896.76564)</f>
        <v>1896.76564</v>
      </c>
      <c r="C72" s="27">
        <f>IF(OR(1432.29425="",1896.76564=""),"-",1896.76564/1432.29425*100)</f>
        <v>132.42848946716083</v>
      </c>
      <c r="D72" s="27">
        <f>IF(1432.29425="","-",1432.29425/1868312.11307*100)</f>
        <v>0.07666247197029954</v>
      </c>
      <c r="E72" s="27">
        <f>IF(1896.76564="","-",1896.76564/2181439.02047*100)</f>
        <v>0.08695020223812328</v>
      </c>
      <c r="F72" s="27">
        <f>IF(OR(1985308.615="",562.27251="",1432.29425=""),"-",(1432.29425-562.27251)/1985308.615*100)</f>
        <v>0.043822997262317316</v>
      </c>
      <c r="G72" s="27">
        <f>IF(OR(1868312.11307="",1896.76564="",1432.29425=""),"-",(1896.76564-1432.29425)/1868312.11307*100)</f>
        <v>0.024860481648153708</v>
      </c>
    </row>
    <row r="73" spans="1:7" s="16" customFormat="1" ht="15">
      <c r="A73" s="38" t="s">
        <v>175</v>
      </c>
      <c r="B73" s="27">
        <f>IF(1821.8344="","-",1821.8344)</f>
        <v>1821.8344</v>
      </c>
      <c r="C73" s="27" t="s">
        <v>251</v>
      </c>
      <c r="D73" s="27">
        <f>IF(673.80518="","-",673.80518/1868312.11307*100)</f>
        <v>0.036064915240141916</v>
      </c>
      <c r="E73" s="27">
        <f>IF(1821.8344="","-",1821.8344/2181439.02047*100)</f>
        <v>0.08351525680545854</v>
      </c>
      <c r="F73" s="27">
        <f>IF(OR(1985308.615="",528.62488="",673.80518=""),"-",(673.80518-528.62488)/1985308.615*100)</f>
        <v>0.007312732081203405</v>
      </c>
      <c r="G73" s="27">
        <f>IF(OR(1868312.11307="",1821.8344="",673.80518=""),"-",(1821.8344-673.80518)/1868312.11307*100)</f>
        <v>0.061447400140952076</v>
      </c>
    </row>
    <row r="74" spans="1:7" s="16" customFormat="1" ht="15">
      <c r="A74" s="38" t="s">
        <v>172</v>
      </c>
      <c r="B74" s="27">
        <f>IF(1618.53799="","-",1618.53799)</f>
        <v>1618.53799</v>
      </c>
      <c r="C74" s="27">
        <f>IF(OR(1800.86421="",1618.53799=""),"-",1618.53799/1800.86421*100)</f>
        <v>89.87562643604318</v>
      </c>
      <c r="D74" s="27">
        <f>IF(1800.86421="","-",1800.86421/1868312.11307*100)</f>
        <v>0.09638990174081942</v>
      </c>
      <c r="E74" s="27">
        <f>IF(1618.53799="","-",1618.53799/2181439.02047*100)</f>
        <v>0.07419588513875944</v>
      </c>
      <c r="F74" s="27">
        <f>IF(OR(1985308.615="",1344.28086="",1800.86421=""),"-",(1800.86421-1344.28086)/1985308.615*100)</f>
        <v>0.022998104503767536</v>
      </c>
      <c r="G74" s="27">
        <f>IF(OR(1868312.11307="",1618.53799="",1800.86421=""),"-",(1618.53799-1800.86421)/1868312.11307*100)</f>
        <v>-0.009758873730171482</v>
      </c>
    </row>
    <row r="75" spans="1:7" s="16" customFormat="1" ht="15">
      <c r="A75" s="38" t="s">
        <v>160</v>
      </c>
      <c r="B75" s="27">
        <f>IF(1240.9536="","-",1240.9536)</f>
        <v>1240.9536</v>
      </c>
      <c r="C75" s="27">
        <f>IF(OR(1263.69143="",1240.9536=""),"-",1240.9536/1263.69143*100)</f>
        <v>98.20068179144018</v>
      </c>
      <c r="D75" s="27">
        <f>IF(1263.69143="","-",1263.69143/1868312.11307*100)</f>
        <v>0.06763813289865736</v>
      </c>
      <c r="E75" s="27">
        <f>IF(1240.9536="","-",1240.9536/2181439.02047*100)</f>
        <v>0.05688692593995277</v>
      </c>
      <c r="F75" s="27">
        <f>IF(OR(1985308.615="",2200.1061="",1263.69143=""),"-",(1263.69143-2200.1061)/1985308.615*100)</f>
        <v>-0.04716720931571638</v>
      </c>
      <c r="G75" s="27">
        <f>IF(OR(1868312.11307="",1240.9536="",1263.69143=""),"-",(1240.9536-1263.69143)/1868312.11307*100)</f>
        <v>-0.001217025241175435</v>
      </c>
    </row>
    <row r="76" spans="1:7" s="16" customFormat="1" ht="15">
      <c r="A76" s="38" t="s">
        <v>142</v>
      </c>
      <c r="B76" s="27">
        <f>IF(1183.34572="","-",1183.34572)</f>
        <v>1183.34572</v>
      </c>
      <c r="C76" s="27" t="s">
        <v>215</v>
      </c>
      <c r="D76" s="27">
        <f>IF(643.29181="","-",643.29181/1868312.11307*100)</f>
        <v>0.034431710071340625</v>
      </c>
      <c r="E76" s="27">
        <f>IF(1183.34572="","-",1183.34572/2181439.02047*100)</f>
        <v>0.05424610584553693</v>
      </c>
      <c r="F76" s="27">
        <f>IF(OR(1985308.615="",1143.77018="",643.29181=""),"-",(643.29181-1143.77018)/1985308.615*100)</f>
        <v>-0.02520909677309792</v>
      </c>
      <c r="G76" s="27">
        <f>IF(OR(1868312.11307="",1183.34572="",643.29181=""),"-",(1183.34572-643.29181)/1868312.11307*100)</f>
        <v>0.028905979157443154</v>
      </c>
    </row>
    <row r="77" spans="1:7" s="16" customFormat="1" ht="15">
      <c r="A77" s="38" t="s">
        <v>153</v>
      </c>
      <c r="B77" s="27">
        <f>IF(1042.51005="","-",1042.51005)</f>
        <v>1042.51005</v>
      </c>
      <c r="C77" s="27">
        <f>IF(OR(1411.24668="",1042.51005=""),"-",1042.51005/1411.24668*100)</f>
        <v>73.87156793878162</v>
      </c>
      <c r="D77" s="27">
        <f>IF(1411.24668="","-",1411.24668/1868312.11307*100)</f>
        <v>0.07553591662375123</v>
      </c>
      <c r="E77" s="27">
        <f>IF(1042.51005="","-",1042.51005/2181439.02047*100)</f>
        <v>0.04779001568310569</v>
      </c>
      <c r="F77" s="27">
        <f>IF(OR(1985308.615="",438.47232="",1411.24668=""),"-",(1411.24668-438.47232)/1985308.615*100)</f>
        <v>0.04899864699373199</v>
      </c>
      <c r="G77" s="27">
        <f>IF(OR(1868312.11307="",1042.51005="",1411.24668=""),"-",(1042.51005-1411.24668)/1868312.11307*100)</f>
        <v>-0.019736350656855396</v>
      </c>
    </row>
    <row r="78" spans="1:7" s="16" customFormat="1" ht="15">
      <c r="A78" s="38" t="s">
        <v>159</v>
      </c>
      <c r="B78" s="27">
        <f>IF(1026.07731="","-",1026.07731)</f>
        <v>1026.07731</v>
      </c>
      <c r="C78" s="27">
        <f>IF(OR(834.83424="",1026.07731=""),"-",1026.07731/834.83424*100)</f>
        <v>122.90790923956352</v>
      </c>
      <c r="D78" s="27">
        <f>IF(834.83424="","-",834.83424/1868312.11307*100)</f>
        <v>0.044683874506824504</v>
      </c>
      <c r="E78" s="27">
        <f>IF(1026.07731="","-",1026.07731/2181439.02047*100)</f>
        <v>0.047036717523230485</v>
      </c>
      <c r="F78" s="27">
        <f>IF(OR(1985308.615="",489.77914="",834.83424=""),"-",(834.83424-489.77914)/1985308.615*100)</f>
        <v>0.01738042626687539</v>
      </c>
      <c r="G78" s="27">
        <f>IF(OR(1868312.11307="",1026.07731="",834.83424=""),"-",(1026.07731-834.83424)/1868312.11307*100)</f>
        <v>0.010236141416743819</v>
      </c>
    </row>
    <row r="79" spans="1:7" s="16" customFormat="1" ht="15">
      <c r="A79" s="38" t="s">
        <v>122</v>
      </c>
      <c r="B79" s="27">
        <f>IF(1019.72725="","-",1019.72725)</f>
        <v>1019.72725</v>
      </c>
      <c r="C79" s="27">
        <f>IF(OR(1482.58848="",1019.72725=""),"-",1019.72725/1482.58848*100)</f>
        <v>68.78019516244994</v>
      </c>
      <c r="D79" s="27">
        <f>IF(1482.58848="","-",1482.58848/1868312.11307*100)</f>
        <v>0.07935443278606265</v>
      </c>
      <c r="E79" s="27">
        <f>IF(1019.72725="","-",1019.72725/2181439.02047*100)</f>
        <v>0.04674562251940903</v>
      </c>
      <c r="F79" s="27">
        <f>IF(OR(1985308.615="",2088.10908="",1482.58848=""),"-",(1482.58848-2088.10908)/1985308.615*100)</f>
        <v>-0.03050007416605102</v>
      </c>
      <c r="G79" s="27">
        <f>IF(OR(1868312.11307="",1019.72725="",1482.58848=""),"-",(1019.72725-1482.58848)/1868312.11307*100)</f>
        <v>-0.0247742990457536</v>
      </c>
    </row>
    <row r="80" spans="1:7" s="16" customFormat="1" ht="15">
      <c r="A80" s="38" t="s">
        <v>181</v>
      </c>
      <c r="B80" s="27">
        <f>IF(849.05266="","-",849.05266)</f>
        <v>849.05266</v>
      </c>
      <c r="C80" s="27" t="s">
        <v>185</v>
      </c>
      <c r="D80" s="27">
        <f>IF(399.58936="","-",399.58936/1868312.11307*100)</f>
        <v>0.02138771981429789</v>
      </c>
      <c r="E80" s="27">
        <f>IF(849.05266="","-",849.05266/2181439.02047*100)</f>
        <v>0.03892167748136586</v>
      </c>
      <c r="F80" s="27">
        <f>IF(OR(1985308.615="",1085.70114="",399.58936=""),"-",(399.58936-1085.70114)/1985308.615*100)</f>
        <v>-0.03455945210815498</v>
      </c>
      <c r="G80" s="27">
        <f>IF(OR(1868312.11307="",849.05266="",399.58936=""),"-",(849.05266-399.58936)/1868312.11307*100)</f>
        <v>0.02405718492406734</v>
      </c>
    </row>
    <row r="81" spans="1:7" s="16" customFormat="1" ht="15">
      <c r="A81" s="38" t="s">
        <v>174</v>
      </c>
      <c r="B81" s="27">
        <f>IF(796.56069="","-",796.56069)</f>
        <v>796.56069</v>
      </c>
      <c r="C81" s="27">
        <f>IF(OR(594.94818="",796.56069=""),"-",796.56069/594.94818*100)</f>
        <v>133.88740679902577</v>
      </c>
      <c r="D81" s="27">
        <f>IF(594.94818="","-",594.94818/1868312.11307*100)</f>
        <v>0.031844153652806136</v>
      </c>
      <c r="E81" s="27">
        <f>IF(796.56069="","-",796.56069/2181439.02047*100)</f>
        <v>0.03651537735069843</v>
      </c>
      <c r="F81" s="27">
        <f>IF(OR(1985308.615="",1242.40612="",594.94818=""),"-",(594.94818-1242.40612)/1985308.615*100)</f>
        <v>-0.03261245808878939</v>
      </c>
      <c r="G81" s="27">
        <f>IF(OR(1868312.11307="",796.56069="",594.94818=""),"-",(796.56069-594.94818)/1868312.11307*100)</f>
        <v>0.010791157890033239</v>
      </c>
    </row>
    <row r="82" spans="1:7" s="16" customFormat="1" ht="15">
      <c r="A82" s="38" t="s">
        <v>161</v>
      </c>
      <c r="B82" s="27">
        <f>IF(777.50296="","-",777.50296)</f>
        <v>777.50296</v>
      </c>
      <c r="C82" s="27">
        <f>IF(OR(581.57736="",777.50296=""),"-",777.50296/581.57736*100)</f>
        <v>133.68865665609817</v>
      </c>
      <c r="D82" s="27">
        <f>IF(581.57736="","-",581.57736/1868312.11307*100)</f>
        <v>0.03112849057347037</v>
      </c>
      <c r="E82" s="27">
        <f>IF(777.50296="","-",777.50296/2181439.02047*100)</f>
        <v>0.035641746237421015</v>
      </c>
      <c r="F82" s="27">
        <f>IF(OR(1985308.615="",359.25403="",581.57736=""),"-",(581.57736-359.25403)/1985308.615*100)</f>
        <v>0.011198426699014753</v>
      </c>
      <c r="G82" s="27">
        <f>IF(OR(1868312.11307="",777.50296="",581.57736=""),"-",(777.50296-581.57736)/1868312.11307*100)</f>
        <v>0.010486770311522318</v>
      </c>
    </row>
    <row r="83" spans="1:7" s="16" customFormat="1" ht="15">
      <c r="A83" s="38" t="s">
        <v>176</v>
      </c>
      <c r="B83" s="27">
        <f>IF(771.5261="","-",771.5261)</f>
        <v>771.5261</v>
      </c>
      <c r="C83" s="27">
        <f>IF(OR(896.1551="",771.5261=""),"-",771.5261/896.1551*100)</f>
        <v>86.0929207455272</v>
      </c>
      <c r="D83" s="27">
        <f>IF(896.1551="","-",896.1551/1868312.11307*100)</f>
        <v>0.04796602739611011</v>
      </c>
      <c r="E83" s="27">
        <f>IF(771.5261="","-",771.5261/2181439.02047*100)</f>
        <v>0.03536775920666219</v>
      </c>
      <c r="F83" s="27">
        <f>IF(OR(1985308.615="",672.93671="",896.1551=""),"-",(896.1551-672.93671)/1985308.615*100)</f>
        <v>0.011243510873497117</v>
      </c>
      <c r="G83" s="27">
        <f>IF(OR(1868312.11307="",771.5261="",896.1551=""),"-",(771.5261-896.1551)/1868312.11307*100)</f>
        <v>-0.006670673445199166</v>
      </c>
    </row>
    <row r="84" spans="1:7" s="16" customFormat="1" ht="15">
      <c r="A84" s="38" t="s">
        <v>177</v>
      </c>
      <c r="B84" s="27">
        <f>IF(607.38611="","-",607.38611)</f>
        <v>607.38611</v>
      </c>
      <c r="C84" s="27">
        <f>IF(OR(672.64012="",607.38611=""),"-",607.38611/672.64012*100)</f>
        <v>90.29882279397786</v>
      </c>
      <c r="D84" s="27">
        <f>IF(672.64012="","-",672.64012/1868312.11307*100)</f>
        <v>0.03600255628031665</v>
      </c>
      <c r="E84" s="27">
        <f>IF(607.38611="","-",607.38611/2181439.02047*100)</f>
        <v>0.027843368725894352</v>
      </c>
      <c r="F84" s="27">
        <f>IF(OR(1985308.615="",820.41622="",672.64012=""),"-",(672.64012-820.41622)/1985308.615*100)</f>
        <v>-0.007443482533822578</v>
      </c>
      <c r="G84" s="27">
        <f>IF(OR(1868312.11307="",607.38611="",672.64012=""),"-",(607.38611-672.64012)/1868312.11307*100)</f>
        <v>-0.0034926717834513725</v>
      </c>
    </row>
    <row r="85" spans="1:7" s="16" customFormat="1" ht="15">
      <c r="A85" s="38" t="s">
        <v>204</v>
      </c>
      <c r="B85" s="27">
        <f>IF(574.4631="","-",574.4631)</f>
        <v>574.4631</v>
      </c>
      <c r="C85" s="27" t="s">
        <v>195</v>
      </c>
      <c r="D85" s="27">
        <f>IF(256.71255="","-",256.71255/1868312.11307*100)</f>
        <v>0.013740346069810115</v>
      </c>
      <c r="E85" s="27">
        <f>IF(574.4631="","-",574.4631/2181439.02047*100)</f>
        <v>0.026334135156169967</v>
      </c>
      <c r="F85" s="27">
        <f>IF(OR(1985308.615="",23.36058="",256.71255=""),"-",(256.71255-23.36058)/1985308.615*100)</f>
        <v>0.011753939323937304</v>
      </c>
      <c r="G85" s="27">
        <f>IF(OR(1868312.11307="",574.4631="",256.71255=""),"-",(574.4631-256.71255)/1868312.11307*100)</f>
        <v>0.017007359090439877</v>
      </c>
    </row>
    <row r="86" spans="1:7" s="16" customFormat="1" ht="15">
      <c r="A86" s="38" t="s">
        <v>182</v>
      </c>
      <c r="B86" s="27">
        <f>IF(544.57518="","-",544.57518)</f>
        <v>544.57518</v>
      </c>
      <c r="C86" s="27">
        <f>IF(OR(390.88754="",544.57518=""),"-",544.57518/390.88754*100)</f>
        <v>139.31761037970153</v>
      </c>
      <c r="D86" s="27">
        <f>IF(390.88754="","-",390.88754/1868312.11307*100)</f>
        <v>0.02092196144667155</v>
      </c>
      <c r="E86" s="27">
        <f>IF(544.57518="","-",544.57518/2181439.02047*100)</f>
        <v>0.024964034056870824</v>
      </c>
      <c r="F86" s="27">
        <f>IF(OR(1985308.615="",184.60474="",390.88754=""),"-",(390.88754-184.60474)/1985308.615*100)</f>
        <v>0.010390465162012103</v>
      </c>
      <c r="G86" s="27">
        <f>IF(OR(1868312.11307="",544.57518="",390.88754=""),"-",(544.57518-390.88754)/1868312.11307*100)</f>
        <v>0.008226015285393691</v>
      </c>
    </row>
    <row r="87" spans="1:7" s="16" customFormat="1" ht="15">
      <c r="A87" s="38" t="s">
        <v>183</v>
      </c>
      <c r="B87" s="27">
        <f>IF(499.24792="","-",499.24792)</f>
        <v>499.24792</v>
      </c>
      <c r="C87" s="27" t="s">
        <v>191</v>
      </c>
      <c r="D87" s="27">
        <f>IF(200.31697="","-",200.31697/1868312.11307*100)</f>
        <v>0.010721815086390479</v>
      </c>
      <c r="E87" s="27">
        <f>IF(499.24792="","-",499.24792/2181439.02047*100)</f>
        <v>0.022886173544857332</v>
      </c>
      <c r="F87" s="27">
        <f>IF(OR(1985308.615="",425.34002="",200.31697=""),"-",(200.31697-425.34002)/1985308.615*100)</f>
        <v>-0.01133441160229892</v>
      </c>
      <c r="G87" s="27">
        <f>IF(OR(1868312.11307="",499.24792="",200.31697=""),"-",(499.24792-200.31697)/1868312.11307*100)</f>
        <v>0.01600005416165709</v>
      </c>
    </row>
    <row r="88" spans="1:7" s="16" customFormat="1" ht="15">
      <c r="A88" s="38" t="s">
        <v>241</v>
      </c>
      <c r="B88" s="27">
        <f>IF(452.61517="","-",452.61517)</f>
        <v>452.61517</v>
      </c>
      <c r="C88" s="27">
        <f>IF(OR(496.85321="",452.61517=""),"-",452.61517/496.85321*100)</f>
        <v>91.09635620548772</v>
      </c>
      <c r="D88" s="27">
        <f>IF(496.85321="","-",496.85321/1868312.11307*100)</f>
        <v>0.026593694197249173</v>
      </c>
      <c r="E88" s="27">
        <f>IF(452.61517="","-",452.61517/2181439.02047*100)</f>
        <v>0.0207484676744474</v>
      </c>
      <c r="F88" s="27">
        <f>IF(OR(1985308.615="",419.04924="",496.85321=""),"-",(496.85321-419.04924)/1985308.615*100)</f>
        <v>0.003918986167296715</v>
      </c>
      <c r="G88" s="27">
        <f>IF(OR(1868312.11307="",452.61517="",496.85321=""),"-",(452.61517-496.85321)/1868312.11307*100)</f>
        <v>-0.0023678078031249454</v>
      </c>
    </row>
    <row r="89" spans="1:7" s="16" customFormat="1" ht="15">
      <c r="A89" s="38" t="s">
        <v>247</v>
      </c>
      <c r="B89" s="27">
        <f>IF(438.46898="","-",438.46898)</f>
        <v>438.46898</v>
      </c>
      <c r="C89" s="27">
        <f>IF(OR(329.19414="",438.46898=""),"-",438.46898/329.19414*100)</f>
        <v>133.19464921216397</v>
      </c>
      <c r="D89" s="27">
        <f>IF(329.19414="","-",329.19414/1868312.11307*100)</f>
        <v>0.017619868634211767</v>
      </c>
      <c r="E89" s="27">
        <f>IF(438.46898="","-",438.46898/2181439.02047*100)</f>
        <v>0.020099987938490715</v>
      </c>
      <c r="F89" s="27">
        <f>IF(OR(1985308.615="",1331.57884="",329.19414=""),"-",(329.19414-1331.57884)/1985308.615*100)</f>
        <v>-0.05049011989503707</v>
      </c>
      <c r="G89" s="27">
        <f>IF(OR(1868312.11307="",438.46898="",329.19414=""),"-",(438.46898-329.19414)/1868312.11307*100)</f>
        <v>0.005848853584770704</v>
      </c>
    </row>
    <row r="90" spans="1:7" s="16" customFormat="1" ht="15">
      <c r="A90" s="38" t="s">
        <v>121</v>
      </c>
      <c r="B90" s="27">
        <f>IF(437.03194="","-",437.03194)</f>
        <v>437.03194</v>
      </c>
      <c r="C90" s="27">
        <f>IF(OR(1819.73878="",437.03194=""),"-",437.03194/1819.73878*100)</f>
        <v>24.016190939229205</v>
      </c>
      <c r="D90" s="27">
        <f>IF(1819.73878="","-",1819.73878/1868312.11307*100)</f>
        <v>0.09740014889748883</v>
      </c>
      <c r="E90" s="27">
        <f>IF(437.03194="","-",437.03194/2181439.02047*100)</f>
        <v>0.0200341121571136</v>
      </c>
      <c r="F90" s="27">
        <f>IF(OR(1985308.615="",2050.89429="",1819.73878=""),"-",(1819.73878-2050.89429)/1985308.615*100)</f>
        <v>-0.01164330362813644</v>
      </c>
      <c r="G90" s="27">
        <f>IF(OR(1868312.11307="",437.03194="",1819.73878=""),"-",(437.03194-1819.73878)/1868312.11307*100)</f>
        <v>-0.07400834316317437</v>
      </c>
    </row>
    <row r="91" spans="1:7" s="16" customFormat="1" ht="15">
      <c r="A91" s="38" t="s">
        <v>231</v>
      </c>
      <c r="B91" s="27">
        <f>IF(412.77043="","-",412.77043)</f>
        <v>412.77043</v>
      </c>
      <c r="C91" s="27" t="s">
        <v>251</v>
      </c>
      <c r="D91" s="27">
        <f>IF(153.71509="","-",153.71509/1868312.11307*100)</f>
        <v>0.008227484525988338</v>
      </c>
      <c r="E91" s="27">
        <f>IF(412.77043="","-",412.77043/2181439.02047*100)</f>
        <v>0.01892193300507969</v>
      </c>
      <c r="F91" s="27">
        <f>IF(OR(1985308.615="",180.2976="",153.71509=""),"-",(153.71509-180.2976)/1985308.615*100)</f>
        <v>-0.0013389610964842352</v>
      </c>
      <c r="G91" s="27">
        <f>IF(OR(1868312.11307="",412.77043="",153.71509=""),"-",(412.77043-153.71509)/1868312.11307*100)</f>
        <v>0.013865742141676837</v>
      </c>
    </row>
    <row r="92" spans="1:7" ht="15">
      <c r="A92" s="38" t="s">
        <v>179</v>
      </c>
      <c r="B92" s="27">
        <f>IF(410.92923="","-",410.92923)</f>
        <v>410.92923</v>
      </c>
      <c r="C92" s="27">
        <f>IF(OR(550.71653="",410.92923=""),"-",410.92923/550.71653*100)</f>
        <v>74.6171955288867</v>
      </c>
      <c r="D92" s="27">
        <f>IF(550.71653="","-",550.71653/1868312.11307*100)</f>
        <v>0.029476687869622903</v>
      </c>
      <c r="E92" s="27">
        <f>IF(410.92923="","-",410.92923/2181439.02047*100)</f>
        <v>0.018837530004000003</v>
      </c>
      <c r="F92" s="27">
        <f>IF(OR(1985308.615="",1234.62192="",550.71653=""),"-",(550.71653-1234.62192)/1985308.615*100)</f>
        <v>-0.03444831623822879</v>
      </c>
      <c r="G92" s="27">
        <f>IF(OR(1868312.11307="",410.92923="",550.71653=""),"-",(410.92923-550.71653)/1868312.11307*100)</f>
        <v>-0.007482010046506753</v>
      </c>
    </row>
    <row r="93" spans="1:7" ht="15">
      <c r="A93" s="38" t="s">
        <v>178</v>
      </c>
      <c r="B93" s="27">
        <f>IF(400.33474="","-",400.33474)</f>
        <v>400.33474</v>
      </c>
      <c r="C93" s="27">
        <f>IF(OR(618.43225="",400.33474=""),"-",400.33474/618.43225*100)</f>
        <v>64.73380713893883</v>
      </c>
      <c r="D93" s="27">
        <f>IF(618.43225="","-",618.43225/1868312.11307*100)</f>
        <v>0.033101120828457065</v>
      </c>
      <c r="E93" s="27">
        <f>IF(400.33474="","-",400.33474/2181439.02047*100)</f>
        <v>0.018351864812326785</v>
      </c>
      <c r="F93" s="27">
        <f>IF(OR(1985308.615="",1094.24586="",618.43225=""),"-",(618.43225-1094.24586)/1985308.615*100)</f>
        <v>-0.023966732749003863</v>
      </c>
      <c r="G93" s="27">
        <f>IF(OR(1868312.11307="",400.33474="",618.43225=""),"-",(400.33474-618.43225)/1868312.11307*100)</f>
        <v>-0.011673505110536555</v>
      </c>
    </row>
    <row r="94" spans="1:7" ht="15">
      <c r="A94" s="38" t="s">
        <v>144</v>
      </c>
      <c r="B94" s="27">
        <f>IF(378.36426="","-",378.36426)</f>
        <v>378.36426</v>
      </c>
      <c r="C94" s="27">
        <f>IF(OR(810.53411="",378.36426=""),"-",378.36426/810.53411*100)</f>
        <v>46.68085591117195</v>
      </c>
      <c r="D94" s="27">
        <f>IF(810.53411="","-",810.53411/1868312.11307*100)</f>
        <v>0.04338322833373568</v>
      </c>
      <c r="E94" s="27">
        <f>IF(378.36426="","-",378.36426/2181439.02047*100)</f>
        <v>0.017344709453234217</v>
      </c>
      <c r="F94" s="27">
        <f>IF(OR(1985308.615="",325.43692="",810.53411=""),"-",(810.53411-325.43692)/1985308.615*100)</f>
        <v>0.02443434669727659</v>
      </c>
      <c r="G94" s="27">
        <f>IF(OR(1868312.11307="",378.36426="",810.53411=""),"-",(378.36426-810.53411)/1868312.11307*100)</f>
        <v>-0.0231315660256498</v>
      </c>
    </row>
    <row r="95" spans="1:7" ht="15">
      <c r="A95" s="38" t="s">
        <v>193</v>
      </c>
      <c r="B95" s="27">
        <f>IF(343.95504="","-",343.95504)</f>
        <v>343.95504</v>
      </c>
      <c r="C95" s="27">
        <f>IF(OR(251.4888="",343.95504=""),"-",343.95504/251.4888*100)</f>
        <v>136.7675379579528</v>
      </c>
      <c r="D95" s="27">
        <f>IF(251.4888="","-",251.4888/1868312.11307*100)</f>
        <v>0.013460748781784378</v>
      </c>
      <c r="E95" s="27">
        <f>IF(343.95504="","-",343.95504/2181439.02047*100)</f>
        <v>0.01576734608542454</v>
      </c>
      <c r="F95" s="27">
        <f>IF(OR(1985308.615="",189.77319="",251.4888=""),"-",(251.4888-189.77319)/1985308.615*100)</f>
        <v>0.003108615433072102</v>
      </c>
      <c r="G95" s="27">
        <f>IF(OR(1868312.11307="",343.95504="",251.4888=""),"-",(343.95504-251.4888)/1868312.11307*100)</f>
        <v>0.004949185917767241</v>
      </c>
    </row>
    <row r="96" spans="1:7" ht="15">
      <c r="A96" s="38" t="s">
        <v>180</v>
      </c>
      <c r="B96" s="27">
        <f>IF(343.6729="","-",343.6729)</f>
        <v>343.6729</v>
      </c>
      <c r="C96" s="27">
        <f>IF(OR(489.11742="",343.6729=""),"-",343.6729/489.11742*100)</f>
        <v>70.26388469255502</v>
      </c>
      <c r="D96" s="27">
        <f>IF(489.11742="","-",489.11742/1868312.11307*100)</f>
        <v>0.026179641858462558</v>
      </c>
      <c r="E96" s="27">
        <f>IF(343.6729="","-",343.6729/2181439.02047*100)</f>
        <v>0.015754412421116144</v>
      </c>
      <c r="F96" s="27">
        <f>IF(OR(1985308.615="",483.01771="",489.11742=""),"-",(489.11742-483.01771)/1985308.615*100)</f>
        <v>0.0003072424082539912</v>
      </c>
      <c r="G96" s="27">
        <f>IF(OR(1868312.11307="",343.6729="",489.11742=""),"-",(343.6729-489.11742)/1868312.11307*100)</f>
        <v>-0.007784808490108559</v>
      </c>
    </row>
    <row r="97" spans="1:7" ht="15">
      <c r="A97" s="38" t="s">
        <v>166</v>
      </c>
      <c r="B97" s="27">
        <f>IF(332.22988="","-",332.22988)</f>
        <v>332.22988</v>
      </c>
      <c r="C97" s="27">
        <f>IF(OR(455.60509="",332.22988=""),"-",332.22988/455.60509*100)</f>
        <v>72.92058128674549</v>
      </c>
      <c r="D97" s="27">
        <f>IF(455.60509="","-",455.60509/1868312.11307*100)</f>
        <v>0.024385919612293916</v>
      </c>
      <c r="E97" s="27">
        <f>IF(332.22988="","-",332.22988/2181439.02047*100)</f>
        <v>0.015229849511375279</v>
      </c>
      <c r="F97" s="27">
        <f>IF(OR(1985308.615="",292.3344="",455.60509=""),"-",(455.60509-292.3344)/1985308.615*100)</f>
        <v>0.008223945071633107</v>
      </c>
      <c r="G97" s="27">
        <f>IF(OR(1868312.11307="",332.22988="",455.60509=""),"-",(332.22988-455.60509)/1868312.11307*100)</f>
        <v>-0.00660356527889072</v>
      </c>
    </row>
    <row r="98" spans="1:7" ht="15">
      <c r="A98" s="38" t="s">
        <v>165</v>
      </c>
      <c r="B98" s="27">
        <f>IF(319.17961="","-",319.17961)</f>
        <v>319.17961</v>
      </c>
      <c r="C98" s="27">
        <f>IF(OR(761.95734="",319.17961=""),"-",319.17961/761.95734*100)</f>
        <v>41.88943307508528</v>
      </c>
      <c r="D98" s="27">
        <f>IF(761.95734="","-",761.95734/1868312.11307*100)</f>
        <v>0.04078319327213246</v>
      </c>
      <c r="E98" s="27">
        <f>IF(319.17961="","-",319.17961/2181439.02047*100)</f>
        <v>0.014631608172628702</v>
      </c>
      <c r="F98" s="27">
        <f>IF(OR(1985308.615="",1240.15483="",761.95734=""),"-",(761.95734-1240.15483)/1985308.615*100)</f>
        <v>-0.024086808790682646</v>
      </c>
      <c r="G98" s="27">
        <f>IF(OR(1868312.11307="",319.17961="",761.95734=""),"-",(319.17961-761.95734)/1868312.11307*100)</f>
        <v>-0.02369934482051985</v>
      </c>
    </row>
    <row r="99" spans="1:7" ht="15">
      <c r="A99" s="38" t="s">
        <v>207</v>
      </c>
      <c r="B99" s="27">
        <f>IF(262.56532="","-",262.56532)</f>
        <v>262.56532</v>
      </c>
      <c r="C99" s="27" t="s">
        <v>252</v>
      </c>
      <c r="D99" s="27">
        <f>IF(5.24822="","-",5.24822/1868312.11307*100)</f>
        <v>0.0002809070263627502</v>
      </c>
      <c r="E99" s="27">
        <f>IF(262.56532="","-",262.56532/2181439.02047*100)</f>
        <v>0.012036335535220655</v>
      </c>
      <c r="F99" s="27">
        <f>IF(OR(1985308.615="",758.48931="",5.24822=""),"-",(5.24822-758.48931)/1985308.615*100)</f>
        <v>-0.037940755624031784</v>
      </c>
      <c r="G99" s="27">
        <f>IF(OR(1868312.11307="",262.56532="",5.24822=""),"-",(262.56532-5.24822)/1868312.11307*100)</f>
        <v>0.01377270415365332</v>
      </c>
    </row>
    <row r="100" spans="1:7" ht="15">
      <c r="A100" s="38" t="s">
        <v>213</v>
      </c>
      <c r="B100" s="27">
        <f>IF(213.50759="","-",213.50759)</f>
        <v>213.50759</v>
      </c>
      <c r="C100" s="27" t="s">
        <v>215</v>
      </c>
      <c r="D100" s="27">
        <f>IF(120.13533="","-",120.13533/1868312.11307*100)</f>
        <v>0.006430153139808867</v>
      </c>
      <c r="E100" s="27">
        <f>IF(213.50759="","-",213.50759/2181439.02047*100)</f>
        <v>0.009787465429769333</v>
      </c>
      <c r="F100" s="27">
        <f>IF(OR(1985308.615="",60.33954="",120.13533=""),"-",(120.13533-60.33954)/1985308.615*100)</f>
        <v>0.003011914094776645</v>
      </c>
      <c r="G100" s="27">
        <f>IF(OR(1868312.11307="",213.50759="",120.13533=""),"-",(213.50759-120.13533)/1868312.11307*100)</f>
        <v>0.004997679956512791</v>
      </c>
    </row>
    <row r="101" spans="1:7" ht="15">
      <c r="A101" s="38" t="s">
        <v>192</v>
      </c>
      <c r="B101" s="27">
        <f>IF(155.14175="","-",155.14175)</f>
        <v>155.14175</v>
      </c>
      <c r="C101" s="27" t="s">
        <v>185</v>
      </c>
      <c r="D101" s="27">
        <f>IF(75.29001="","-",75.29001/1868312.11307*100)</f>
        <v>0.0040298411316449624</v>
      </c>
      <c r="E101" s="27">
        <f>IF(155.14175="","-",155.14175/2181439.02047*100)</f>
        <v>0.007111899463803214</v>
      </c>
      <c r="F101" s="27">
        <f>IF(OR(1985308.615="",36.83259="",75.29001=""),"-",(75.29001-36.83259)/1985308.615*100)</f>
        <v>0.001937100343464736</v>
      </c>
      <c r="G101" s="27">
        <f>IF(OR(1868312.11307="",155.14175="",75.29001=""),"-",(155.14175-75.29001)/1868312.11307*100)</f>
        <v>0.00427400429732204</v>
      </c>
    </row>
    <row r="102" spans="1:7" ht="15">
      <c r="A102" s="38" t="s">
        <v>194</v>
      </c>
      <c r="B102" s="27">
        <f>IF(132.14255="","-",132.14255)</f>
        <v>132.14255</v>
      </c>
      <c r="C102" s="27" t="s">
        <v>251</v>
      </c>
      <c r="D102" s="27">
        <f>IF(48.2785="","-",48.2785/1868312.11307*100)</f>
        <v>0.002584070384292967</v>
      </c>
      <c r="E102" s="27">
        <f>IF(132.14255="","-",132.14255/2181439.02047*100)</f>
        <v>0.006057586242843009</v>
      </c>
      <c r="F102" s="27">
        <f>IF(OR(1985308.615="",54.71933="",48.2785=""),"-",(48.2785-54.71933)/1985308.615*100)</f>
        <v>-0.00032442462352383426</v>
      </c>
      <c r="G102" s="27">
        <f>IF(OR(1868312.11307="",132.14255="",48.2785=""),"-",(132.14255-48.2785)/1868312.11307*100)</f>
        <v>0.004488760170922141</v>
      </c>
    </row>
    <row r="103" spans="1:7" ht="15">
      <c r="A103" s="38" t="s">
        <v>235</v>
      </c>
      <c r="B103" s="27">
        <f>IF(78.39473="","-",78.39473)</f>
        <v>78.39473</v>
      </c>
      <c r="C103" s="27">
        <f>IF(OR(77.40624="",78.39473=""),"-",78.39473/77.40624*100)</f>
        <v>101.27701590982845</v>
      </c>
      <c r="D103" s="27">
        <f>IF(77.40624="","-",77.40624/1868312.11307*100)</f>
        <v>0.004143110749991686</v>
      </c>
      <c r="E103" s="27">
        <f>IF(78.39473="","-",78.39473/2181439.02047*100)</f>
        <v>0.003593716315898188</v>
      </c>
      <c r="F103" s="27">
        <f>IF(OR(1985308.615="",30.24776="",77.40624=""),"-",(77.40624-30.24776)/1985308.615*100)</f>
        <v>0.002375372757852058</v>
      </c>
      <c r="G103" s="27">
        <f>IF(OR(1868312.11307="",78.39473="",77.40624=""),"-",(78.39473-77.40624)/1868312.11307*100)</f>
        <v>5.2908183439206935E-05</v>
      </c>
    </row>
    <row r="104" spans="1:7" ht="15">
      <c r="A104" s="38" t="s">
        <v>226</v>
      </c>
      <c r="B104" s="27">
        <f>IF(70.03667="","-",70.03667)</f>
        <v>70.03667</v>
      </c>
      <c r="C104" s="27" t="s">
        <v>123</v>
      </c>
      <c r="D104" s="27">
        <f>IF(28.67875="","-",28.67875/1868312.11307*100)</f>
        <v>0.0015350085138010072</v>
      </c>
      <c r="E104" s="27">
        <f>IF(70.03667="","-",70.03667/2181439.02047*100)</f>
        <v>0.003210571982200553</v>
      </c>
      <c r="F104" s="27">
        <f>IF(OR(1985308.615="",11.7827="",28.67875=""),"-",(28.67875-11.7827)/1985308.615*100)</f>
        <v>0.0008510540815841874</v>
      </c>
      <c r="G104" s="27">
        <f>IF(OR(1868312.11307="",70.03667="",28.67875=""),"-",(70.03667-28.67875)/1868312.11307*100)</f>
        <v>0.0022136515473338606</v>
      </c>
    </row>
    <row r="105" spans="1:7" ht="15">
      <c r="A105" s="38" t="s">
        <v>227</v>
      </c>
      <c r="B105" s="27">
        <f>IF(61.10502="","-",61.10502)</f>
        <v>61.10502</v>
      </c>
      <c r="C105" s="27">
        <f>IF(OR(102.18415="",61.10502=""),"-",61.10502/102.18415*100)</f>
        <v>59.79892184844714</v>
      </c>
      <c r="D105" s="27">
        <f>IF(102.18415="","-",102.18415/1868312.11307*100)</f>
        <v>0.005469329738064567</v>
      </c>
      <c r="E105" s="27">
        <f>IF(61.10502="","-",61.10502/2181439.02047*100)</f>
        <v>0.00280113353738555</v>
      </c>
      <c r="F105" s="27">
        <f>IF(OR(1985308.615="",200.53455="",102.18415=""),"-",(102.18415-200.53455)/1985308.615*100)</f>
        <v>-0.004953909898789212</v>
      </c>
      <c r="G105" s="27">
        <f>IF(OR(1868312.11307="",61.10502="",102.18415=""),"-",(61.10502-102.18415)/1868312.11307*100)</f>
        <v>-0.0021987295223654577</v>
      </c>
    </row>
    <row r="106" spans="1:7" ht="15">
      <c r="A106" s="38" t="s">
        <v>248</v>
      </c>
      <c r="B106" s="27">
        <f>IF(58.98046="","-",58.98046)</f>
        <v>58.98046</v>
      </c>
      <c r="C106" s="27">
        <f>IF(OR(43.30652="",58.98046=""),"-",58.98046/43.30652*100)</f>
        <v>136.19302590002616</v>
      </c>
      <c r="D106" s="27">
        <f>IF(43.30652="","-",43.30652/1868312.11307*100)</f>
        <v>0.0023179488960674227</v>
      </c>
      <c r="E106" s="27">
        <f>IF(58.98046="","-",58.98046/2181439.02047*100)</f>
        <v>0.0027037409456117834</v>
      </c>
      <c r="F106" s="27">
        <f>IF(OR(1985308.615="",17.15039="",43.30652=""),"-",(43.30652-17.15039)/1985308.615*100)</f>
        <v>0.0013174843347969856</v>
      </c>
      <c r="G106" s="27">
        <f>IF(OR(1868312.11307="",58.98046="",43.30652=""),"-",(58.98046-43.30652)/1868312.11307*100)</f>
        <v>0.0008389358443030523</v>
      </c>
    </row>
    <row r="107" spans="1:7" ht="15">
      <c r="A107" s="38" t="s">
        <v>228</v>
      </c>
      <c r="B107" s="27">
        <f>IF(54.8964="","-",54.8964)</f>
        <v>54.8964</v>
      </c>
      <c r="C107" s="27" t="str">
        <f>IF(OR(""="",54.8964=""),"-",54.8964/""*100)</f>
        <v>-</v>
      </c>
      <c r="D107" s="27" t="str">
        <f>IF(""="","-",""/1868312.11307*100)</f>
        <v>-</v>
      </c>
      <c r="E107" s="27">
        <f>IF(54.8964="","-",54.8964/2181439.02047*100)</f>
        <v>0.002516522326999191</v>
      </c>
      <c r="F107" s="27" t="str">
        <f>IF(OR(1985308.615="",""="",""=""),"-",(""-"")/1985308.615*100)</f>
        <v>-</v>
      </c>
      <c r="G107" s="27" t="str">
        <f>IF(OR(1868312.11307="",54.8964="",""=""),"-",(54.8964-"")/1868312.11307*100)</f>
        <v>-</v>
      </c>
    </row>
    <row r="108" spans="1:7" ht="15">
      <c r="A108" s="38" t="s">
        <v>149</v>
      </c>
      <c r="B108" s="27">
        <f>IF(50.73901="","-",50.73901)</f>
        <v>50.73901</v>
      </c>
      <c r="C108" s="27">
        <f>IF(OR(41.41475="",50.73901=""),"-",50.73901/41.41475*100)</f>
        <v>122.51434573430964</v>
      </c>
      <c r="D108" s="27">
        <f>IF(41.41475="","-",41.41475/1868312.11307*100)</f>
        <v>0.0022166933303208913</v>
      </c>
      <c r="E108" s="27">
        <f>IF(50.73901="","-",50.73901/2181439.02047*100)</f>
        <v>0.0023259421658767283</v>
      </c>
      <c r="F108" s="27">
        <f>IF(OR(1985308.615="",10.54314="",41.41475=""),"-",(41.41475-10.54314)/1985308.615*100)</f>
        <v>0.001555003074421253</v>
      </c>
      <c r="G108" s="27">
        <f>IF(OR(1868312.11307="",50.73901="",41.41475=""),"-",(50.73901-41.41475)/1868312.11307*100)</f>
        <v>0.0004990740002578279</v>
      </c>
    </row>
    <row r="109" spans="1:7" ht="15">
      <c r="A109" s="64" t="s">
        <v>28</v>
      </c>
      <c r="B109" s="64"/>
      <c r="C109" s="64"/>
      <c r="D109" s="64"/>
      <c r="E109" s="64"/>
      <c r="F109" s="64"/>
      <c r="G109" s="64"/>
    </row>
  </sheetData>
  <sheetProtection/>
  <mergeCells count="10">
    <mergeCell ref="A109:G109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2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45.875" style="0" customWidth="1"/>
    <col min="2" max="3" width="14.125" style="0" customWidth="1"/>
    <col min="4" max="4" width="14.875" style="0" customWidth="1"/>
  </cols>
  <sheetData>
    <row r="1" spans="1:4" ht="15.75">
      <c r="A1" s="65" t="s">
        <v>35</v>
      </c>
      <c r="B1" s="65"/>
      <c r="C1" s="65"/>
      <c r="D1" s="65"/>
    </row>
    <row r="2" ht="10.5" customHeight="1">
      <c r="A2" s="4"/>
    </row>
    <row r="3" spans="1:5" ht="21.75" customHeight="1">
      <c r="A3" s="75"/>
      <c r="B3" s="79" t="s">
        <v>266</v>
      </c>
      <c r="C3" s="70"/>
      <c r="D3" s="71" t="s">
        <v>267</v>
      </c>
      <c r="E3" s="1"/>
    </row>
    <row r="4" spans="1:5" ht="23.25" customHeight="1">
      <c r="A4" s="76"/>
      <c r="B4" s="20">
        <v>2016</v>
      </c>
      <c r="C4" s="19">
        <v>2017</v>
      </c>
      <c r="D4" s="80"/>
      <c r="E4" s="1"/>
    </row>
    <row r="5" spans="1:4" ht="17.25" customHeight="1">
      <c r="A5" s="7" t="s">
        <v>201</v>
      </c>
      <c r="B5" s="39">
        <f>IF(-962958.31541="","-",-962958.31541)</f>
        <v>-962958.31541</v>
      </c>
      <c r="C5" s="39">
        <f>IF(-1153197.45112="","-",-1153197.45112)</f>
        <v>-1153197.45112</v>
      </c>
      <c r="D5" s="48">
        <f>IF(-962958.31541="","-",-1153197.45112/-962958.31541*100)</f>
        <v>119.75569790152356</v>
      </c>
    </row>
    <row r="6" spans="1:4" ht="15">
      <c r="A6" s="8" t="s">
        <v>33</v>
      </c>
      <c r="B6" s="45"/>
      <c r="C6" s="44"/>
      <c r="D6" s="49"/>
    </row>
    <row r="7" spans="1:4" ht="15">
      <c r="A7" s="47" t="s">
        <v>4</v>
      </c>
      <c r="B7" s="26">
        <f>IF(-349300.531="","-",-349300.531)</f>
        <v>-349300.531</v>
      </c>
      <c r="C7" s="26">
        <f>IF(-420669.25918="","-",-420669.25918)</f>
        <v>-420669.25918</v>
      </c>
      <c r="D7" s="28">
        <f>IF(-349300.531="","-",-420669.25918/-349300.531*100)</f>
        <v>120.43189799216194</v>
      </c>
    </row>
    <row r="8" spans="1:4" ht="15">
      <c r="A8" s="38" t="s">
        <v>7</v>
      </c>
      <c r="B8" s="27">
        <f>IF(-91726.53729="","-",-91726.53729)</f>
        <v>-91726.53729</v>
      </c>
      <c r="C8" s="27">
        <f>IF(-102779.45158="","-",-102779.45158)</f>
        <v>-102779.45158</v>
      </c>
      <c r="D8" s="29">
        <f>IF(OR(-91726.53729="",-102779.45158="",-91726.53729=0),"-",-102779.45158/-91726.53729*100)</f>
        <v>112.04985450944847</v>
      </c>
    </row>
    <row r="9" spans="1:4" ht="15">
      <c r="A9" s="38" t="s">
        <v>6</v>
      </c>
      <c r="B9" s="27">
        <f>IF(-47523.30753="","-",-47523.30753)</f>
        <v>-47523.30753</v>
      </c>
      <c r="C9" s="27">
        <f>IF(-62740.04937="","-",-62740.04937)</f>
        <v>-62740.04937</v>
      </c>
      <c r="D9" s="29">
        <f>IF(OR(-47523.30753="",-62740.04937="",-47523.30753=0),"-",-62740.04937/-47523.30753*100)</f>
        <v>132.0195344787274</v>
      </c>
    </row>
    <row r="10" spans="1:4" ht="15">
      <c r="A10" s="38" t="s">
        <v>5</v>
      </c>
      <c r="B10" s="27">
        <f>IF(-26634.39448="","-",-26634.39448)</f>
        <v>-26634.39448</v>
      </c>
      <c r="C10" s="27">
        <f>IF(-49507.43819="","-",-49507.43819)</f>
        <v>-49507.43819</v>
      </c>
      <c r="D10" s="29" t="s">
        <v>218</v>
      </c>
    </row>
    <row r="11" spans="1:4" ht="15">
      <c r="A11" s="38" t="s">
        <v>126</v>
      </c>
      <c r="B11" s="27">
        <f>IF(-34982.73528="","-",-34982.73528)</f>
        <v>-34982.73528</v>
      </c>
      <c r="C11" s="27">
        <f>IF(-41828.45147="","-",-41828.45147)</f>
        <v>-41828.45147</v>
      </c>
      <c r="D11" s="29">
        <f>IF(OR(-34982.73528="",-41828.45147="",-34982.73528=0),"-",-41828.45147/-34982.73528*100)</f>
        <v>119.56884198793274</v>
      </c>
    </row>
    <row r="12" spans="1:4" ht="15">
      <c r="A12" s="38" t="s">
        <v>202</v>
      </c>
      <c r="B12" s="27">
        <f>IF(-27453.32198="","-",-27453.32198)</f>
        <v>-27453.32198</v>
      </c>
      <c r="C12" s="27">
        <f>IF(-41750.17732="","-",-41750.17732)</f>
        <v>-41750.17732</v>
      </c>
      <c r="D12" s="29">
        <f>IF(OR(-27453.32198="",-41750.17732="",-27453.32198=0),"-",-41750.17732/-27453.32198*100)</f>
        <v>152.07695939462405</v>
      </c>
    </row>
    <row r="13" spans="1:4" ht="15">
      <c r="A13" s="38" t="s">
        <v>8</v>
      </c>
      <c r="B13" s="27">
        <f>IF(-26508.50898="","-",-26508.50898)</f>
        <v>-26508.50898</v>
      </c>
      <c r="C13" s="27">
        <f>IF(-36176.34885="","-",-36176.34885)</f>
        <v>-36176.34885</v>
      </c>
      <c r="D13" s="29">
        <f>IF(OR(-26508.50898="",-36176.34885="",-26508.50898=0),"-",-36176.34885/-26508.50898*100)</f>
        <v>136.4707040946518</v>
      </c>
    </row>
    <row r="14" spans="1:4" ht="15">
      <c r="A14" s="38" t="s">
        <v>11</v>
      </c>
      <c r="B14" s="27">
        <f>IF(-25464.30607="","-",-25464.30607)</f>
        <v>-25464.30607</v>
      </c>
      <c r="C14" s="27">
        <f>IF(-20638.54654="","-",-20638.54654)</f>
        <v>-20638.54654</v>
      </c>
      <c r="D14" s="29">
        <f>IF(OR(-25464.30607="",-20638.54654="",-25464.30607=0),"-",-20638.54654/-25464.30607*100)</f>
        <v>81.04892583079135</v>
      </c>
    </row>
    <row r="15" spans="1:4" ht="15">
      <c r="A15" s="38" t="s">
        <v>124</v>
      </c>
      <c r="B15" s="27">
        <f>IF(-22136.78495="","-",-22136.78495)</f>
        <v>-22136.78495</v>
      </c>
      <c r="C15" s="27">
        <f>IF(-19040.42316="","-",-19040.42316)</f>
        <v>-19040.42316</v>
      </c>
      <c r="D15" s="29">
        <f>IF(OR(-22136.78495="",-19040.42316="",-22136.78495=0),"-",-19040.42316/-22136.78495*100)</f>
        <v>86.01259488677464</v>
      </c>
    </row>
    <row r="16" spans="1:4" ht="15">
      <c r="A16" s="38" t="s">
        <v>10</v>
      </c>
      <c r="B16" s="27">
        <f>IF(-11032.96017="","-",-11032.96017)</f>
        <v>-11032.96017</v>
      </c>
      <c r="C16" s="27">
        <f>IF(-14548.37915="","-",-14548.37915)</f>
        <v>-14548.37915</v>
      </c>
      <c r="D16" s="29">
        <f>IF(OR(-11032.96017="",-14548.37915="",-11032.96017=0),"-",-14548.37915/-11032.96017*100)</f>
        <v>131.86288109295333</v>
      </c>
    </row>
    <row r="17" spans="1:4" ht="15">
      <c r="A17" s="38" t="s">
        <v>125</v>
      </c>
      <c r="B17" s="27">
        <f>IF(-11941.56717="","-",-11941.56717)</f>
        <v>-11941.56717</v>
      </c>
      <c r="C17" s="27">
        <f>IF(-11541.17276="","-",-11541.17276)</f>
        <v>-11541.17276</v>
      </c>
      <c r="D17" s="29">
        <f>IF(OR(-11941.56717="",-11541.17276="",-11941.56717=0),"-",-11541.17276/-11941.56717*100)</f>
        <v>96.64705306849602</v>
      </c>
    </row>
    <row r="18" spans="1:4" ht="15">
      <c r="A18" s="38" t="s">
        <v>13</v>
      </c>
      <c r="B18" s="27">
        <f>IF(-10238.60858="","-",-10238.60858)</f>
        <v>-10238.60858</v>
      </c>
      <c r="C18" s="27">
        <f>IF(-11034.84588="","-",-11034.84588)</f>
        <v>-11034.84588</v>
      </c>
      <c r="D18" s="29">
        <f>IF(OR(-10238.60858="",-11034.84588="",-10238.60858=0),"-",-11034.84588/-10238.60858*100)</f>
        <v>107.77681160265627</v>
      </c>
    </row>
    <row r="19" spans="1:4" ht="15">
      <c r="A19" s="38" t="s">
        <v>136</v>
      </c>
      <c r="B19" s="27">
        <f>IF(-6161.10155="","-",-6161.10155)</f>
        <v>-6161.10155</v>
      </c>
      <c r="C19" s="27">
        <f>IF(-8258.05202="","-",-8258.05202)</f>
        <v>-8258.05202</v>
      </c>
      <c r="D19" s="29">
        <f>IF(OR(-6161.10155="",-8258.05202="",-6161.10155=0),"-",-8258.05202/-6161.10155*100)</f>
        <v>134.03531743442855</v>
      </c>
    </row>
    <row r="20" spans="1:4" ht="15">
      <c r="A20" s="38" t="s">
        <v>134</v>
      </c>
      <c r="B20" s="27">
        <f>IF(-8660.43293="","-",-8660.43293)</f>
        <v>-8660.43293</v>
      </c>
      <c r="C20" s="27">
        <f>IF(-7572.68579="","-",-7572.68579)</f>
        <v>-7572.68579</v>
      </c>
      <c r="D20" s="29">
        <f>IF(OR(-8660.43293="",-7572.68579="",-8660.43293=0),"-",-7572.68579/-8660.43293*100)</f>
        <v>87.44003736542994</v>
      </c>
    </row>
    <row r="21" spans="1:4" ht="15">
      <c r="A21" s="38" t="s">
        <v>128</v>
      </c>
      <c r="B21" s="27">
        <f>IF(-3914.71373="","-",-3914.71373)</f>
        <v>-3914.71373</v>
      </c>
      <c r="C21" s="27">
        <f>IF(-6275.2927="","-",-6275.2927)</f>
        <v>-6275.2927</v>
      </c>
      <c r="D21" s="29" t="s">
        <v>217</v>
      </c>
    </row>
    <row r="22" spans="1:6" ht="15">
      <c r="A22" s="38" t="s">
        <v>132</v>
      </c>
      <c r="B22" s="27">
        <f>IF(-4593.28806="","-",-4593.28806)</f>
        <v>-4593.28806</v>
      </c>
      <c r="C22" s="27">
        <f>IF(-6273.01431="","-",-6273.01431)</f>
        <v>-6273.01431</v>
      </c>
      <c r="D22" s="29">
        <f>IF(OR(-4593.28806="",-6273.01431="",-4593.28806=0),"-",-6273.01431/-4593.28806*100)</f>
        <v>136.56914672144467</v>
      </c>
      <c r="F22" t="s">
        <v>230</v>
      </c>
    </row>
    <row r="23" spans="1:4" ht="15">
      <c r="A23" s="38" t="s">
        <v>133</v>
      </c>
      <c r="B23" s="27">
        <f>IF(-5311.45869="","-",-5311.45869)</f>
        <v>-5311.45869</v>
      </c>
      <c r="C23" s="27">
        <f>IF(-6143.97621="","-",-6143.97621)</f>
        <v>-6143.97621</v>
      </c>
      <c r="D23" s="29">
        <f>IF(OR(-5311.45869="",-6143.97621="",-5311.45869=0),"-",-6143.97621/-5311.45869*100)</f>
        <v>115.67399030265261</v>
      </c>
    </row>
    <row r="24" spans="1:4" ht="15">
      <c r="A24" s="38" t="s">
        <v>135</v>
      </c>
      <c r="B24" s="27">
        <f>IF(-5954.99823="","-",-5954.99823)</f>
        <v>-5954.99823</v>
      </c>
      <c r="C24" s="27">
        <f>IF(-5713.88259="","-",-5713.88259)</f>
        <v>-5713.88259</v>
      </c>
      <c r="D24" s="29">
        <f>IF(OR(-5954.99823="",-5713.88259="",-5954.99823=0),"-",-5713.88259/-5954.99823*100)</f>
        <v>95.95103758746205</v>
      </c>
    </row>
    <row r="25" spans="1:4" ht="15">
      <c r="A25" s="38" t="s">
        <v>137</v>
      </c>
      <c r="B25" s="27">
        <f>IF(-2265.76238="","-",-2265.76238)</f>
        <v>-2265.76238</v>
      </c>
      <c r="C25" s="27">
        <f>IF(-2718.53801="","-",-2718.53801)</f>
        <v>-2718.53801</v>
      </c>
      <c r="D25" s="29">
        <f>IF(OR(-2265.76238="",-2718.53801="",-2265.76238=0),"-",-2718.53801/-2265.76238*100)</f>
        <v>119.98336780576257</v>
      </c>
    </row>
    <row r="26" spans="1:4" ht="15">
      <c r="A26" s="38" t="s">
        <v>127</v>
      </c>
      <c r="B26" s="27">
        <f>IF(-2494.8872="","-",-2494.8872)</f>
        <v>-2494.8872</v>
      </c>
      <c r="C26" s="27">
        <f>IF(-1664.20478="","-",-1664.20478)</f>
        <v>-1664.20478</v>
      </c>
      <c r="D26" s="29">
        <f>IF(OR(-2494.8872="",-1664.20478="",-2494.8872=0),"-",-1664.20478/-2494.8872*100)</f>
        <v>66.70461013227371</v>
      </c>
    </row>
    <row r="27" spans="1:4" ht="15">
      <c r="A27" s="38" t="s">
        <v>129</v>
      </c>
      <c r="B27" s="27">
        <f>IF(-1497.56978="","-",-1497.56978)</f>
        <v>-1497.56978</v>
      </c>
      <c r="C27" s="27">
        <f>IF(-1283.02375="","-",-1283.02375)</f>
        <v>-1283.02375</v>
      </c>
      <c r="D27" s="29">
        <f>IF(OR(-1497.56978="",-1283.02375="",-1497.56978=0),"-",-1283.02375/-1497.56978*100)</f>
        <v>85.67372065961428</v>
      </c>
    </row>
    <row r="28" spans="1:4" ht="15">
      <c r="A28" s="38" t="s">
        <v>138</v>
      </c>
      <c r="B28" s="27">
        <f>IF(-847.09162="","-",-847.09162)</f>
        <v>-847.09162</v>
      </c>
      <c r="C28" s="27">
        <f>IF(-1151.64752="","-",-1151.64752)</f>
        <v>-1151.64752</v>
      </c>
      <c r="D28" s="29">
        <f>IF(OR(-847.09162="",-1151.64752="",-847.09162=0),"-",-1151.64752/-847.09162*100)</f>
        <v>135.95312393717222</v>
      </c>
    </row>
    <row r="29" spans="1:4" ht="15">
      <c r="A29" s="38" t="s">
        <v>130</v>
      </c>
      <c r="B29" s="27">
        <f>IF(3.48825="","-",3.48825)</f>
        <v>3.48825</v>
      </c>
      <c r="C29" s="27">
        <f>IF(-1051.02789="","-",-1051.02789)</f>
        <v>-1051.02789</v>
      </c>
      <c r="D29" s="29" t="s">
        <v>34</v>
      </c>
    </row>
    <row r="30" spans="1:4" ht="15">
      <c r="A30" s="38" t="s">
        <v>203</v>
      </c>
      <c r="B30" s="27">
        <f>IF(-583.55447="","-",-583.55447)</f>
        <v>-583.55447</v>
      </c>
      <c r="C30" s="27">
        <f>IF(-905.75621="","-",-905.75621)</f>
        <v>-905.75621</v>
      </c>
      <c r="D30" s="29">
        <f>IF(OR(-583.55447="",-905.75621="",-583.55447=0),"-",-905.75621/-583.55447*100)</f>
        <v>155.21365297741613</v>
      </c>
    </row>
    <row r="31" spans="1:4" ht="15">
      <c r="A31" s="38" t="s">
        <v>139</v>
      </c>
      <c r="B31" s="27">
        <f>IF(-187.43541="","-",-187.43541)</f>
        <v>-187.43541</v>
      </c>
      <c r="C31" s="27">
        <f>IF(-204.81595="","-",-204.81595)</f>
        <v>-204.81595</v>
      </c>
      <c r="D31" s="29">
        <f>IF(OR(-187.43541="",-204.81595="",-187.43541=0),"-",-204.81595/-187.43541*100)</f>
        <v>109.27281563286253</v>
      </c>
    </row>
    <row r="32" spans="1:4" ht="15">
      <c r="A32" s="38" t="s">
        <v>12</v>
      </c>
      <c r="B32" s="27">
        <f>IF(-203.49291="","-",-203.49291)</f>
        <v>-203.49291</v>
      </c>
      <c r="C32" s="27">
        <f>IF(1084.17776="","-",1084.17776)</f>
        <v>1084.17776</v>
      </c>
      <c r="D32" s="29" t="s">
        <v>34</v>
      </c>
    </row>
    <row r="33" spans="1:4" ht="15">
      <c r="A33" s="38" t="s">
        <v>131</v>
      </c>
      <c r="B33" s="27">
        <f>IF(530.73681="","-",530.73681)</f>
        <v>530.73681</v>
      </c>
      <c r="C33" s="27">
        <f>IF(2773.71348="","-",2773.71348)</f>
        <v>2773.71348</v>
      </c>
      <c r="D33" s="29" t="s">
        <v>253</v>
      </c>
    </row>
    <row r="34" spans="1:4" ht="15">
      <c r="A34" s="38" t="s">
        <v>9</v>
      </c>
      <c r="B34" s="27">
        <f>IF(162.3555="","-",162.3555)</f>
        <v>162.3555</v>
      </c>
      <c r="C34" s="27">
        <f>IF(4135.75814="","-",4135.75814)</f>
        <v>4135.75814</v>
      </c>
      <c r="D34" s="29" t="s">
        <v>254</v>
      </c>
    </row>
    <row r="35" spans="1:4" ht="15">
      <c r="A35" s="38" t="s">
        <v>211</v>
      </c>
      <c r="B35" s="27">
        <f>IF(28321.70788="","-",28321.70788)</f>
        <v>28321.70788</v>
      </c>
      <c r="C35" s="27">
        <f>IF(32138.29344="","-",32138.29344)</f>
        <v>32138.29344</v>
      </c>
      <c r="D35" s="29">
        <f>IF(OR(28321.70788="",32138.29344="",28321.70788=0),"-",32138.29344/28321.70788*100)</f>
        <v>113.47583124637468</v>
      </c>
    </row>
    <row r="36" spans="1:4" ht="15">
      <c r="A36" s="47" t="s">
        <v>14</v>
      </c>
      <c r="B36" s="26">
        <f>IF(-284903.51385="","-",-284903.51385)</f>
        <v>-284903.51385</v>
      </c>
      <c r="C36" s="26">
        <f>IF(-325859.18855="","-",-325859.18855)</f>
        <v>-325859.18855</v>
      </c>
      <c r="D36" s="28">
        <f>IF(-284903.51385="","-",-325859.18855/-284903.51385*100)</f>
        <v>114.37527889584504</v>
      </c>
    </row>
    <row r="37" spans="1:4" ht="15">
      <c r="A37" s="38" t="s">
        <v>16</v>
      </c>
      <c r="B37" s="27">
        <f>IF(-148078.9913="","-",-148078.9913)</f>
        <v>-148078.9913</v>
      </c>
      <c r="C37" s="27">
        <f>IF(-194861.85872="","-",-194861.85872)</f>
        <v>-194861.85872</v>
      </c>
      <c r="D37" s="29">
        <f>IF(OR(-148078.9913="",-194861.85872="",-148078.9913=0),"-",-194861.85872/-148078.9913*100)</f>
        <v>131.5931834822</v>
      </c>
    </row>
    <row r="38" spans="1:4" ht="15">
      <c r="A38" s="38" t="s">
        <v>212</v>
      </c>
      <c r="B38" s="27">
        <f>IF(-154316.83764="","-",-154316.83764)</f>
        <v>-154316.83764</v>
      </c>
      <c r="C38" s="27">
        <f>IF(-144948.25817="","-",-144948.25817)</f>
        <v>-144948.25817</v>
      </c>
      <c r="D38" s="29">
        <f>IF(OR(-154316.83764="",-144948.25817="",-154316.83764=0),"-",-144948.25817/-154316.83764*100)</f>
        <v>93.92899724147041</v>
      </c>
    </row>
    <row r="39" spans="1:4" ht="15">
      <c r="A39" s="38" t="s">
        <v>22</v>
      </c>
      <c r="B39" s="27">
        <f>IF(316.60106="","-",316.60106)</f>
        <v>316.60106</v>
      </c>
      <c r="C39" s="27">
        <f>IF(111.26737="","-",111.26737)</f>
        <v>111.26737</v>
      </c>
      <c r="D39" s="29">
        <f>IF(OR(316.60106="",111.26737="",316.60106=0),"-",111.26737/316.60106*100)</f>
        <v>35.14434537900789</v>
      </c>
    </row>
    <row r="40" spans="1:4" ht="15">
      <c r="A40" s="38" t="s">
        <v>21</v>
      </c>
      <c r="B40" s="27">
        <f>IF(424.83986="","-",424.83986)</f>
        <v>424.83986</v>
      </c>
      <c r="C40" s="27">
        <f>IF(215.58789="","-",215.58789)</f>
        <v>215.58789</v>
      </c>
      <c r="D40" s="29">
        <f>IF(OR(424.83986="",215.58789="",424.83986=0),"-",215.58789/424.83986*100)</f>
        <v>50.745683326418565</v>
      </c>
    </row>
    <row r="41" spans="1:4" ht="15">
      <c r="A41" s="38" t="s">
        <v>23</v>
      </c>
      <c r="B41" s="27">
        <f>IF(239.45816="","-",239.45816)</f>
        <v>239.45816</v>
      </c>
      <c r="C41" s="27">
        <f>IF(281.4225="","-",281.4225)</f>
        <v>281.4225</v>
      </c>
      <c r="D41" s="29">
        <f>IF(OR(239.45816="",281.4225="",239.45816=0),"-",281.4225/239.45816*100)</f>
        <v>117.52470661262913</v>
      </c>
    </row>
    <row r="42" spans="1:4" ht="15">
      <c r="A42" s="38" t="s">
        <v>20</v>
      </c>
      <c r="B42" s="27">
        <f>IF(340.99572="","-",340.99572)</f>
        <v>340.99572</v>
      </c>
      <c r="C42" s="27">
        <f>IF(469.41403="","-",469.41403)</f>
        <v>469.41403</v>
      </c>
      <c r="D42" s="29">
        <f>IF(OR(340.99572="",469.41403="",340.99572=0),"-",469.41403/340.99572*100)</f>
        <v>137.65980112594963</v>
      </c>
    </row>
    <row r="43" spans="1:4" ht="15">
      <c r="A43" s="38" t="s">
        <v>19</v>
      </c>
      <c r="B43" s="27">
        <f>IF(795.5184="","-",795.5184)</f>
        <v>795.5184</v>
      </c>
      <c r="C43" s="27">
        <f>IF(666.58756="","-",666.58756)</f>
        <v>666.58756</v>
      </c>
      <c r="D43" s="29">
        <f>IF(OR(795.5184="",666.58756="",795.5184=0),"-",666.58756/795.5184*100)</f>
        <v>83.79285256004135</v>
      </c>
    </row>
    <row r="44" spans="1:4" ht="15">
      <c r="A44" s="38" t="s">
        <v>18</v>
      </c>
      <c r="B44" s="27">
        <f>IF(1434.84686="","-",1434.84686)</f>
        <v>1434.84686</v>
      </c>
      <c r="C44" s="27">
        <f>IF(2392.9966="","-",2392.9966)</f>
        <v>2392.9966</v>
      </c>
      <c r="D44" s="29" t="s">
        <v>216</v>
      </c>
    </row>
    <row r="45" spans="1:4" ht="15">
      <c r="A45" s="38" t="s">
        <v>15</v>
      </c>
      <c r="B45" s="27">
        <f>IF(8989.10243="","-",8989.10243)</f>
        <v>8989.10243</v>
      </c>
      <c r="C45" s="27">
        <f>IF(3868.78942="","-",3868.78942)</f>
        <v>3868.78942</v>
      </c>
      <c r="D45" s="29">
        <f>IF(OR(8989.10243="",3868.78942="",8989.10243=0),"-",3868.78942/8989.10243*100)</f>
        <v>43.03866209253997</v>
      </c>
    </row>
    <row r="46" spans="1:4" ht="15">
      <c r="A46" s="38" t="s">
        <v>17</v>
      </c>
      <c r="B46" s="27">
        <f>IF(4950.9526="","-",4950.9526)</f>
        <v>4950.9526</v>
      </c>
      <c r="C46" s="27">
        <f>IF(5944.86297="","-",5944.86297)</f>
        <v>5944.86297</v>
      </c>
      <c r="D46" s="29">
        <f>IF(OR(4950.9526="",5944.86297="",4950.9526=0),"-",5944.86297/4950.9526*100)</f>
        <v>120.07513402572265</v>
      </c>
    </row>
    <row r="47" spans="1:4" ht="15">
      <c r="A47" s="9" t="s">
        <v>24</v>
      </c>
      <c r="B47" s="26">
        <f>IF(-328754.27056="","-",-328754.27056)</f>
        <v>-328754.27056</v>
      </c>
      <c r="C47" s="26">
        <f>IF(-406669.00339="","-",-406669.00339)</f>
        <v>-406669.00339</v>
      </c>
      <c r="D47" s="28">
        <f>IF(-328754.27056="","-",-406669.00339/-328754.27056*100)</f>
        <v>123.69999108978269</v>
      </c>
    </row>
    <row r="48" spans="1:4" ht="15">
      <c r="A48" s="38" t="s">
        <v>143</v>
      </c>
      <c r="B48" s="27">
        <f>IF(-162569.19686="","-",-162569.19686)</f>
        <v>-162569.19686</v>
      </c>
      <c r="C48" s="27">
        <f>IF(-213438.35332="","-",-213438.35332)</f>
        <v>-213438.35332</v>
      </c>
      <c r="D48" s="29">
        <f>IF(OR(-162569.19686="",-213438.35332="",-162569.19686=0),"-",-213438.35332/-162569.19686*100)</f>
        <v>131.290771832875</v>
      </c>
    </row>
    <row r="49" spans="1:4" ht="15">
      <c r="A49" s="38" t="s">
        <v>140</v>
      </c>
      <c r="B49" s="27">
        <f>IF(-100954.25362="","-",-100954.25362)</f>
        <v>-100954.25362</v>
      </c>
      <c r="C49" s="27">
        <f>IF(-96174.84023="","-",-96174.84023)</f>
        <v>-96174.84023</v>
      </c>
      <c r="D49" s="29">
        <f>IF(OR(-100954.25362="",-96174.84023="",-100954.25362=0),"-",-96174.84023/-100954.25362*100)</f>
        <v>95.26576323570268</v>
      </c>
    </row>
    <row r="50" spans="1:4" ht="15">
      <c r="A50" s="38" t="s">
        <v>25</v>
      </c>
      <c r="B50" s="27">
        <f>IF(-21752.30492="","-",-21752.30492)</f>
        <v>-21752.30492</v>
      </c>
      <c r="C50" s="27">
        <f>IF(-31375.56916="","-",-31375.56916)</f>
        <v>-31375.56916</v>
      </c>
      <c r="D50" s="29">
        <f>IF(OR(-21752.30492="",-31375.56916="",-21752.30492=0),"-",-31375.56916/-21752.30492*100)</f>
        <v>144.24020477550386</v>
      </c>
    </row>
    <row r="51" spans="1:4" ht="15">
      <c r="A51" s="38" t="s">
        <v>162</v>
      </c>
      <c r="B51" s="27">
        <f>IF(-13372.58673="","-",-13372.58673)</f>
        <v>-13372.58673</v>
      </c>
      <c r="C51" s="27">
        <f>IF(-14776.21194="","-",-14776.21194)</f>
        <v>-14776.21194</v>
      </c>
      <c r="D51" s="29">
        <f>IF(OR(-13372.58673="",-14776.21194="",-13372.58673=0),"-",-14776.21194/-13372.58673*100)</f>
        <v>110.49628795340777</v>
      </c>
    </row>
    <row r="52" spans="1:4" ht="15">
      <c r="A52" s="38" t="s">
        <v>158</v>
      </c>
      <c r="B52" s="27">
        <f>IF(-7232.10198="","-",-7232.10198)</f>
        <v>-7232.10198</v>
      </c>
      <c r="C52" s="27">
        <f>IF(-13867.61543="","-",-13867.61543)</f>
        <v>-13867.61543</v>
      </c>
      <c r="D52" s="29" t="s">
        <v>218</v>
      </c>
    </row>
    <row r="53" spans="1:4" ht="15">
      <c r="A53" s="38" t="s">
        <v>155</v>
      </c>
      <c r="B53" s="27">
        <f>IF(-11852.55198="","-",-11852.55198)</f>
        <v>-11852.55198</v>
      </c>
      <c r="C53" s="27">
        <f>IF(-13861.81241="","-",-13861.81241)</f>
        <v>-13861.81241</v>
      </c>
      <c r="D53" s="29">
        <f>IF(OR(-11852.55198="",-13861.81241="",-11852.55198=0),"-",-13861.81241/-11852.55198*100)</f>
        <v>116.95213345944762</v>
      </c>
    </row>
    <row r="54" spans="1:4" ht="15">
      <c r="A54" s="38" t="s">
        <v>115</v>
      </c>
      <c r="B54" s="27">
        <f>IF(-10044.80767="","-",-10044.80767)</f>
        <v>-10044.80767</v>
      </c>
      <c r="C54" s="27">
        <f>IF(-11031.727="","-",-11031.727)</f>
        <v>-11031.727</v>
      </c>
      <c r="D54" s="29">
        <f>IF(OR(-10044.80767="",-11031.727="",-10044.80767=0),"-",-11031.727/-10044.80767*100)</f>
        <v>109.82516900694425</v>
      </c>
    </row>
    <row r="55" spans="1:4" ht="15">
      <c r="A55" s="38" t="s">
        <v>156</v>
      </c>
      <c r="B55" s="27">
        <f>IF(-6101.44604="","-",-6101.44604)</f>
        <v>-6101.44604</v>
      </c>
      <c r="C55" s="27">
        <f>IF(-8042.30579="","-",-8042.30579)</f>
        <v>-8042.30579</v>
      </c>
      <c r="D55" s="29">
        <f>IF(OR(-6101.44604="",-8042.30579="",-6101.44604=0),"-",-8042.30579/-6101.44604*100)</f>
        <v>131.80983224756997</v>
      </c>
    </row>
    <row r="56" spans="1:4" ht="15">
      <c r="A56" s="38" t="s">
        <v>167</v>
      </c>
      <c r="B56" s="27">
        <f>IF(-5243.34704="","-",-5243.34704)</f>
        <v>-5243.34704</v>
      </c>
      <c r="C56" s="27">
        <f>IF(-6930.17435="","-",-6930.17435)</f>
        <v>-6930.17435</v>
      </c>
      <c r="D56" s="29">
        <f>IF(OR(-5243.34704="",-6930.17435="",-5243.34704=0),"-",-6930.17435/-5243.34704*100)</f>
        <v>132.17081183319883</v>
      </c>
    </row>
    <row r="57" spans="1:4" ht="15">
      <c r="A57" s="38" t="s">
        <v>157</v>
      </c>
      <c r="B57" s="27">
        <f>IF(-2558.58912="","-",-2558.58912)</f>
        <v>-2558.58912</v>
      </c>
      <c r="C57" s="27">
        <f>IF(-4465.7532="","-",-4465.7532)</f>
        <v>-4465.7532</v>
      </c>
      <c r="D57" s="29" t="s">
        <v>216</v>
      </c>
    </row>
    <row r="58" spans="1:4" ht="15">
      <c r="A58" s="38" t="s">
        <v>152</v>
      </c>
      <c r="B58" s="27">
        <f>IF(-6579.46089="","-",-6579.46089)</f>
        <v>-6579.46089</v>
      </c>
      <c r="C58" s="27">
        <f>IF(-3806.2351="","-",-3806.2351)</f>
        <v>-3806.2351</v>
      </c>
      <c r="D58" s="29">
        <f>IF(OR(-6579.46089="",-3806.2351="",-6579.46089=0),"-",-3806.2351/-6579.46089*100)</f>
        <v>57.85025800191358</v>
      </c>
    </row>
    <row r="59" spans="1:4" ht="15">
      <c r="A59" s="38" t="s">
        <v>208</v>
      </c>
      <c r="B59" s="27">
        <f>IF(1149.49036="","-",1149.49036)</f>
        <v>1149.49036</v>
      </c>
      <c r="C59" s="27">
        <f>IF(-3758.51412="","-",-3758.51412)</f>
        <v>-3758.51412</v>
      </c>
      <c r="D59" s="29" t="s">
        <v>34</v>
      </c>
    </row>
    <row r="60" spans="1:4" ht="15">
      <c r="A60" s="38" t="s">
        <v>164</v>
      </c>
      <c r="B60" s="27">
        <f>IF(-2662.49516="","-",-2662.49516)</f>
        <v>-2662.49516</v>
      </c>
      <c r="C60" s="27">
        <f>IF(-3755.40431="","-",-3755.40431)</f>
        <v>-3755.40431</v>
      </c>
      <c r="D60" s="29">
        <f>IF(OR(-2662.49516="",-3755.40431="",-2662.49516=0),"-",-3755.40431/-2662.49516*100)</f>
        <v>141.04830560518278</v>
      </c>
    </row>
    <row r="61" spans="1:7" ht="15">
      <c r="A61" s="38" t="s">
        <v>150</v>
      </c>
      <c r="B61" s="27">
        <f>IF(-1389.29218="","-",-1389.29218)</f>
        <v>-1389.29218</v>
      </c>
      <c r="C61" s="27">
        <f>IF(-3324.08649="","-",-3324.08649)</f>
        <v>-3324.08649</v>
      </c>
      <c r="D61" s="29" t="s">
        <v>123</v>
      </c>
      <c r="E61" s="1"/>
      <c r="F61" s="1"/>
      <c r="G61" s="1"/>
    </row>
    <row r="62" spans="1:4" ht="15">
      <c r="A62" s="38" t="s">
        <v>146</v>
      </c>
      <c r="B62" s="27">
        <f>IF(-4647.29389="","-",-4647.29389)</f>
        <v>-4647.29389</v>
      </c>
      <c r="C62" s="27">
        <f>IF(-3299.21974="","-",-3299.21974)</f>
        <v>-3299.21974</v>
      </c>
      <c r="D62" s="29">
        <f>IF(OR(-4647.29389="",-3299.21974="",-4647.29389=0),"-",-3299.21974/-4647.29389*100)</f>
        <v>70.99227675484926</v>
      </c>
    </row>
    <row r="63" spans="1:4" ht="15">
      <c r="A63" s="38" t="s">
        <v>148</v>
      </c>
      <c r="B63" s="27">
        <f>IF(-336.16344="","-",-336.16344)</f>
        <v>-336.16344</v>
      </c>
      <c r="C63" s="27">
        <f>IF(-3269.53947="","-",-3269.53947)</f>
        <v>-3269.53947</v>
      </c>
      <c r="D63" s="29" t="s">
        <v>255</v>
      </c>
    </row>
    <row r="64" spans="1:4" ht="15">
      <c r="A64" s="38" t="s">
        <v>168</v>
      </c>
      <c r="B64" s="27">
        <f>IF(-2607.76938="","-",-2607.76938)</f>
        <v>-2607.76938</v>
      </c>
      <c r="C64" s="27">
        <f>IF(-3172.21883="","-",-3172.21883)</f>
        <v>-3172.21883</v>
      </c>
      <c r="D64" s="29">
        <f>IF(OR(-2607.76938="",-3172.21883="",-2607.76938=0),"-",-3172.21883/-2607.76938*100)</f>
        <v>121.64491439806689</v>
      </c>
    </row>
    <row r="65" spans="1:4" ht="15">
      <c r="A65" s="38" t="s">
        <v>170</v>
      </c>
      <c r="B65" s="27">
        <f>IF(-2150.49298="","-",-2150.49298)</f>
        <v>-2150.49298</v>
      </c>
      <c r="C65" s="27">
        <f>IF(-2827.99073="","-",-2827.99073)</f>
        <v>-2827.99073</v>
      </c>
      <c r="D65" s="29">
        <f>IF(OR(-2150.49298="",-2827.99073="",-2150.49298=0),"-",-2827.99073/-2150.49298*100)</f>
        <v>131.50429953972693</v>
      </c>
    </row>
    <row r="66" spans="1:4" ht="15">
      <c r="A66" s="38" t="s">
        <v>171</v>
      </c>
      <c r="B66" s="27">
        <f>IF(-2085.15854="","-",-2085.15854)</f>
        <v>-2085.15854</v>
      </c>
      <c r="C66" s="27">
        <f>IF(-2578.69691="","-",-2578.69691)</f>
        <v>-2578.69691</v>
      </c>
      <c r="D66" s="29">
        <f>IF(OR(-2085.15854="",-2578.69691="",-2085.15854=0),"-",-2578.69691/-2085.15854*100)</f>
        <v>123.66910527580318</v>
      </c>
    </row>
    <row r="67" spans="1:4" ht="15">
      <c r="A67" s="38" t="s">
        <v>169</v>
      </c>
      <c r="B67" s="27">
        <f>IF(-2918.23983="","-",-2918.23983)</f>
        <v>-2918.23983</v>
      </c>
      <c r="C67" s="27">
        <f>IF(-2112.73105="","-",-2112.73105)</f>
        <v>-2112.73105</v>
      </c>
      <c r="D67" s="29">
        <f>IF(OR(-2918.23983="",-2112.73105="",-2918.23983=0),"-",-2112.73105/-2918.23983*100)</f>
        <v>72.39744411274106</v>
      </c>
    </row>
    <row r="68" spans="1:7" ht="15">
      <c r="A68" s="38" t="s">
        <v>145</v>
      </c>
      <c r="B68" s="27">
        <f>IF(-395.8739="","-",-395.8739)</f>
        <v>-395.8739</v>
      </c>
      <c r="C68" s="27">
        <f>IF(-1987.36805="","-",-1987.36805)</f>
        <v>-1987.36805</v>
      </c>
      <c r="D68" s="29" t="s">
        <v>256</v>
      </c>
      <c r="E68" s="1"/>
      <c r="F68" s="1"/>
      <c r="G68" s="1"/>
    </row>
    <row r="69" spans="1:4" ht="15">
      <c r="A69" s="38" t="s">
        <v>175</v>
      </c>
      <c r="B69" s="27">
        <f>IF(-641.54178="","-",-641.54178)</f>
        <v>-641.54178</v>
      </c>
      <c r="C69" s="27">
        <f>IF(-1821.8344="","-",-1821.8344)</f>
        <v>-1821.8344</v>
      </c>
      <c r="D69" s="29" t="s">
        <v>186</v>
      </c>
    </row>
    <row r="70" spans="1:4" ht="15">
      <c r="A70" s="38" t="s">
        <v>172</v>
      </c>
      <c r="B70" s="27">
        <f>IF(-1776.93661="","-",-1776.93661)</f>
        <v>-1776.93661</v>
      </c>
      <c r="C70" s="27">
        <f>IF(-1609.10837="","-",-1609.10837)</f>
        <v>-1609.10837</v>
      </c>
      <c r="D70" s="29">
        <f>IF(OR(-1776.93661="",-1609.10837="",-1776.93661=0),"-",-1609.10837/-1776.93661*100)</f>
        <v>90.5551926244572</v>
      </c>
    </row>
    <row r="71" spans="1:4" ht="15">
      <c r="A71" s="38" t="s">
        <v>173</v>
      </c>
      <c r="B71" s="27">
        <f>IF(-1400.75992="","-",-1400.75992)</f>
        <v>-1400.75992</v>
      </c>
      <c r="C71" s="27">
        <f>IF(-1552.33096="","-",-1552.33096)</f>
        <v>-1552.33096</v>
      </c>
      <c r="D71" s="29">
        <f>IF(OR(-1400.75992="",-1552.33096="",-1400.75992=0),"-",-1552.33096/-1400.75992*100)</f>
        <v>110.82062941949395</v>
      </c>
    </row>
    <row r="72" spans="1:4" ht="15">
      <c r="A72" s="38" t="s">
        <v>151</v>
      </c>
      <c r="B72" s="27">
        <f>IF(303.81463="","-",303.81463)</f>
        <v>303.81463</v>
      </c>
      <c r="C72" s="27">
        <f>IF(-1440.15728="","-",-1440.15728)</f>
        <v>-1440.15728</v>
      </c>
      <c r="D72" s="29" t="s">
        <v>34</v>
      </c>
    </row>
    <row r="73" spans="1:4" ht="15">
      <c r="A73" s="38" t="s">
        <v>160</v>
      </c>
      <c r="B73" s="27">
        <f>IF(-1263.69143="","-",-1263.69143)</f>
        <v>-1263.69143</v>
      </c>
      <c r="C73" s="27">
        <f>IF(-1240.9536="","-",-1240.9536)</f>
        <v>-1240.9536</v>
      </c>
      <c r="D73" s="29">
        <f>IF(OR(-1263.69143="",-1240.9536="",-1263.69143=0),"-",-1240.9536/-1263.69143*100)</f>
        <v>98.20068179144018</v>
      </c>
    </row>
    <row r="74" spans="1:4" ht="15">
      <c r="A74" s="38" t="s">
        <v>159</v>
      </c>
      <c r="B74" s="27">
        <f>IF(55.66204="","-",55.66204)</f>
        <v>55.66204</v>
      </c>
      <c r="C74" s="27">
        <f>IF(-1025.12991="","-",-1025.12991)</f>
        <v>-1025.12991</v>
      </c>
      <c r="D74" s="29" t="s">
        <v>34</v>
      </c>
    </row>
    <row r="75" spans="1:4" ht="15">
      <c r="A75" s="38" t="s">
        <v>122</v>
      </c>
      <c r="B75" s="27">
        <f>IF(-1427.5371="","-",-1427.5371)</f>
        <v>-1427.5371</v>
      </c>
      <c r="C75" s="27">
        <f>IF(-1016.39813="","-",-1016.39813)</f>
        <v>-1016.39813</v>
      </c>
      <c r="D75" s="29">
        <f>IF(OR(-1427.5371="",-1016.39813="",-1427.5371=0),"-",-1016.39813/-1427.5371*100)</f>
        <v>71.19941961578442</v>
      </c>
    </row>
    <row r="76" spans="1:7" ht="15">
      <c r="A76" s="38" t="s">
        <v>181</v>
      </c>
      <c r="B76" s="27">
        <f>IF(-399.58936="","-",-399.58936)</f>
        <v>-399.58936</v>
      </c>
      <c r="C76" s="27">
        <f>IF(-831.28091="","-",-831.28091)</f>
        <v>-831.28091</v>
      </c>
      <c r="D76" s="29" t="s">
        <v>185</v>
      </c>
      <c r="E76" s="24"/>
      <c r="F76" s="24"/>
      <c r="G76" s="24"/>
    </row>
    <row r="77" spans="1:4" ht="15">
      <c r="A77" s="38" t="s">
        <v>176</v>
      </c>
      <c r="B77" s="27">
        <f>IF(-896.1551="","-",-896.1551)</f>
        <v>-896.1551</v>
      </c>
      <c r="C77" s="27">
        <f>IF(-768.03484="","-",-768.03484)</f>
        <v>-768.03484</v>
      </c>
      <c r="D77" s="29">
        <f>IF(OR(-896.1551="",-768.03484="",-896.1551=0),"-",-768.03484/-896.1551*100)</f>
        <v>85.70333862966356</v>
      </c>
    </row>
    <row r="78" spans="1:4" ht="15">
      <c r="A78" s="38" t="s">
        <v>174</v>
      </c>
      <c r="B78" s="27">
        <f>IF(-458.67815="","-",-458.67815)</f>
        <v>-458.67815</v>
      </c>
      <c r="C78" s="27">
        <f>IF(-727.68514="","-",-727.68514)</f>
        <v>-727.68514</v>
      </c>
      <c r="D78" s="29" t="s">
        <v>217</v>
      </c>
    </row>
    <row r="79" spans="1:4" ht="15">
      <c r="A79" s="38" t="s">
        <v>177</v>
      </c>
      <c r="B79" s="27">
        <f>IF(-672.64012="","-",-672.64012)</f>
        <v>-672.64012</v>
      </c>
      <c r="C79" s="27">
        <f>IF(-604.83611="","-",-604.83611)</f>
        <v>-604.83611</v>
      </c>
      <c r="D79" s="29">
        <f>IF(OR(-672.64012="",-604.83611="",-672.64012=0),"-",-604.83611/-672.64012*100)</f>
        <v>89.91971962659616</v>
      </c>
    </row>
    <row r="80" spans="1:4" ht="15">
      <c r="A80" s="38" t="s">
        <v>182</v>
      </c>
      <c r="B80" s="27">
        <f>IF(-389.64134="","-",-389.64134)</f>
        <v>-389.64134</v>
      </c>
      <c r="C80" s="27">
        <f>IF(-544.22797="","-",-544.22797)</f>
        <v>-544.22797</v>
      </c>
      <c r="D80" s="29">
        <f>IF(OR(-389.64134="",-544.22797="",-389.64134=0),"-",-544.22797/-389.64134*100)</f>
        <v>139.67408335060136</v>
      </c>
    </row>
    <row r="81" spans="1:4" ht="15">
      <c r="A81" s="38" t="s">
        <v>184</v>
      </c>
      <c r="B81" s="27">
        <f>IF(-307.162="","-",-307.162)</f>
        <v>-307.162</v>
      </c>
      <c r="C81" s="27">
        <f>IF(-438.30698="","-",-438.30698)</f>
        <v>-438.30698</v>
      </c>
      <c r="D81" s="29">
        <f>IF(OR(-307.162="",-438.30698="",-307.162=0),"-",-438.30698/-307.162*100)</f>
        <v>142.6957045467864</v>
      </c>
    </row>
    <row r="82" spans="1:4" ht="15">
      <c r="A82" s="38" t="s">
        <v>179</v>
      </c>
      <c r="B82" s="27">
        <f>IF(-550.71653="","-",-550.71653)</f>
        <v>-550.71653</v>
      </c>
      <c r="C82" s="27">
        <f>IF(-410.92923="","-",-410.92923)</f>
        <v>-410.92923</v>
      </c>
      <c r="D82" s="29">
        <f>IF(OR(-550.71653="",-410.92923="",-550.71653=0),"-",-410.92923/-550.71653*100)</f>
        <v>74.6171955288867</v>
      </c>
    </row>
    <row r="83" spans="1:4" ht="15">
      <c r="A83" s="38" t="s">
        <v>178</v>
      </c>
      <c r="B83" s="27">
        <f>IF(-618.43225="","-",-618.43225)</f>
        <v>-618.43225</v>
      </c>
      <c r="C83" s="27">
        <f>IF(-400.33474="","-",-400.33474)</f>
        <v>-400.33474</v>
      </c>
      <c r="D83" s="29">
        <f>IF(OR(-618.43225="",-400.33474="",-618.43225=0),"-",-400.33474/-618.43225*100)</f>
        <v>64.73380713893883</v>
      </c>
    </row>
    <row r="84" spans="1:4" ht="15">
      <c r="A84" s="38" t="s">
        <v>193</v>
      </c>
      <c r="B84" s="27">
        <f>IF(-250.41434="","-",-250.41434)</f>
        <v>-250.41434</v>
      </c>
      <c r="C84" s="27">
        <f>IF(-343.95504="","-",-343.95504)</f>
        <v>-343.95504</v>
      </c>
      <c r="D84" s="29">
        <f>IF(OR(-250.41434="",-343.95504="",-250.41434=0),"-",-343.95504/-250.41434*100)</f>
        <v>137.35437036073893</v>
      </c>
    </row>
    <row r="85" spans="1:4" ht="15">
      <c r="A85" s="38" t="s">
        <v>121</v>
      </c>
      <c r="B85" s="27">
        <f>IF(-1612.46054="","-",-1612.46054)</f>
        <v>-1612.46054</v>
      </c>
      <c r="C85" s="27">
        <f>IF(-342.71683="","-",-342.71683)</f>
        <v>-342.71683</v>
      </c>
      <c r="D85" s="29">
        <f>IF(OR(-1612.46054="",-342.71683="",-1612.46054=0),"-",-342.71683/-1612.46054*100)</f>
        <v>21.254277019392983</v>
      </c>
    </row>
    <row r="86" spans="1:4" ht="15">
      <c r="A86" s="38" t="s">
        <v>166</v>
      </c>
      <c r="B86" s="27">
        <f>IF(-105.27865="","-",-105.27865)</f>
        <v>-105.27865</v>
      </c>
      <c r="C86" s="27">
        <f>IF(-329.67988="","-",-329.67988)</f>
        <v>-329.67988</v>
      </c>
      <c r="D86" s="29" t="s">
        <v>210</v>
      </c>
    </row>
    <row r="87" spans="1:4" ht="15">
      <c r="A87" s="38" t="s">
        <v>180</v>
      </c>
      <c r="B87" s="27">
        <f>IF(-489.11742="","-",-489.11742)</f>
        <v>-489.11742</v>
      </c>
      <c r="C87" s="27">
        <f>IF(-317.54803="","-",-317.54803)</f>
        <v>-317.54803</v>
      </c>
      <c r="D87" s="29">
        <f>IF(OR(-489.11742="",-317.54803="",-489.11742=0),"-",-317.54803/-489.11742*100)</f>
        <v>64.9226580398629</v>
      </c>
    </row>
    <row r="88" spans="1:4" ht="15">
      <c r="A88" s="38" t="s">
        <v>183</v>
      </c>
      <c r="B88" s="27">
        <f>IF(-111.49777="","-",-111.49777)</f>
        <v>-111.49777</v>
      </c>
      <c r="C88" s="27">
        <f>IF(-302.03169="","-",-302.03169)</f>
        <v>-302.03169</v>
      </c>
      <c r="D88" s="29" t="s">
        <v>251</v>
      </c>
    </row>
    <row r="89" spans="1:4" ht="15">
      <c r="A89" s="38" t="s">
        <v>213</v>
      </c>
      <c r="B89" s="27">
        <f>IF(-100.9751="","-",-100.9751)</f>
        <v>-100.9751</v>
      </c>
      <c r="C89" s="27">
        <f>IF(-192.33498="","-",-192.33498)</f>
        <v>-192.33498</v>
      </c>
      <c r="D89" s="29" t="s">
        <v>218</v>
      </c>
    </row>
    <row r="90" spans="1:4" ht="15">
      <c r="A90" s="38" t="s">
        <v>154</v>
      </c>
      <c r="B90" s="27">
        <f>IF(-55.90959="","-",-55.90959)</f>
        <v>-55.90959</v>
      </c>
      <c r="C90" s="27">
        <f>IF(-189.52667="","-",-189.52667)</f>
        <v>-189.52667</v>
      </c>
      <c r="D90" s="29" t="s">
        <v>237</v>
      </c>
    </row>
    <row r="91" spans="1:4" ht="15">
      <c r="A91" s="38" t="s">
        <v>192</v>
      </c>
      <c r="B91" s="27">
        <f>IF(-75.29001="","-",-75.29001)</f>
        <v>-75.29001</v>
      </c>
      <c r="C91" s="27">
        <f>IF(-155.14175="","-",-155.14175)</f>
        <v>-155.14175</v>
      </c>
      <c r="D91" s="29" t="s">
        <v>185</v>
      </c>
    </row>
    <row r="92" spans="1:4" ht="15">
      <c r="A92" s="38" t="s">
        <v>165</v>
      </c>
      <c r="B92" s="27">
        <f>IF(-567.86586="","-",-567.86586)</f>
        <v>-567.86586</v>
      </c>
      <c r="C92" s="27">
        <f>IF(-154.59347="","-",-154.59347)</f>
        <v>-154.59347</v>
      </c>
      <c r="D92" s="29">
        <f>IF(OR(-567.86586="",-154.59347="",-567.86586=0),"-",-154.59347/-567.86586*100)</f>
        <v>27.223589387817746</v>
      </c>
    </row>
    <row r="93" spans="1:4" ht="15">
      <c r="A93" s="38" t="s">
        <v>194</v>
      </c>
      <c r="B93" s="27">
        <f>IF(-37.53692="","-",-37.53692)</f>
        <v>-37.53692</v>
      </c>
      <c r="C93" s="27">
        <f>IF(-111.39816="","-",-111.39816)</f>
        <v>-111.39816</v>
      </c>
      <c r="D93" s="29" t="s">
        <v>214</v>
      </c>
    </row>
    <row r="94" spans="1:4" ht="15">
      <c r="A94" s="38" t="s">
        <v>235</v>
      </c>
      <c r="B94" s="27">
        <f>IF(-77.40624="","-",-77.40624)</f>
        <v>-77.40624</v>
      </c>
      <c r="C94" s="27">
        <f>IF(-78.39473="","-",-78.39473)</f>
        <v>-78.39473</v>
      </c>
      <c r="D94" s="29">
        <f>IF(OR(-77.40624="",-78.39473="",-77.40624=0),"-",-78.39473/-77.40624*100)</f>
        <v>101.27701590982845</v>
      </c>
    </row>
    <row r="95" spans="1:4" ht="15">
      <c r="A95" s="38" t="s">
        <v>207</v>
      </c>
      <c r="B95" s="27">
        <f>IF(245.03498="","-",245.03498)</f>
        <v>245.03498</v>
      </c>
      <c r="C95" s="27">
        <f>IF(-75.08502="","-",-75.08502)</f>
        <v>-75.08502</v>
      </c>
      <c r="D95" s="29" t="s">
        <v>34</v>
      </c>
    </row>
    <row r="96" spans="1:7" ht="15">
      <c r="A96" s="38" t="s">
        <v>226</v>
      </c>
      <c r="B96" s="27">
        <f>IF(-28.67875="","-",-28.67875)</f>
        <v>-28.67875</v>
      </c>
      <c r="C96" s="27">
        <f>IF(-70.03667="","-",-70.03667)</f>
        <v>-70.03667</v>
      </c>
      <c r="D96" s="29" t="s">
        <v>123</v>
      </c>
      <c r="E96" s="24"/>
      <c r="F96" s="24"/>
      <c r="G96" s="24"/>
    </row>
    <row r="97" spans="1:7" ht="15">
      <c r="A97" s="38" t="s">
        <v>236</v>
      </c>
      <c r="B97" s="27">
        <f>IF(-43.30652="","-",-43.30652)</f>
        <v>-43.30652</v>
      </c>
      <c r="C97" s="27">
        <f>IF(-58.98046="","-",-58.98046)</f>
        <v>-58.98046</v>
      </c>
      <c r="D97" s="29">
        <f>IF(OR(-43.30652="",-58.98046="",-43.30652=0),"-",-58.98046/-43.30652*100)</f>
        <v>136.19302590002616</v>
      </c>
      <c r="E97" s="24"/>
      <c r="F97" s="24"/>
      <c r="G97" s="24"/>
    </row>
    <row r="98" spans="1:4" ht="15">
      <c r="A98" s="38" t="s">
        <v>228</v>
      </c>
      <c r="B98" s="27">
        <f>IF(14.15148="","-",14.15148)</f>
        <v>14.15148</v>
      </c>
      <c r="C98" s="27">
        <f>IF(-54.5878="","-",-54.5878)</f>
        <v>-54.5878</v>
      </c>
      <c r="D98" s="29" t="s">
        <v>34</v>
      </c>
    </row>
    <row r="99" spans="1:4" ht="15">
      <c r="A99" s="38" t="s">
        <v>227</v>
      </c>
      <c r="B99" s="27">
        <f>IF(-62.69317="","-",-62.69317)</f>
        <v>-62.69317</v>
      </c>
      <c r="C99" s="27">
        <f>IF(29.36411="","-",29.36411)</f>
        <v>29.36411</v>
      </c>
      <c r="D99" s="29" t="s">
        <v>34</v>
      </c>
    </row>
    <row r="100" spans="1:7" ht="15">
      <c r="A100" s="38" t="s">
        <v>225</v>
      </c>
      <c r="B100" s="27">
        <f>IF(14.606="","-",14.606)</f>
        <v>14.606</v>
      </c>
      <c r="C100" s="27">
        <f>IF(45.4372="","-",45.4372)</f>
        <v>45.4372</v>
      </c>
      <c r="D100" s="29" t="s">
        <v>210</v>
      </c>
      <c r="E100" s="23"/>
      <c r="F100" s="23"/>
      <c r="G100" s="23"/>
    </row>
    <row r="101" spans="1:4" ht="15">
      <c r="A101" s="38" t="s">
        <v>206</v>
      </c>
      <c r="B101" s="27">
        <f>IF(0.2121="","-",0.2121)</f>
        <v>0.2121</v>
      </c>
      <c r="C101" s="27">
        <f>IF(116.25016="","-",116.25016)</f>
        <v>116.25016</v>
      </c>
      <c r="D101" s="29" t="s">
        <v>246</v>
      </c>
    </row>
    <row r="102" spans="1:7" ht="15">
      <c r="A102" s="38" t="s">
        <v>153</v>
      </c>
      <c r="B102" s="27">
        <f>IF(1141.10153="","-",1141.10153)</f>
        <v>1141.10153</v>
      </c>
      <c r="C102" s="27">
        <f>IF(117.12011="","-",117.12011)</f>
        <v>117.12011</v>
      </c>
      <c r="D102" s="29">
        <f>IF(OR(1141.10153="",117.12011="",1141.10153=0),"-",117.12011/1141.10153*100)</f>
        <v>10.263776440646785</v>
      </c>
      <c r="E102" s="23"/>
      <c r="F102" s="23"/>
      <c r="G102" s="23"/>
    </row>
    <row r="103" spans="1:7" ht="15">
      <c r="A103" s="38" t="s">
        <v>189</v>
      </c>
      <c r="B103" s="27">
        <f>IF(87.13294="","-",87.13294)</f>
        <v>87.13294</v>
      </c>
      <c r="C103" s="27">
        <f>IF(119.40201="","-",119.40201)</f>
        <v>119.40201</v>
      </c>
      <c r="D103" s="29">
        <f>IF(OR(87.13294="",119.40201="",87.13294=0),"-",119.40201/87.13294*100)</f>
        <v>137.03429495205833</v>
      </c>
      <c r="E103" s="1"/>
      <c r="F103" s="1"/>
      <c r="G103" s="1"/>
    </row>
    <row r="104" spans="1:4" ht="15">
      <c r="A104" s="38" t="s">
        <v>243</v>
      </c>
      <c r="B104" s="27">
        <f>IF(-0.0213="","-",-0.0213)</f>
        <v>-0.0213</v>
      </c>
      <c r="C104" s="27">
        <f>IF(177.88058="","-",177.88058)</f>
        <v>177.88058</v>
      </c>
      <c r="D104" s="29" t="s">
        <v>34</v>
      </c>
    </row>
    <row r="105" spans="1:4" ht="15">
      <c r="A105" s="38" t="s">
        <v>188</v>
      </c>
      <c r="B105" s="27">
        <f>IF(-0.6022="","-",-0.6022)</f>
        <v>-0.6022</v>
      </c>
      <c r="C105" s="27">
        <f>IF(186.33116="","-",186.33116)</f>
        <v>186.33116</v>
      </c>
      <c r="D105" s="29" t="s">
        <v>34</v>
      </c>
    </row>
    <row r="106" spans="1:4" ht="15">
      <c r="A106" s="38" t="s">
        <v>209</v>
      </c>
      <c r="B106" s="27">
        <f>IF(7.98664="","-",7.98664)</f>
        <v>7.98664</v>
      </c>
      <c r="C106" s="27">
        <f>IF(223.59913="","-",223.59913)</f>
        <v>223.59913</v>
      </c>
      <c r="D106" s="29" t="s">
        <v>257</v>
      </c>
    </row>
    <row r="107" spans="1:7" ht="15">
      <c r="A107" s="38" t="s">
        <v>224</v>
      </c>
      <c r="B107" s="27">
        <f>IF(128.71547="","-",128.71547)</f>
        <v>128.71547</v>
      </c>
      <c r="C107" s="27">
        <f>IF(265.52391="","-",265.52391)</f>
        <v>265.52391</v>
      </c>
      <c r="D107" s="29" t="s">
        <v>185</v>
      </c>
      <c r="E107" s="24"/>
      <c r="F107" s="24"/>
      <c r="G107" s="24"/>
    </row>
    <row r="108" spans="1:7" ht="15">
      <c r="A108" s="38" t="s">
        <v>163</v>
      </c>
      <c r="B108" s="27">
        <f>IF(418.00775="","-",418.00775)</f>
        <v>418.00775</v>
      </c>
      <c r="C108" s="27">
        <f>IF(287.53702="","-",287.53702)</f>
        <v>287.53702</v>
      </c>
      <c r="D108" s="29">
        <f>IF(OR(418.00775="",287.53702="",418.00775=0),"-",287.53702/418.00775*100)</f>
        <v>68.78748539949319</v>
      </c>
      <c r="E108" s="17"/>
      <c r="F108" s="17"/>
      <c r="G108" s="17"/>
    </row>
    <row r="109" spans="1:4" ht="15">
      <c r="A109" s="38" t="s">
        <v>242</v>
      </c>
      <c r="B109" s="27">
        <f>IF(85.7034="","-",85.7034)</f>
        <v>85.7034</v>
      </c>
      <c r="C109" s="27">
        <f>IF(344.34263="","-",344.34263)</f>
        <v>344.34263</v>
      </c>
      <c r="D109" s="29" t="s">
        <v>234</v>
      </c>
    </row>
    <row r="110" spans="1:7" ht="15">
      <c r="A110" s="38" t="s">
        <v>149</v>
      </c>
      <c r="B110" s="27">
        <f>IF(1716.32678="","-",1716.32678)</f>
        <v>1716.32678</v>
      </c>
      <c r="C110" s="27">
        <f>IF(408.76967="","-",408.76967)</f>
        <v>408.76967</v>
      </c>
      <c r="D110" s="29">
        <f>IF(OR(1716.32678="",408.76967="",1716.32678=0),"-",408.76967/1716.32678*100)</f>
        <v>23.81654092701391</v>
      </c>
      <c r="E110" s="24"/>
      <c r="F110" s="24"/>
      <c r="G110" s="24"/>
    </row>
    <row r="111" spans="1:4" ht="15">
      <c r="A111" s="38" t="s">
        <v>205</v>
      </c>
      <c r="B111" s="27">
        <f>IF(164.49522="","-",164.49522)</f>
        <v>164.49522</v>
      </c>
      <c r="C111" s="27">
        <f>IF(412.67878="","-",412.67878)</f>
        <v>412.67878</v>
      </c>
      <c r="D111" s="29" t="s">
        <v>191</v>
      </c>
    </row>
    <row r="112" spans="1:4" ht="15">
      <c r="A112" s="38" t="s">
        <v>223</v>
      </c>
      <c r="B112" s="27">
        <f>IF(73.746="","-",73.746)</f>
        <v>73.746</v>
      </c>
      <c r="C112" s="27">
        <f>IF(718.70956="","-",718.70956)</f>
        <v>718.70956</v>
      </c>
      <c r="D112" s="29" t="s">
        <v>255</v>
      </c>
    </row>
    <row r="113" spans="1:4" ht="15">
      <c r="A113" s="38" t="s">
        <v>161</v>
      </c>
      <c r="B113" s="27">
        <f>IF(87.40122="","-",87.40122)</f>
        <v>87.40122</v>
      </c>
      <c r="C113" s="27">
        <f>IF(982.70042="","-",982.70042)</f>
        <v>982.70042</v>
      </c>
      <c r="D113" s="29" t="s">
        <v>258</v>
      </c>
    </row>
    <row r="114" spans="1:4" ht="15">
      <c r="A114" s="38" t="s">
        <v>232</v>
      </c>
      <c r="B114" s="27">
        <f>IF(419.56893="","-",419.56893)</f>
        <v>419.56893</v>
      </c>
      <c r="C114" s="27">
        <f>IF(1034.79823="","-",1034.79823)</f>
        <v>1034.79823</v>
      </c>
      <c r="D114" s="29" t="s">
        <v>191</v>
      </c>
    </row>
    <row r="115" spans="1:4" ht="15">
      <c r="A115" s="38" t="s">
        <v>120</v>
      </c>
      <c r="B115" s="27">
        <f>IF(335.86609="","-",335.86609)</f>
        <v>335.86609</v>
      </c>
      <c r="C115" s="27">
        <f>IF(1574.38078="","-",1574.38078)</f>
        <v>1574.38078</v>
      </c>
      <c r="D115" s="29" t="s">
        <v>229</v>
      </c>
    </row>
    <row r="116" spans="1:4" ht="15">
      <c r="A116" s="38" t="s">
        <v>147</v>
      </c>
      <c r="B116" s="27">
        <f>IF(3253.72165="","-",3253.72165)</f>
        <v>3253.72165</v>
      </c>
      <c r="C116" s="27">
        <f>IF(3576.74602="","-",3576.74602)</f>
        <v>3576.74602</v>
      </c>
      <c r="D116" s="29">
        <f>IF(OR(3253.72165="",3576.74602="",3253.72165=0),"-",3576.74602/3253.72165*100)</f>
        <v>109.92784278274081</v>
      </c>
    </row>
    <row r="117" spans="1:4" ht="15">
      <c r="A117" s="38" t="s">
        <v>144</v>
      </c>
      <c r="B117" s="27">
        <f>IF(6445.58856="","-",6445.58856)</f>
        <v>6445.58856</v>
      </c>
      <c r="C117" s="27">
        <f>IF(4565.83297="","-",4565.83297)</f>
        <v>4565.83297</v>
      </c>
      <c r="D117" s="29">
        <f>IF(OR(6445.58856="",4565.83297="",6445.58856=0),"-",4565.83297/6445.58856*100)</f>
        <v>70.83655631286526</v>
      </c>
    </row>
    <row r="118" spans="1:4" ht="15">
      <c r="A118" s="38" t="s">
        <v>142</v>
      </c>
      <c r="B118" s="27">
        <f>IF(5986.55369="","-",5986.55369)</f>
        <v>5986.55369</v>
      </c>
      <c r="C118" s="27">
        <f>IF(7290.7811="","-",7290.7811)</f>
        <v>7290.7811</v>
      </c>
      <c r="D118" s="29">
        <f>IF(OR(5986.55369="",7290.7811="",5986.55369=0),"-",7290.7811/5986.55369*100)</f>
        <v>121.7859469326834</v>
      </c>
    </row>
    <row r="119" spans="1:7" s="1" customFormat="1" ht="15">
      <c r="A119" s="38" t="s">
        <v>141</v>
      </c>
      <c r="B119" s="27">
        <f>IF(22733.41334="","-",22733.41334)</f>
        <v>22733.41334</v>
      </c>
      <c r="C119" s="27">
        <f>IF(9374.27181="","-",9374.27181)</f>
        <v>9374.27181</v>
      </c>
      <c r="D119" s="29">
        <f>IF(OR(22733.41334="",9374.27181="",22733.41334=0),"-",9374.27181/22733.41334*100)</f>
        <v>41.235654627832496</v>
      </c>
      <c r="E119" s="24"/>
      <c r="F119" s="24"/>
      <c r="G119" s="24"/>
    </row>
    <row r="120" spans="1:7" ht="15">
      <c r="A120" s="38" t="s">
        <v>204</v>
      </c>
      <c r="B120" s="27">
        <f>IF(-256.71255="","-",-256.71255)</f>
        <v>-256.71255</v>
      </c>
      <c r="C120" s="27">
        <f>IF(10939.84374="","-",10939.84374)</f>
        <v>10939.84374</v>
      </c>
      <c r="D120" s="29" t="s">
        <v>34</v>
      </c>
      <c r="E120" s="1"/>
      <c r="F120" s="1"/>
      <c r="G120" s="1"/>
    </row>
    <row r="121" spans="1:7" ht="15">
      <c r="A121" s="78" t="s">
        <v>28</v>
      </c>
      <c r="B121" s="78"/>
      <c r="C121" s="78"/>
      <c r="D121" s="78"/>
      <c r="E121" s="24"/>
      <c r="F121" s="24"/>
      <c r="G121" s="24"/>
    </row>
    <row r="122" spans="5:7" ht="15">
      <c r="E122" s="1"/>
      <c r="F122" s="1"/>
      <c r="G122" s="1"/>
    </row>
  </sheetData>
  <sheetProtection/>
  <mergeCells count="5">
    <mergeCell ref="A121:D121"/>
    <mergeCell ref="A1:D1"/>
    <mergeCell ref="A3:A4"/>
    <mergeCell ref="B3:C3"/>
    <mergeCell ref="D3:D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74"/>
  <sheetViews>
    <sheetView zoomScalePageLayoutView="0" workbookViewId="0" topLeftCell="A1">
      <selection activeCell="J15" sqref="J15"/>
    </sheetView>
  </sheetViews>
  <sheetFormatPr defaultColWidth="9.00390625" defaultRowHeight="15.75"/>
  <cols>
    <col min="1" max="1" width="27.753906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65" t="s">
        <v>116</v>
      </c>
      <c r="B1" s="65"/>
      <c r="C1" s="65"/>
      <c r="D1" s="65"/>
      <c r="E1" s="65"/>
      <c r="F1" s="65"/>
      <c r="G1" s="65"/>
    </row>
    <row r="2" spans="1:7" ht="15.75">
      <c r="A2" s="65" t="s">
        <v>36</v>
      </c>
      <c r="B2" s="65"/>
      <c r="C2" s="65"/>
      <c r="D2" s="65"/>
      <c r="E2" s="65"/>
      <c r="F2" s="65"/>
      <c r="G2" s="65"/>
    </row>
    <row r="3" ht="15">
      <c r="A3" s="6"/>
    </row>
    <row r="4" spans="1:7" ht="57" customHeight="1">
      <c r="A4" s="66"/>
      <c r="B4" s="69" t="s">
        <v>263</v>
      </c>
      <c r="C4" s="70"/>
      <c r="D4" s="69" t="s">
        <v>0</v>
      </c>
      <c r="E4" s="70"/>
      <c r="F4" s="71" t="s">
        <v>220</v>
      </c>
      <c r="G4" s="72"/>
    </row>
    <row r="5" spans="1:7" ht="21.75" customHeight="1">
      <c r="A5" s="67"/>
      <c r="B5" s="73" t="s">
        <v>197</v>
      </c>
      <c r="C5" s="75" t="s">
        <v>264</v>
      </c>
      <c r="D5" s="77" t="s">
        <v>265</v>
      </c>
      <c r="E5" s="77"/>
      <c r="F5" s="77" t="s">
        <v>265</v>
      </c>
      <c r="G5" s="69"/>
    </row>
    <row r="6" spans="1:7" ht="21.75" customHeight="1">
      <c r="A6" s="68"/>
      <c r="B6" s="74"/>
      <c r="C6" s="76"/>
      <c r="D6" s="18">
        <v>2016</v>
      </c>
      <c r="E6" s="18">
        <v>2017</v>
      </c>
      <c r="F6" s="18" t="s">
        <v>2</v>
      </c>
      <c r="G6" s="19" t="s">
        <v>187</v>
      </c>
    </row>
    <row r="7" spans="1:7" ht="16.5" customHeight="1">
      <c r="A7" s="7" t="s">
        <v>198</v>
      </c>
      <c r="B7" s="39">
        <f>IF(1028241.56935="","-",1028241.56935)</f>
        <v>1028241.56935</v>
      </c>
      <c r="C7" s="39">
        <f>IF(905353.79766="","-",1028241.56935/905353.79766*100)</f>
        <v>113.57345294266383</v>
      </c>
      <c r="D7" s="39">
        <v>100</v>
      </c>
      <c r="E7" s="39">
        <v>100</v>
      </c>
      <c r="F7" s="39">
        <f>IF(992587.42702="","-",(905353.79766-992587.42702)/992587.42702*100)</f>
        <v>-8.788508395869718</v>
      </c>
      <c r="G7" s="39">
        <f>IF(905353.79766="","-",(1028241.56935-905353.79766)/905353.79766*100)</f>
        <v>13.573452942663824</v>
      </c>
    </row>
    <row r="8" spans="1:7" ht="13.5" customHeight="1">
      <c r="A8" s="8" t="s">
        <v>109</v>
      </c>
      <c r="B8" s="30"/>
      <c r="C8" s="30"/>
      <c r="D8" s="30"/>
      <c r="E8" s="30"/>
      <c r="F8" s="30"/>
      <c r="G8" s="30"/>
    </row>
    <row r="9" spans="1:10" ht="13.5" customHeight="1">
      <c r="A9" s="9" t="s">
        <v>37</v>
      </c>
      <c r="B9" s="26">
        <f>IF(204603.66541="","-",204603.66541)</f>
        <v>204603.66541</v>
      </c>
      <c r="C9" s="26">
        <f>IF(188613.01596="","-",204603.66541/188613.01596*100)</f>
        <v>108.47802012422684</v>
      </c>
      <c r="D9" s="26">
        <f>IF(188613.01596="","-",188613.01596/905353.79766*100)</f>
        <v>20.833072821640986</v>
      </c>
      <c r="E9" s="26">
        <f>IF(204603.66541="","-",204603.66541/1028241.56935*100)</f>
        <v>19.898404373919604</v>
      </c>
      <c r="F9" s="26">
        <f>IF(992587.42702="","-",(188613.01596-251196.13932)/992587.42702*100)</f>
        <v>-6.3050489716447915</v>
      </c>
      <c r="G9" s="26">
        <f>IF(905353.79766="","-",(204603.66541-188613.01596)/905353.79766*100)</f>
        <v>1.7662321063135569</v>
      </c>
      <c r="J9" s="36"/>
    </row>
    <row r="10" spans="1:10" s="16" customFormat="1" ht="13.5" customHeight="1">
      <c r="A10" s="14" t="s">
        <v>38</v>
      </c>
      <c r="B10" s="27">
        <f>IF(2746.0123="","-",2746.0123)</f>
        <v>2746.0123</v>
      </c>
      <c r="C10" s="27">
        <f>IF(OR(5267.33292="",2746.0123=""),"-",2746.0123/5267.33292*100)</f>
        <v>52.13287904346095</v>
      </c>
      <c r="D10" s="27">
        <f>IF(5267.33292="","-",5267.33292/905353.79766*100)</f>
        <v>0.5817982907471179</v>
      </c>
      <c r="E10" s="27">
        <f>IF(2746.0123="","-",2746.0123/1028241.56935*100)</f>
        <v>0.267059062953065</v>
      </c>
      <c r="F10" s="27">
        <f>IF(OR(992587.42702="",1713.1887="",5267.33292=""),"-",(5267.33292-1713.1887)/992587.42702*100)</f>
        <v>0.3580686318655522</v>
      </c>
      <c r="G10" s="27">
        <f>IF(OR(905353.79766="",2746.0123="",5267.33292=""),"-",(2746.0123-5267.33292)/905353.79766*100)</f>
        <v>-0.2784900915549996</v>
      </c>
      <c r="J10" s="36"/>
    </row>
    <row r="11" spans="1:10" s="16" customFormat="1" ht="14.25" customHeight="1">
      <c r="A11" s="14" t="s">
        <v>39</v>
      </c>
      <c r="B11" s="27">
        <f>IF(4280.01527="","-",4280.01527)</f>
        <v>4280.01527</v>
      </c>
      <c r="C11" s="27" t="s">
        <v>218</v>
      </c>
      <c r="D11" s="27">
        <f>IF(2282.66791="","-",2282.66791/905353.79766*100)</f>
        <v>0.25212993151404905</v>
      </c>
      <c r="E11" s="27">
        <f>IF(4280.01527="","-",4280.01527/1028241.56935*100)</f>
        <v>0.4162460843423787</v>
      </c>
      <c r="F11" s="27">
        <f>IF(OR(992587.42702="",1916.61994="",2282.66791=""),"-",(2282.66791-1916.61994)/992587.42702*100)</f>
        <v>0.03687815904529128</v>
      </c>
      <c r="G11" s="27">
        <f>IF(OR(905353.79766="",4280.01527="",2282.66791=""),"-",(4280.01527-2282.66791)/905353.79766*100)</f>
        <v>0.22061511921222327</v>
      </c>
      <c r="J11" s="36"/>
    </row>
    <row r="12" spans="1:10" s="16" customFormat="1" ht="15">
      <c r="A12" s="14" t="s">
        <v>40</v>
      </c>
      <c r="B12" s="27">
        <f>IF(12137.46635="","-",12137.46635)</f>
        <v>12137.46635</v>
      </c>
      <c r="C12" s="27">
        <f>IF(OR(8476.77873="",12137.46635=""),"-",12137.46635/8476.77873*100)</f>
        <v>143.18489058873902</v>
      </c>
      <c r="D12" s="27">
        <f>IF(8476.77873="","-",8476.77873/905353.79766*100)</f>
        <v>0.9362946012828679</v>
      </c>
      <c r="E12" s="27">
        <f>IF(12137.46635="","-",12137.46635/1028241.56935*100)</f>
        <v>1.1804100040103092</v>
      </c>
      <c r="F12" s="27">
        <f>IF(OR(992587.42702="",6202.96756="",8476.77873=""),"-",(8476.77873-6202.96756)/992587.42702*100)</f>
        <v>0.22907918316339748</v>
      </c>
      <c r="G12" s="27">
        <f>IF(OR(905353.79766="",12137.46635="",8476.77873=""),"-",(12137.46635-8476.77873)/905353.79766*100)</f>
        <v>0.40433779915227674</v>
      </c>
      <c r="J12" s="36"/>
    </row>
    <row r="13" spans="1:10" s="16" customFormat="1" ht="15">
      <c r="A13" s="14" t="s">
        <v>42</v>
      </c>
      <c r="B13" s="27">
        <f>IF(60479.15714="","-",60479.15714)</f>
        <v>60479.15714</v>
      </c>
      <c r="C13" s="27">
        <f>IF(OR(55538.71242="",60479.15714=""),"-",60479.15714/55538.71242*100)</f>
        <v>108.89549740123414</v>
      </c>
      <c r="D13" s="27">
        <f>IF(55538.71242="","-",55538.71242/905353.79766*100)</f>
        <v>6.134476109068824</v>
      </c>
      <c r="E13" s="27">
        <f>IF(60479.15714="","-",60479.15714/1028241.56935*100)</f>
        <v>5.881804329135587</v>
      </c>
      <c r="F13" s="27">
        <f>IF(OR(992587.42702="",67590.73331="",55538.71242=""),"-",(55538.71242-67590.73331)/992587.42702*100)</f>
        <v>-1.2142024532975626</v>
      </c>
      <c r="G13" s="27">
        <f>IF(OR(905353.79766="",60479.15714="",55538.71242=""),"-",(60479.15714-55538.71242)/905353.79766*100)</f>
        <v>0.5456921628615461</v>
      </c>
      <c r="J13" s="36"/>
    </row>
    <row r="14" spans="1:10" s="16" customFormat="1" ht="15" customHeight="1">
      <c r="A14" s="14" t="s">
        <v>43</v>
      </c>
      <c r="B14" s="27">
        <f>IF(92803.59104="","-",92803.59104)</f>
        <v>92803.59104</v>
      </c>
      <c r="C14" s="27">
        <f>IF(OR(81542.89964="",92803.59104=""),"-",92803.59104/81542.89964*100)</f>
        <v>113.80953025918174</v>
      </c>
      <c r="D14" s="27">
        <f>IF(81542.89964="","-",81542.89964/905353.79766*100)</f>
        <v>9.006744087312365</v>
      </c>
      <c r="E14" s="27">
        <f>IF(92803.59104="","-",92803.59104/1028241.56935*100)</f>
        <v>9.025465786086194</v>
      </c>
      <c r="F14" s="27">
        <f>IF(OR(992587.42702="",130233.43877="",81542.89964=""),"-",(81542.89964-130233.43877)/992587.42702*100)</f>
        <v>-4.905415664611165</v>
      </c>
      <c r="G14" s="27">
        <f>IF(OR(905353.79766="",92803.59104="",81542.89964=""),"-",(92803.59104-81542.89964)/905353.79766*100)</f>
        <v>1.2437890501044628</v>
      </c>
      <c r="J14" s="36"/>
    </row>
    <row r="15" spans="1:10" s="16" customFormat="1" ht="15.75" customHeight="1">
      <c r="A15" s="14" t="s">
        <v>44</v>
      </c>
      <c r="B15" s="27">
        <f>IF(19949.89321="","-",19949.89321)</f>
        <v>19949.89321</v>
      </c>
      <c r="C15" s="27">
        <f>IF(OR(22782.03326="",19949.89321=""),"-",19949.89321/22782.03326*100)</f>
        <v>87.56853693575898</v>
      </c>
      <c r="D15" s="27">
        <f>IF(22782.03326="","-",22782.03326/905353.79766*100)</f>
        <v>2.516368000982932</v>
      </c>
      <c r="E15" s="27">
        <f>IF(19949.89321="","-",19949.89321/1028241.56935*100)</f>
        <v>1.9401951647034916</v>
      </c>
      <c r="F15" s="27">
        <f>IF(OR(992587.42702="",29057.20971="",22782.03326=""),"-",(22782.03326-29057.20971)/992587.42702*100)</f>
        <v>-0.6322039025660112</v>
      </c>
      <c r="G15" s="27">
        <f>IF(OR(905353.79766="",19949.89321="",22782.03326=""),"-",(19949.89321-22782.03326)/905353.79766*100)</f>
        <v>-0.312821358602573</v>
      </c>
      <c r="J15" s="36"/>
    </row>
    <row r="16" spans="1:10" s="16" customFormat="1" ht="26.25">
      <c r="A16" s="14" t="s">
        <v>45</v>
      </c>
      <c r="B16" s="27">
        <f>IF(4327.75394="","-",4327.75394)</f>
        <v>4327.75394</v>
      </c>
      <c r="C16" s="27">
        <f>IF(OR(3614.28391="",4327.75394=""),"-",4327.75394/3614.28391*100)</f>
        <v>119.74028736442013</v>
      </c>
      <c r="D16" s="27">
        <f>IF(3614.28391="","-",3614.28391/905353.79766*100)</f>
        <v>0.39921232112148514</v>
      </c>
      <c r="E16" s="27">
        <f>IF(4327.75394="","-",4327.75394/1028241.56935*100)</f>
        <v>0.42088883283874406</v>
      </c>
      <c r="F16" s="27">
        <f>IF(OR(992587.42702="",3369.83712="",3614.28391=""),"-",(3614.28391-3369.83712)/992587.42702*100)</f>
        <v>0.024627230140713288</v>
      </c>
      <c r="G16" s="27">
        <f>IF(OR(905353.79766="",4327.75394="",3614.28391=""),"-",(4327.75394-3614.28391)/905353.79766*100)</f>
        <v>0.0788056593835528</v>
      </c>
      <c r="J16" s="36"/>
    </row>
    <row r="17" spans="1:10" s="16" customFormat="1" ht="26.25">
      <c r="A17" s="14" t="s">
        <v>46</v>
      </c>
      <c r="B17" s="27">
        <f>IF(6465.62461="","-",6465.62461)</f>
        <v>6465.62461</v>
      </c>
      <c r="C17" s="27">
        <f>IF(OR(6320.43767="",6465.62461=""),"-",6465.62461/6320.43767*100)</f>
        <v>102.2971026308689</v>
      </c>
      <c r="D17" s="27">
        <f>IF(6320.43767="","-",6320.43767/905353.79766*100)</f>
        <v>0.6981179828632696</v>
      </c>
      <c r="E17" s="27">
        <f>IF(6465.62461="","-",6465.62461/1028241.56935*100)</f>
        <v>0.6288040478743946</v>
      </c>
      <c r="F17" s="27">
        <f>IF(OR(992587.42702="",10010.23536="",6320.43767=""),"-",(6320.43767-10010.23536)/992587.42702*100)</f>
        <v>-0.3717352839213078</v>
      </c>
      <c r="G17" s="27">
        <f>IF(OR(905353.79766="",6465.62461="",6320.43767=""),"-",(6465.62461-6320.43767)/905353.79766*100)</f>
        <v>0.016036486550921127</v>
      </c>
      <c r="J17" s="36"/>
    </row>
    <row r="18" spans="1:10" s="16" customFormat="1" ht="26.25">
      <c r="A18" s="14" t="s">
        <v>47</v>
      </c>
      <c r="B18" s="27">
        <f>IF(1406.12911="","-",1406.12911)</f>
        <v>1406.12911</v>
      </c>
      <c r="C18" s="27">
        <f>IF(OR(2783.58651="",1406.12911=""),"-",1406.12911/2783.58651*100)</f>
        <v>50.51501381216279</v>
      </c>
      <c r="D18" s="27">
        <f>IF(2783.58651="","-",2783.58651/905353.79766*100)</f>
        <v>0.30745842312635424</v>
      </c>
      <c r="E18" s="27">
        <f>IF(1406.12911="","-",1406.12911/1028241.56935*100)</f>
        <v>0.13675085232051848</v>
      </c>
      <c r="F18" s="27">
        <f>IF(OR(992587.42702="",1094.96907="",2783.58651=""),"-",(2783.58651-1094.96907)/992587.42702*100)</f>
        <v>0.1701227916083583</v>
      </c>
      <c r="G18" s="27">
        <f>IF(OR(905353.79766="",1406.12911="",2783.58651=""),"-",(1406.12911-2783.58651)/905353.79766*100)</f>
        <v>-0.15214575821741852</v>
      </c>
      <c r="J18" s="36"/>
    </row>
    <row r="19" spans="1:7" s="16" customFormat="1" ht="15">
      <c r="A19" s="15" t="s">
        <v>48</v>
      </c>
      <c r="B19" s="26">
        <f>IF(85807.91399="","-",85807.91399)</f>
        <v>85807.91399</v>
      </c>
      <c r="C19" s="26">
        <f>IF(78442.37321="","-",85807.91399/78442.37321*100)</f>
        <v>109.38974750328056</v>
      </c>
      <c r="D19" s="26">
        <f>IF(78442.37321="","-",78442.37321/905353.79766*100)</f>
        <v>8.66427836418692</v>
      </c>
      <c r="E19" s="26">
        <f>IF(85807.91399="","-",85807.91399/1028241.56935*100)</f>
        <v>8.345112330387812</v>
      </c>
      <c r="F19" s="26">
        <f>IF(992587.42702="","-",(78442.37321-73632.71965)/992587.42702*100)</f>
        <v>0.48455717139595555</v>
      </c>
      <c r="G19" s="26">
        <f>IF(905353.79766="","-",(85807.91399-78442.37321)/905353.79766*100)</f>
        <v>0.8135538613785193</v>
      </c>
    </row>
    <row r="20" spans="1:7" s="16" customFormat="1" ht="15">
      <c r="A20" s="14" t="s">
        <v>49</v>
      </c>
      <c r="B20" s="27">
        <f>IF(79007.92028="","-",79007.92028)</f>
        <v>79007.92028</v>
      </c>
      <c r="C20" s="27">
        <f>IF(OR(73272.22801="",79007.92028=""),"-",79007.92028/73272.22801*100)</f>
        <v>107.82792119985378</v>
      </c>
      <c r="D20" s="27">
        <f>IF(73272.22801="","-",73272.22801/905353.79766*100)</f>
        <v>8.093214851407398</v>
      </c>
      <c r="E20" s="27">
        <f>IF(79007.92028="","-",79007.92028/1028241.56935*100)</f>
        <v>7.683789746989575</v>
      </c>
      <c r="F20" s="27">
        <f>IF(OR(992587.42702="",68152.54888="",73272.22801=""),"-",(73272.22801-68152.54888)/992587.42702*100)</f>
        <v>0.5157912533075886</v>
      </c>
      <c r="G20" s="27">
        <f>IF(OR(905353.79766="",79007.92028="",73272.22801=""),"-",(79007.92028-73272.22801)/905353.79766*100)</f>
        <v>0.6335304811030353</v>
      </c>
    </row>
    <row r="21" spans="1:7" s="16" customFormat="1" ht="15">
      <c r="A21" s="14" t="s">
        <v>50</v>
      </c>
      <c r="B21" s="27">
        <f>IF(6799.99371="","-",6799.99371)</f>
        <v>6799.99371</v>
      </c>
      <c r="C21" s="27">
        <f>IF(OR(5170.1452="",6799.99371=""),"-",6799.99371/5170.1452*100)</f>
        <v>131.52423088620412</v>
      </c>
      <c r="D21" s="27">
        <f>IF(5170.1452="","-",5170.1452/905353.79766*100)</f>
        <v>0.5710635127795217</v>
      </c>
      <c r="E21" s="27">
        <f>IF(6799.99371="","-",6799.99371/1028241.56935*100)</f>
        <v>0.6613225833982375</v>
      </c>
      <c r="F21" s="27">
        <f>IF(OR(992587.42702="",5480.17077="",5170.1452=""),"-",(5170.1452-5480.17077)/992587.42702*100)</f>
        <v>-0.03123408191163326</v>
      </c>
      <c r="G21" s="27">
        <f>IF(OR(905353.79766="",6799.99371="",5170.1452=""),"-",(6799.99371-5170.1452)/905353.79766*100)</f>
        <v>0.18002338027548423</v>
      </c>
    </row>
    <row r="22" spans="1:7" s="16" customFormat="1" ht="26.25">
      <c r="A22" s="15" t="s">
        <v>51</v>
      </c>
      <c r="B22" s="26">
        <f>IF(119921.87393="","-",119921.87393)</f>
        <v>119921.87393</v>
      </c>
      <c r="C22" s="26">
        <f>IF(100248.49595="","-",119921.87393/100248.49595*100)</f>
        <v>119.62461161493367</v>
      </c>
      <c r="D22" s="26">
        <f>IF(100248.49595="","-",100248.49595/905353.79766*100)</f>
        <v>11.072853088936585</v>
      </c>
      <c r="E22" s="26">
        <f>IF(119921.87393="","-",119921.87393/1028241.56935*100)</f>
        <v>11.662811298886533</v>
      </c>
      <c r="F22" s="26">
        <f>IF(992587.42702="","-",(100248.49595-127621.2998)/992587.42702*100)</f>
        <v>-2.7577222020814953</v>
      </c>
      <c r="G22" s="26">
        <f>IF(905353.79766="","-",(119921.87393-100248.49595)/905353.79766*100)</f>
        <v>2.17300441339599</v>
      </c>
    </row>
    <row r="23" spans="1:8" s="16" customFormat="1" ht="26.25">
      <c r="A23" s="14" t="s">
        <v>52</v>
      </c>
      <c r="B23" s="27">
        <f>IF(2088.02208="","-",2088.02208)</f>
        <v>2088.02208</v>
      </c>
      <c r="C23" s="27">
        <f>IF(OR(2086.87123="",2088.02208=""),"-",2088.02208/2086.87123*100)</f>
        <v>100.05514714963991</v>
      </c>
      <c r="D23" s="27">
        <f>IF(2086.87123="","-",2086.87123/905353.79766*100)</f>
        <v>0.2305033938548421</v>
      </c>
      <c r="E23" s="27">
        <f>IF(2088.02208="","-",2088.02208/1028241.56935*100)</f>
        <v>0.20306726962224814</v>
      </c>
      <c r="F23" s="27">
        <f>IF(OR(992587.42702="",1995.90687="",2086.87123=""),"-",(2086.87123-1995.90687)/992587.42702*100)</f>
        <v>0.00916436754322975</v>
      </c>
      <c r="G23" s="27">
        <f>IF(OR(905353.79766="",2088.02208="",2086.87123=""),"-",(2088.02208-2086.87123)/905353.79766*100)</f>
        <v>0.00012711605153416342</v>
      </c>
      <c r="H23" s="12"/>
    </row>
    <row r="24" spans="1:8" s="16" customFormat="1" ht="15">
      <c r="A24" s="14" t="s">
        <v>53</v>
      </c>
      <c r="B24" s="27">
        <f>IF(102102.24332="","-",102102.24332)</f>
        <v>102102.24332</v>
      </c>
      <c r="C24" s="27">
        <f>IF(OR(85741.18819="",102102.24332=""),"-",102102.24332/85741.18819*100)</f>
        <v>119.0819085615473</v>
      </c>
      <c r="D24" s="27">
        <f>IF(85741.18819="","-",85741.18819/905353.79766*100)</f>
        <v>9.470462090246798</v>
      </c>
      <c r="E24" s="27">
        <f>IF(102102.24332="","-",102102.24332/1028241.56935*100)</f>
        <v>9.929791438459704</v>
      </c>
      <c r="F24" s="27">
        <f>IF(OR(992587.42702="",103378.98343="",85741.18819=""),"-",(85741.18819-103378.98343)/992587.42702*100)</f>
        <v>-1.7769513052319372</v>
      </c>
      <c r="G24" s="27">
        <f>IF(OR(905353.79766="",102102.24332="",85741.18819=""),"-",(102102.24332-85741.18819)/905353.79766*100)</f>
        <v>1.8071449164168953</v>
      </c>
      <c r="H24" s="13"/>
    </row>
    <row r="25" spans="1:8" s="16" customFormat="1" ht="15">
      <c r="A25" s="14" t="s">
        <v>55</v>
      </c>
      <c r="B25" s="27">
        <f>IF(225.13625="","-",225.13625)</f>
        <v>225.13625</v>
      </c>
      <c r="C25" s="27">
        <f>IF(OR(1223.50968="",225.13625=""),"-",225.13625/1223.50968*100)</f>
        <v>18.400855643414282</v>
      </c>
      <c r="D25" s="27">
        <f>IF(1223.50968="","-",1223.50968/905353.79766*100)</f>
        <v>0.135141607972741</v>
      </c>
      <c r="E25" s="27">
        <f>IF(225.13625="","-",225.13625/1028241.56935*100)</f>
        <v>0.021895268262916004</v>
      </c>
      <c r="F25" s="27">
        <f>IF(OR(992587.42702="",1351.87738="",1223.50968=""),"-",(1223.50968-1351.87738)/992587.42702*100)</f>
        <v>-0.012932634094045754</v>
      </c>
      <c r="G25" s="27">
        <f>IF(OR(905353.79766="",225.13625="",1223.50968=""),"-",(225.13625-1223.50968)/905353.79766*100)</f>
        <v>-0.11027439577548806</v>
      </c>
      <c r="H25" s="13"/>
    </row>
    <row r="26" spans="1:8" s="16" customFormat="1" ht="15">
      <c r="A26" s="14" t="s">
        <v>56</v>
      </c>
      <c r="B26" s="27">
        <f>IF(1332.49345="","-",1332.49345)</f>
        <v>1332.49345</v>
      </c>
      <c r="C26" s="27">
        <f>IF(OR(1210.19632="",1332.49345=""),"-",1332.49345/1210.19632*100)</f>
        <v>110.10556122001758</v>
      </c>
      <c r="D26" s="27">
        <f>IF(1210.19632="","-",1210.19632/905353.79766*100)</f>
        <v>0.13367109334802632</v>
      </c>
      <c r="E26" s="27">
        <f>IF(1332.49345="","-",1332.49345/1028241.56935*100)</f>
        <v>0.12958953321079325</v>
      </c>
      <c r="F26" s="27">
        <f>IF(OR(992587.42702="",819.98244="",1210.19632=""),"-",(1210.19632-819.98244)/992587.42702*100)</f>
        <v>0.039312796976637254</v>
      </c>
      <c r="G26" s="27">
        <f>IF(OR(905353.79766="",1332.49345="",1210.19632=""),"-",(1332.49345-1210.19632)/905353.79766*100)</f>
        <v>0.013508214171751654</v>
      </c>
      <c r="H26" s="13"/>
    </row>
    <row r="27" spans="1:8" s="16" customFormat="1" ht="39">
      <c r="A27" s="14" t="s">
        <v>57</v>
      </c>
      <c r="B27" s="27">
        <f>IF(220.60081="","-",220.60081)</f>
        <v>220.60081</v>
      </c>
      <c r="C27" s="27">
        <f>IF(OR(610.85934="",220.60081=""),"-",220.60081/610.85934*100)</f>
        <v>36.113192605027535</v>
      </c>
      <c r="D27" s="27">
        <f>IF(610.85934="","-",610.85934/905353.79766*100)</f>
        <v>0.0674718923782992</v>
      </c>
      <c r="E27" s="27">
        <f>IF(220.60081="","-",220.60081/1028241.56935*100)</f>
        <v>0.02145418125231527</v>
      </c>
      <c r="F27" s="27">
        <f>IF(OR(992587.42702="",2263.80082="",610.85934=""),"-",(610.85934-2263.80082)/992587.42702*100)</f>
        <v>-0.16652855305275738</v>
      </c>
      <c r="G27" s="27">
        <f>IF(OR(905353.79766="",220.60081="",610.85934=""),"-",(220.60081-610.85934)/905353.79766*100)</f>
        <v>-0.04310563792946712</v>
      </c>
      <c r="H27" s="13"/>
    </row>
    <row r="28" spans="1:8" s="16" customFormat="1" ht="39">
      <c r="A28" s="14" t="s">
        <v>58</v>
      </c>
      <c r="B28" s="27">
        <f>IF(5082.22438="","-",5082.22438)</f>
        <v>5082.22438</v>
      </c>
      <c r="C28" s="27" t="s">
        <v>216</v>
      </c>
      <c r="D28" s="27">
        <f>IF(2995.69384="","-",2995.69384/905353.79766*100)</f>
        <v>0.3308865382508744</v>
      </c>
      <c r="E28" s="27">
        <f>IF(5082.22438="","-",5082.22438/1028241.56935*100)</f>
        <v>0.49426365666316263</v>
      </c>
      <c r="F28" s="27">
        <f>IF(OR(992587.42702="",3703.99217="",2995.69384=""),"-",(2995.69384-3703.99217)/992587.42702*100)</f>
        <v>-0.071358785203082</v>
      </c>
      <c r="G28" s="27">
        <f>IF(OR(905353.79766="",5082.22438="",2995.69384=""),"-",(5082.22438-2995.69384)/905353.79766*100)</f>
        <v>0.23046576326215215</v>
      </c>
      <c r="H28" s="13"/>
    </row>
    <row r="29" spans="1:8" s="16" customFormat="1" ht="14.25" customHeight="1">
      <c r="A29" s="14" t="s">
        <v>59</v>
      </c>
      <c r="B29" s="27">
        <f>IF(7760.29992="","-",7760.29992)</f>
        <v>7760.29992</v>
      </c>
      <c r="C29" s="27">
        <f>IF(OR(5478.31673="",7760.29992=""),"-",7760.29992/5478.31673*100)</f>
        <v>141.65482396268828</v>
      </c>
      <c r="D29" s="27">
        <f>IF(5478.31673="","-",5478.31673/905353.79766*100)</f>
        <v>0.6051023085294824</v>
      </c>
      <c r="E29" s="27">
        <f>IF(7760.29992="","-",7760.29992/1028241.56935*100)</f>
        <v>0.7547156379707204</v>
      </c>
      <c r="F29" s="27">
        <f>IF(OR(992587.42702="",10482.8484="",5478.31673=""),"-",(5478.31673-10482.8484)/992587.42702*100)</f>
        <v>-0.5041905159956417</v>
      </c>
      <c r="G29" s="27">
        <f>IF(OR(905353.79766="",7760.29992="",5478.31673=""),"-",(7760.29992-5478.31673)/905353.79766*100)</f>
        <v>0.2520543014121188</v>
      </c>
      <c r="H29" s="13"/>
    </row>
    <row r="30" spans="1:8" s="16" customFormat="1" ht="26.25">
      <c r="A30" s="14" t="s">
        <v>60</v>
      </c>
      <c r="B30" s="27">
        <f>IF(1110.45928="","-",1110.45928)</f>
        <v>1110.45928</v>
      </c>
      <c r="C30" s="27">
        <f>IF(OR(901.39947="",1110.45928=""),"-",1110.45928/901.39947*100)</f>
        <v>123.19280374105391</v>
      </c>
      <c r="D30" s="27">
        <f>IF(901.39947="","-",901.39947/905353.79766*100)</f>
        <v>0.09956322846712296</v>
      </c>
      <c r="E30" s="27">
        <f>IF(1110.45928="","-",1110.45928/1028241.56935*100)</f>
        <v>0.10799595280921911</v>
      </c>
      <c r="F30" s="27">
        <f>IF(OR(992587.42702="",2274.4017="",901.39947=""),"-",(901.39947-2274.4017)/992587.42702*100)</f>
        <v>-0.13832557139295046</v>
      </c>
      <c r="G30" s="27">
        <f>IF(OR(905353.79766="",1110.45928="",901.39947=""),"-",(1110.45928-901.39947)/905353.79766*100)</f>
        <v>0.023091504176636943</v>
      </c>
      <c r="H30" s="13"/>
    </row>
    <row r="31" spans="1:8" s="16" customFormat="1" ht="26.25">
      <c r="A31" s="15" t="s">
        <v>61</v>
      </c>
      <c r="B31" s="26">
        <f>IF(6725.04695="","-",6725.04695)</f>
        <v>6725.04695</v>
      </c>
      <c r="C31" s="26" t="s">
        <v>186</v>
      </c>
      <c r="D31" s="26">
        <f>IF(2412.62833="","-",2412.62833/905353.79766*100)</f>
        <v>0.266484587156506</v>
      </c>
      <c r="E31" s="26">
        <f>IF(6725.04695="","-",6725.04695/1028241.56935*100)</f>
        <v>0.654033755341288</v>
      </c>
      <c r="F31" s="26">
        <f>IF(992587.42702="","-",(2412.62833-4718.71044)/992587.42702*100)</f>
        <v>-0.2323303768740498</v>
      </c>
      <c r="G31" s="26">
        <f>IF(905353.79766="","-",(6725.04695-2412.62833)/905353.79766*100)</f>
        <v>0.4763241321951689</v>
      </c>
      <c r="H31" s="13"/>
    </row>
    <row r="32" spans="1:8" s="16" customFormat="1" ht="26.25">
      <c r="A32" s="14" t="s">
        <v>63</v>
      </c>
      <c r="B32" s="27">
        <f>IF(6721.6372="","-",6721.6372)</f>
        <v>6721.6372</v>
      </c>
      <c r="C32" s="27" t="s">
        <v>186</v>
      </c>
      <c r="D32" s="27">
        <f>IF(2409.21681="","-",2409.21681/905353.79766*100)</f>
        <v>0.2661077709318635</v>
      </c>
      <c r="E32" s="27">
        <f>IF(6721.6372="","-",6721.6372/1028241.56935*100)</f>
        <v>0.6537021455229693</v>
      </c>
      <c r="F32" s="27">
        <f>IF(OR(992587.42702="",4652.99087="",2409.21681=""),"-",(2409.21681-4652.99087)/992587.42702*100)</f>
        <v>-0.22605304066125242</v>
      </c>
      <c r="G32" s="27">
        <f>IF(OR(905353.79766="",6721.6372="",2409.21681=""),"-",(6721.6372-2409.21681)/905353.79766*100)</f>
        <v>0.47632432769884986</v>
      </c>
      <c r="H32" s="13"/>
    </row>
    <row r="33" spans="1:7" s="16" customFormat="1" ht="26.25">
      <c r="A33" s="15" t="s">
        <v>66</v>
      </c>
      <c r="B33" s="26">
        <f>IF(24823.33085="","-",24823.33085)</f>
        <v>24823.33085</v>
      </c>
      <c r="C33" s="26">
        <f>IF(24831.0823="","-",24823.33085/24831.0823*100)</f>
        <v>99.96878327772286</v>
      </c>
      <c r="D33" s="26">
        <f>IF(24831.0823="","-",24831.0823/905353.79766*100)</f>
        <v>2.742693780506475</v>
      </c>
      <c r="E33" s="26">
        <f>IF(24823.33085="","-",24823.33085/1028241.56935*100)</f>
        <v>2.4141535987201914</v>
      </c>
      <c r="F33" s="26">
        <f>IF(992587.42702="","-",(24831.0823-48359.3353)/992587.42702*100)</f>
        <v>-2.370396033590492</v>
      </c>
      <c r="G33" s="26">
        <f>IF(905353.79766="","-",(24823.33085-24831.0823)/905353.79766*100)</f>
        <v>-0.0008561791003731734</v>
      </c>
    </row>
    <row r="34" spans="1:7" s="16" customFormat="1" ht="26.25">
      <c r="A34" s="14" t="s">
        <v>68</v>
      </c>
      <c r="B34" s="27">
        <f>IF(24730.89894="","-",24730.89894)</f>
        <v>24730.89894</v>
      </c>
      <c r="C34" s="27">
        <f>IF(OR(24798.19871="",24730.89894=""),"-",24730.89894/24798.19871*100)</f>
        <v>99.72861024791747</v>
      </c>
      <c r="D34" s="27">
        <f>IF(24798.19871="","-",24798.19871/905353.79766*100)</f>
        <v>2.73906165458123</v>
      </c>
      <c r="E34" s="27">
        <f>IF(24730.89894="","-",24730.89894/1028241.56935*100)</f>
        <v>2.405164280183067</v>
      </c>
      <c r="F34" s="27">
        <f>IF(OR(992587.42702="",48354.63013="",24798.19871=""),"-",(24798.19871-48354.63013)/992587.42702*100)</f>
        <v>-2.373234919036039</v>
      </c>
      <c r="G34" s="27">
        <f>IF(OR(905353.79766="",24730.89894="",24798.19871=""),"-",(24730.89894-24798.19871)/905353.79766*100)</f>
        <v>-0.007433532633755567</v>
      </c>
    </row>
    <row r="35" spans="1:7" s="16" customFormat="1" ht="26.25">
      <c r="A35" s="15" t="s">
        <v>70</v>
      </c>
      <c r="B35" s="26">
        <f>IF(58495.26238="","-",58495.26238)</f>
        <v>58495.26238</v>
      </c>
      <c r="C35" s="26">
        <f>IF(47707.1552099999="","-",58495.26238/47707.1552099999*100)</f>
        <v>122.61318479903576</v>
      </c>
      <c r="D35" s="26">
        <f>IF(47707.1552099999="","-",47707.1552099999/905353.79766*100)</f>
        <v>5.2694488423536745</v>
      </c>
      <c r="E35" s="26">
        <f>IF(58495.26238="","-",58495.26238/1028241.56935*100)</f>
        <v>5.688863796566561</v>
      </c>
      <c r="F35" s="26">
        <f>IF(992587.42702="","-",(47707.1552099999-59839.83104)/992587.42702*100)</f>
        <v>-1.2223281798385734</v>
      </c>
      <c r="G35" s="26">
        <f>IF(905353.79766="","-",(58495.26238-47707.1552099999)/905353.79766*100)</f>
        <v>1.1915902046120874</v>
      </c>
    </row>
    <row r="36" spans="1:7" s="16" customFormat="1" ht="15">
      <c r="A36" s="14" t="s">
        <v>71</v>
      </c>
      <c r="B36" s="27">
        <f>IF(12224.76808="","-",12224.76808)</f>
        <v>12224.76808</v>
      </c>
      <c r="C36" s="27" t="s">
        <v>217</v>
      </c>
      <c r="D36" s="27">
        <f>IF(7483.46676="","-",7483.46676/905353.79766*100)</f>
        <v>0.8265792642988802</v>
      </c>
      <c r="E36" s="27">
        <f>IF(12224.76808="","-",12224.76808/1028241.56935*100)</f>
        <v>1.1889003950431465</v>
      </c>
      <c r="F36" s="27">
        <f>IF(OR(992587.42702="",1275.45554="",7483.46676=""),"-",(7483.46676-1275.45554)/992587.42702*100)</f>
        <v>0.6254372210454076</v>
      </c>
      <c r="G36" s="27">
        <f>IF(OR(905353.79766="",12224.76808="",7483.46676=""),"-",(12224.76808-7483.46676)/905353.79766*100)</f>
        <v>0.5236959664005922</v>
      </c>
    </row>
    <row r="37" spans="1:7" s="16" customFormat="1" ht="15">
      <c r="A37" s="14" t="s">
        <v>72</v>
      </c>
      <c r="B37" s="27">
        <f>IF(590.22883="","-",590.22883)</f>
        <v>590.22883</v>
      </c>
      <c r="C37" s="27" t="s">
        <v>216</v>
      </c>
      <c r="D37" s="27">
        <f>IF(356.42249="","-",356.42249/905353.79766*100)</f>
        <v>0.039368310037602806</v>
      </c>
      <c r="E37" s="27">
        <f>IF(590.22883="","-",590.22883/1028241.56935*100)</f>
        <v>0.057401767016004954</v>
      </c>
      <c r="F37" s="27">
        <f>IF(OR(992587.42702="",82.07413="",356.42249=""),"-",(356.42249-82.07413)/992587.42702*100)</f>
        <v>0.02763971742254116</v>
      </c>
      <c r="G37" s="27">
        <f>IF(OR(905353.79766="",590.22883="",356.42249=""),"-",(590.22883-356.42249)/905353.79766*100)</f>
        <v>0.025824858812577105</v>
      </c>
    </row>
    <row r="38" spans="1:7" s="16" customFormat="1" ht="15">
      <c r="A38" s="14" t="s">
        <v>73</v>
      </c>
      <c r="B38" s="27">
        <f>IF(412.5373="","-",412.5373)</f>
        <v>412.5373</v>
      </c>
      <c r="C38" s="27">
        <f>IF(OR(737.1046="",412.5373=""),"-",412.5373/737.1046*100)</f>
        <v>55.967267060875756</v>
      </c>
      <c r="D38" s="27">
        <f>IF(737.1046="","-",737.1046/905353.79766*100)</f>
        <v>0.0814161935262368</v>
      </c>
      <c r="E38" s="27">
        <f>IF(412.5373="","-",412.5373/1028241.56935*100)</f>
        <v>0.04012065960927687</v>
      </c>
      <c r="F38" s="27">
        <f>IF(OR(992587.42702="",644.35243="",737.1046=""),"-",(737.1046-644.35243)/992587.42702*100)</f>
        <v>0.009344483667143114</v>
      </c>
      <c r="G38" s="27">
        <f>IF(OR(905353.79766="",412.5373="",737.1046=""),"-",(412.5373-737.1046)/905353.79766*100)</f>
        <v>-0.035849775064608416</v>
      </c>
    </row>
    <row r="39" spans="1:7" s="16" customFormat="1" ht="15">
      <c r="A39" s="14" t="s">
        <v>74</v>
      </c>
      <c r="B39" s="27">
        <f>IF(25955.94091="","-",25955.94091)</f>
        <v>25955.94091</v>
      </c>
      <c r="C39" s="27" t="s">
        <v>217</v>
      </c>
      <c r="D39" s="27">
        <f>IF(15956.56587="","-",15956.56587/905353.79766*100)</f>
        <v>1.7624674366244157</v>
      </c>
      <c r="E39" s="27">
        <f>IF(25955.94091="","-",25955.94091/1028241.56935*100)</f>
        <v>2.524303790441771</v>
      </c>
      <c r="F39" s="27">
        <f>IF(OR(992587.42702="",34629.93549="",15956.56587=""),"-",(15956.56587-34629.93549)/992587.42702*100)</f>
        <v>-1.881282102883593</v>
      </c>
      <c r="G39" s="27">
        <f>IF(OR(905353.79766="",25955.94091="",15956.56587=""),"-",(25955.94091-15956.56587)/905353.79766*100)</f>
        <v>1.1044715409428485</v>
      </c>
    </row>
    <row r="40" spans="1:7" s="16" customFormat="1" ht="39">
      <c r="A40" s="14" t="s">
        <v>75</v>
      </c>
      <c r="B40" s="27">
        <f>IF(14164.25375="","-",14164.25375)</f>
        <v>14164.25375</v>
      </c>
      <c r="C40" s="27">
        <f>IF(OR(18517.63235="",14164.25375=""),"-",14164.25375/18517.63235*100)</f>
        <v>76.49063056379343</v>
      </c>
      <c r="D40" s="27">
        <f>IF(18517.63235="","-",18517.63235/905353.79766*100)</f>
        <v>2.0453476196666025</v>
      </c>
      <c r="E40" s="27">
        <f>IF(14164.25375="","-",14164.25375/1028241.56935*100)</f>
        <v>1.3775219921281623</v>
      </c>
      <c r="F40" s="27">
        <f>IF(OR(992587.42702="",19015.27637="",18517.63235=""),"-",(18517.63235-19015.27637)/992587.42702*100)</f>
        <v>-0.05013603904837417</v>
      </c>
      <c r="G40" s="27">
        <f>IF(OR(905353.79766="",14164.25375="",18517.63235=""),"-",(14164.25375-18517.63235)/905353.79766*100)</f>
        <v>-0.4808483281620788</v>
      </c>
    </row>
    <row r="41" spans="1:7" s="16" customFormat="1" ht="15">
      <c r="A41" s="14" t="s">
        <v>77</v>
      </c>
      <c r="B41" s="27">
        <f>IF(1719.34599="","-",1719.34599)</f>
        <v>1719.34599</v>
      </c>
      <c r="C41" s="27">
        <f>IF(OR(1544.14673="",1719.34599=""),"-",1719.34599/1544.14673*100)</f>
        <v>111.34602409189442</v>
      </c>
      <c r="D41" s="27">
        <f>IF(1544.14673="","-",1544.14673/905353.79766*100)</f>
        <v>0.1705572709797032</v>
      </c>
      <c r="E41" s="27">
        <f>IF(1719.34599="","-",1719.34599/1028241.56935*100)</f>
        <v>0.16721226229813677</v>
      </c>
      <c r="F41" s="27">
        <f>IF(OR(992587.42702="",2606.65469="",1544.14673=""),"-",(1544.14673-2606.65469)/992587.42702*100)</f>
        <v>-0.10704426945945902</v>
      </c>
      <c r="G41" s="27">
        <f>IF(OR(905353.79766="",1719.34599="",1544.14673=""),"-",(1719.34599-1544.14673)/905353.79766*100)</f>
        <v>0.019351469055834798</v>
      </c>
    </row>
    <row r="42" spans="1:7" s="16" customFormat="1" ht="15">
      <c r="A42" s="14" t="s">
        <v>78</v>
      </c>
      <c r="B42" s="27">
        <f>IF(1557.65665="","-",1557.65665)</f>
        <v>1557.65665</v>
      </c>
      <c r="C42" s="27">
        <f>IF(OR(1487.99992="",1557.65665=""),"-",1557.65665/1487.99992*100)</f>
        <v>104.68123210651785</v>
      </c>
      <c r="D42" s="27">
        <f>IF(1487.99992="","-",1487.99992/905353.79766*100)</f>
        <v>0.1643556280258526</v>
      </c>
      <c r="E42" s="27">
        <f>IF(1557.65665="","-",1557.65665/1028241.56935*100)</f>
        <v>0.15148742245313696</v>
      </c>
      <c r="F42" s="27">
        <f>IF(OR(992587.42702="",731.47124="",1487.99992=""),"-",(1487.99992-731.47124)/992587.42702*100)</f>
        <v>0.07621783828869277</v>
      </c>
      <c r="G42" s="27">
        <f>IF(OR(905353.79766="",1557.65665="",1487.99992=""),"-",(1557.65665-1487.99992)/905353.79766*100)</f>
        <v>0.0076938684280152625</v>
      </c>
    </row>
    <row r="43" spans="1:7" s="16" customFormat="1" ht="15">
      <c r="A43" s="14" t="s">
        <v>79</v>
      </c>
      <c r="B43" s="27">
        <f>IF(1845.33087="","-",1845.33087)</f>
        <v>1845.33087</v>
      </c>
      <c r="C43" s="27">
        <f>IF(OR(1609.16935="",1845.33087=""),"-",1845.33087/1609.16935*100)</f>
        <v>114.6759891990237</v>
      </c>
      <c r="D43" s="27">
        <f>IF(1609.16935="","-",1609.16935/905353.79766*100)</f>
        <v>0.17773928315749038</v>
      </c>
      <c r="E43" s="27">
        <f>IF(1845.33087="","-",1845.33087/1028241.56935*100)</f>
        <v>0.17946472161853178</v>
      </c>
      <c r="F43" s="27">
        <f>IF(OR(992587.42702="",833.10753="",1609.16935=""),"-",(1609.16935-833.10753)/992587.42702*100)</f>
        <v>0.0781857395000393</v>
      </c>
      <c r="G43" s="27">
        <f>IF(OR(905353.79766="",1845.33087="",1609.16935=""),"-",(1845.33087-1609.16935)/905353.79766*100)</f>
        <v>0.026084997998615463</v>
      </c>
    </row>
    <row r="44" spans="1:7" s="16" customFormat="1" ht="26.25">
      <c r="A44" s="15" t="s">
        <v>80</v>
      </c>
      <c r="B44" s="26">
        <f>IF(82086.00197="","-",82086.00197)</f>
        <v>82086.00197</v>
      </c>
      <c r="C44" s="26">
        <f>IF(87741.46222="","-",82086.00197/87741.46222*100)</f>
        <v>93.55440391930135</v>
      </c>
      <c r="D44" s="26">
        <f>IF(87741.46222="","-",87741.46222/905353.79766*100)</f>
        <v>9.691400472034111</v>
      </c>
      <c r="E44" s="26">
        <f>IF(82086.00197="","-",82086.00197/1028241.56935*100)</f>
        <v>7.983143690824562</v>
      </c>
      <c r="F44" s="26">
        <f>IF(992587.42702="","-",(87741.46222-61920.61247)/992587.42702*100)</f>
        <v>2.6013678036926944</v>
      </c>
      <c r="G44" s="26">
        <f>IF(905353.79766="","-",(82086.00197-87741.46222)/905353.79766*100)</f>
        <v>-0.6246685289902408</v>
      </c>
    </row>
    <row r="45" spans="1:7" s="16" customFormat="1" ht="15">
      <c r="A45" s="14" t="s">
        <v>81</v>
      </c>
      <c r="B45" s="27">
        <f>IF(1269.53882="","-",1269.53882)</f>
        <v>1269.53882</v>
      </c>
      <c r="C45" s="27">
        <f>IF(OR(856.79884="",1269.53882=""),"-",1269.53882/856.79884*100)</f>
        <v>148.17233179260606</v>
      </c>
      <c r="D45" s="27">
        <f>IF(856.79884="","-",856.79884/905353.79766*100)</f>
        <v>0.09463690793748297</v>
      </c>
      <c r="E45" s="27">
        <f>IF(1269.53882="","-",1269.53882/1028241.56935*100)</f>
        <v>0.12346698070206745</v>
      </c>
      <c r="F45" s="27">
        <f>IF(OR(992587.42702="",601.72044="",856.79884=""),"-",(856.79884-601.72044)/992587.42702*100)</f>
        <v>0.025698330752164596</v>
      </c>
      <c r="G45" s="27">
        <f>IF(OR(905353.79766="",1269.53882="",856.79884=""),"-",(1269.53882-856.79884)/905353.79766*100)</f>
        <v>0.045588805289907434</v>
      </c>
    </row>
    <row r="46" spans="1:7" s="16" customFormat="1" ht="15">
      <c r="A46" s="14" t="s">
        <v>82</v>
      </c>
      <c r="B46" s="27">
        <f>IF(962.04452="","-",962.04452)</f>
        <v>962.04452</v>
      </c>
      <c r="C46" s="27">
        <f>IF(OR(6584.17817="",962.04452=""),"-",962.04452/6584.17817*100)</f>
        <v>14.611459397976773</v>
      </c>
      <c r="D46" s="27">
        <f>IF(6584.17817="","-",6584.17817/905353.79766*100)</f>
        <v>0.7272491910916629</v>
      </c>
      <c r="E46" s="27">
        <f>IF(962.04452="","-",962.04452/1028241.56935*100)</f>
        <v>0.09356211114944067</v>
      </c>
      <c r="F46" s="27">
        <f>IF(OR(992587.42702="",4355.43205="",6584.17817=""),"-",(6584.17817-4355.43205)/992587.42702*100)</f>
        <v>0.22453902390152802</v>
      </c>
      <c r="G46" s="27">
        <f>IF(OR(905353.79766="",962.04452="",6584.17817=""),"-",(962.04452-6584.17817)/905353.79766*100)</f>
        <v>-0.6209874708131901</v>
      </c>
    </row>
    <row r="47" spans="1:7" s="16" customFormat="1" ht="15">
      <c r="A47" s="14" t="s">
        <v>83</v>
      </c>
      <c r="B47" s="27">
        <f>IF(4403.64635="","-",4403.64635)</f>
        <v>4403.64635</v>
      </c>
      <c r="C47" s="27">
        <f>IF(OR(4136.27595="",4403.64635=""),"-",4403.64635/4136.27595*100)</f>
        <v>106.46403681069683</v>
      </c>
      <c r="D47" s="27">
        <f>IF(4136.27595="","-",4136.27595/905353.79766*100)</f>
        <v>0.4568684596773904</v>
      </c>
      <c r="E47" s="27">
        <f>IF(4403.64635="","-",4403.64635/1028241.56935*100)</f>
        <v>0.4282696285838505</v>
      </c>
      <c r="F47" s="27">
        <f>IF(OR(992587.42702="",3170.91384="",4136.27595=""),"-",(4136.27595-3170.91384)/992587.42702*100)</f>
        <v>0.09725713662304415</v>
      </c>
      <c r="G47" s="27">
        <f>IF(OR(905353.79766="",4403.64635="",4136.27595=""),"-",(4403.64635-4136.27595)/905353.79766*100)</f>
        <v>0.029532145410010098</v>
      </c>
    </row>
    <row r="48" spans="1:7" s="16" customFormat="1" ht="26.25">
      <c r="A48" s="14" t="s">
        <v>84</v>
      </c>
      <c r="B48" s="27">
        <f>IF(3432.04982="","-",3432.04982)</f>
        <v>3432.04982</v>
      </c>
      <c r="C48" s="27">
        <f>IF(OR(3392.05741="",3432.04982=""),"-",3432.04982/3392.05741*100)</f>
        <v>101.17900156648587</v>
      </c>
      <c r="D48" s="27">
        <f>IF(3392.05741="","-",3392.05741/905353.79766*100)</f>
        <v>0.3746665026166782</v>
      </c>
      <c r="E48" s="27">
        <f>IF(3432.04982="","-",3432.04982/1028241.56935*100)</f>
        <v>0.33377855187955113</v>
      </c>
      <c r="F48" s="27">
        <f>IF(OR(992587.42702="",3358.12513="",3392.05741=""),"-",(3392.05741-3358.12513)/992587.42702*100)</f>
        <v>0.0034185683876606547</v>
      </c>
      <c r="G48" s="27">
        <f>IF(OR(905353.79766="",3432.04982="",3392.05741=""),"-",(3432.04982-3392.05741)/905353.79766*100)</f>
        <v>0.004417323934948488</v>
      </c>
    </row>
    <row r="49" spans="1:7" s="16" customFormat="1" ht="39">
      <c r="A49" s="14" t="s">
        <v>85</v>
      </c>
      <c r="B49" s="27">
        <f>IF(42461.2303="","-",42461.2303)</f>
        <v>42461.2303</v>
      </c>
      <c r="C49" s="27">
        <f>IF(OR(39509.6429="",42461.2303=""),"-",42461.2303/39509.6429*100)</f>
        <v>107.47054942377119</v>
      </c>
      <c r="D49" s="27">
        <f>IF(39509.6429="","-",39509.6429/905353.79766*100)</f>
        <v>4.36400035015235</v>
      </c>
      <c r="E49" s="27">
        <f>IF(42461.2303="","-",42461.2303/1028241.56935*100)</f>
        <v>4.129499483943423</v>
      </c>
      <c r="F49" s="27">
        <f>IF(OR(992587.42702="",23115.50595="",39509.6429=""),"-",(39509.6429-23115.50595)/992587.42702*100)</f>
        <v>1.6516567209821882</v>
      </c>
      <c r="G49" s="27">
        <f>IF(OR(905353.79766="",42461.2303="",39509.6429=""),"-",(42461.2303-39509.6429)/905353.79766*100)</f>
        <v>0.326014803011679</v>
      </c>
    </row>
    <row r="50" spans="1:7" s="16" customFormat="1" ht="15">
      <c r="A50" s="14" t="s">
        <v>86</v>
      </c>
      <c r="B50" s="27">
        <f>IF(13732.22704="","-",13732.22704)</f>
        <v>13732.22704</v>
      </c>
      <c r="C50" s="27">
        <f>IF(OR(16025.74592="",13732.22704=""),"-",13732.22704/16025.74592*100)</f>
        <v>85.68853586317185</v>
      </c>
      <c r="D50" s="27">
        <f>IF(16025.74592="","-",16025.74592/905353.79766*100)</f>
        <v>1.770108653812525</v>
      </c>
      <c r="E50" s="27">
        <f>IF(13732.22704="","-",13732.22704/1028241.56935*100)</f>
        <v>1.3355059209170845</v>
      </c>
      <c r="F50" s="27">
        <f>IF(OR(992587.42702="",15604.17691="",16025.74592=""),"-",(16025.74592-15604.17691)/992587.42702*100)</f>
        <v>0.04247172576683313</v>
      </c>
      <c r="G50" s="27">
        <f>IF(OR(905353.79766="",13732.22704="",16025.74592=""),"-",(13732.22704-16025.74592)/905353.79766*100)</f>
        <v>-0.253328465173271</v>
      </c>
    </row>
    <row r="51" spans="1:7" s="16" customFormat="1" ht="15">
      <c r="A51" s="14" t="s">
        <v>87</v>
      </c>
      <c r="B51" s="27">
        <f>IF(1132.459="","-",1132.459)</f>
        <v>1132.459</v>
      </c>
      <c r="C51" s="27">
        <f>IF(OR(1604.48223="",1132.459=""),"-",1132.459/1604.48223*100)</f>
        <v>70.58096243297129</v>
      </c>
      <c r="D51" s="27">
        <f>IF(1604.48223="","-",1604.48223/905353.79766*100)</f>
        <v>0.1772215717376991</v>
      </c>
      <c r="E51" s="27">
        <f>IF(1132.459="","-",1132.459/1028241.56935*100)</f>
        <v>0.11013550062130642</v>
      </c>
      <c r="F51" s="27">
        <f>IF(OR(992587.42702="",1370.86924="",1604.48223=""),"-",(1604.48223-1370.86924)/992587.42702*100)</f>
        <v>0.023535759535194368</v>
      </c>
      <c r="G51" s="27">
        <f>IF(OR(905353.79766="",1132.459="",1604.48223=""),"-",(1132.459-1604.48223)/905353.79766*100)</f>
        <v>-0.052136880766392425</v>
      </c>
    </row>
    <row r="52" spans="1:7" s="16" customFormat="1" ht="15">
      <c r="A52" s="14" t="s">
        <v>88</v>
      </c>
      <c r="B52" s="27">
        <f>IF(1739.7006="","-",1739.7006)</f>
        <v>1739.7006</v>
      </c>
      <c r="C52" s="27">
        <f>IF(OR(1158.34242="",1739.7006=""),"-",1739.7006/1158.34242*100)</f>
        <v>150.18880168439313</v>
      </c>
      <c r="D52" s="27">
        <f>IF(1158.34242="","-",1158.34242/905353.79766*100)</f>
        <v>0.1279436197201448</v>
      </c>
      <c r="E52" s="27">
        <f>IF(1739.7006="","-",1739.7006/1028241.56935*100)</f>
        <v>0.1691918175511759</v>
      </c>
      <c r="F52" s="27">
        <f>IF(OR(992587.42702="",2102.44683="",1158.34242=""),"-",(1158.34242-2102.44683)/992587.42702*100)</f>
        <v>-0.09511549152243864</v>
      </c>
      <c r="G52" s="27">
        <f>IF(OR(905353.79766="",1739.7006="",1158.34242=""),"-",(1739.7006-1158.34242)/905353.79766*100)</f>
        <v>0.06421336956917757</v>
      </c>
    </row>
    <row r="53" spans="1:7" s="16" customFormat="1" ht="15">
      <c r="A53" s="14" t="s">
        <v>89</v>
      </c>
      <c r="B53" s="27">
        <f>IF(12953.10552="","-",12953.10552)</f>
        <v>12953.10552</v>
      </c>
      <c r="C53" s="27">
        <f>IF(OR(14473.93838="",12953.10552=""),"-",12953.10552/14473.93838*100)</f>
        <v>89.49261203086591</v>
      </c>
      <c r="D53" s="27">
        <f>IF(14473.93838="","-",14473.93838/905353.79766*100)</f>
        <v>1.5987052152881782</v>
      </c>
      <c r="E53" s="27">
        <f>IF(12953.10552="","-",12953.10552/1028241.56935*100)</f>
        <v>1.259733695476664</v>
      </c>
      <c r="F53" s="27">
        <f>IF(OR(992587.42702="",8241.42208="",14473.93838=""),"-",(14473.93838-8241.42208)/992587.42702*100)</f>
        <v>0.6279060292665201</v>
      </c>
      <c r="G53" s="27">
        <f>IF(OR(905353.79766="",12953.10552="",14473.93838=""),"-",(12953.10552-14473.93838)/905353.79766*100)</f>
        <v>-0.16798215945310915</v>
      </c>
    </row>
    <row r="54" spans="1:7" s="16" customFormat="1" ht="15" customHeight="1">
      <c r="A54" s="15" t="s">
        <v>90</v>
      </c>
      <c r="B54" s="26">
        <f>IF(198602.21797="","-",198602.21797)</f>
        <v>198602.21797</v>
      </c>
      <c r="C54" s="26">
        <f>IF(149672.24139="","-",198602.21797/149672.24139*100)</f>
        <v>132.69141700931934</v>
      </c>
      <c r="D54" s="26">
        <f>IF(149672.24139="","-",149672.24139/905353.79766*100)</f>
        <v>16.53190628645361</v>
      </c>
      <c r="E54" s="26">
        <f>IF(198602.21797="","-",198602.21797/1028241.56935*100)</f>
        <v>19.31474313915803</v>
      </c>
      <c r="F54" s="26">
        <f>IF(992587.42702="","-",(149672.24139-154808.89958)/992587.42702*100)</f>
        <v>-0.5175018391499822</v>
      </c>
      <c r="G54" s="26">
        <f>IF(905353.79766="","-",(198602.21797-149672.24139)/905353.79766*100)</f>
        <v>5.4045144236944305</v>
      </c>
    </row>
    <row r="55" spans="1:7" s="16" customFormat="1" ht="26.25">
      <c r="A55" s="14" t="s">
        <v>91</v>
      </c>
      <c r="B55" s="27">
        <f>IF(1190.30281="","-",1190.30281)</f>
        <v>1190.30281</v>
      </c>
      <c r="C55" s="27">
        <f>IF(OR(1143.77356="",1190.30281=""),"-",1190.30281/1143.77356*100)</f>
        <v>104.06804735021151</v>
      </c>
      <c r="D55" s="27">
        <f>IF(1143.77356="","-",1143.77356/905353.79766*100)</f>
        <v>0.1263344300268277</v>
      </c>
      <c r="E55" s="27">
        <f>IF(1190.30281="","-",1190.30281/1028241.56935*100)</f>
        <v>0.11576100845178304</v>
      </c>
      <c r="F55" s="27">
        <f>IF(OR(992587.42702="",2173.09639="",1143.77356=""),"-",(1143.77356-2173.09639)/992587.42702*100)</f>
        <v>-0.10370097403815492</v>
      </c>
      <c r="G55" s="27">
        <f>IF(OR(905353.79766="",1190.30281="",1143.77356=""),"-",(1190.30281-1143.77356)/905353.79766*100)</f>
        <v>0.005139344433111175</v>
      </c>
    </row>
    <row r="56" spans="1:7" s="16" customFormat="1" ht="26.25">
      <c r="A56" s="14" t="s">
        <v>92</v>
      </c>
      <c r="B56" s="27">
        <f>IF(3957.65375="","-",3957.65375)</f>
        <v>3957.65375</v>
      </c>
      <c r="C56" s="27">
        <f>IF(OR(4111.74837="",3957.65375=""),"-",3957.65375/4111.74837*100)</f>
        <v>96.25233340823334</v>
      </c>
      <c r="D56" s="27">
        <f>IF(4111.74837="","-",4111.74837/905353.79766*100)</f>
        <v>0.45415928895723723</v>
      </c>
      <c r="E56" s="27">
        <f>IF(3957.65375="","-",3957.65375/1028241.56935*100)</f>
        <v>0.38489532693196016</v>
      </c>
      <c r="F56" s="27">
        <f>IF(OR(992587.42702="",5245.7546="",4111.74837=""),"-",(4111.74837-5245.7546)/992587.42702*100)</f>
        <v>-0.11424749086380986</v>
      </c>
      <c r="G56" s="27">
        <f>IF(OR(905353.79766="",3957.65375="",4111.74837=""),"-",(3957.65375-4111.74837)/905353.79766*100)</f>
        <v>-0.0170203759456554</v>
      </c>
    </row>
    <row r="57" spans="1:7" s="16" customFormat="1" ht="26.25">
      <c r="A57" s="14" t="s">
        <v>93</v>
      </c>
      <c r="B57" s="27">
        <f>IF(687.89089="","-",687.89089)</f>
        <v>687.89089</v>
      </c>
      <c r="C57" s="27">
        <f>IF(OR(1043.58219="",687.89089=""),"-",687.89089/1043.58219*100)</f>
        <v>65.91631177607582</v>
      </c>
      <c r="D57" s="27">
        <f>IF(1043.58219="","-",1043.58219/905353.79766*100)</f>
        <v>0.11526788673083038</v>
      </c>
      <c r="E57" s="27">
        <f>IF(687.89089="","-",687.89089/1028241.56935*100)</f>
        <v>0.06689973548091897</v>
      </c>
      <c r="F57" s="27">
        <f>IF(OR(992587.42702="",1148.8147="",1043.58219=""),"-",(1043.58219-1148.8147)/992587.42702*100)</f>
        <v>-0.010601837897134623</v>
      </c>
      <c r="G57" s="27">
        <f>IF(OR(905353.79766="",687.89089="",1043.58219=""),"-",(687.89089-1043.58219)/905353.79766*100)</f>
        <v>-0.03928754713564229</v>
      </c>
    </row>
    <row r="58" spans="1:7" s="16" customFormat="1" ht="39">
      <c r="A58" s="14" t="s">
        <v>94</v>
      </c>
      <c r="B58" s="27">
        <f>IF(14386.24762="","-",14386.24762)</f>
        <v>14386.24762</v>
      </c>
      <c r="C58" s="27">
        <f>IF(OR(14647.71603="",14386.24762=""),"-",14386.24762/14647.71603*100)</f>
        <v>98.21495440337262</v>
      </c>
      <c r="D58" s="27">
        <f>IF(14647.71603="","-",14647.71603/905353.79766*100)</f>
        <v>1.617899661751997</v>
      </c>
      <c r="E58" s="27">
        <f>IF(14386.24762="","-",14386.24762/1028241.56935*100)</f>
        <v>1.3991116532172714</v>
      </c>
      <c r="F58" s="27">
        <f>IF(OR(992587.42702="",15276.88709="",14647.71603=""),"-",(14647.71603-15276.88709)/992587.42702*100)</f>
        <v>-0.06338696651527535</v>
      </c>
      <c r="G58" s="27">
        <f>IF(OR(905353.79766="",14386.24762="",14647.71603=""),"-",(14386.24762-14647.71603)/905353.79766*100)</f>
        <v>-0.028880246669953476</v>
      </c>
    </row>
    <row r="59" spans="1:7" s="16" customFormat="1" ht="26.25">
      <c r="A59" s="14" t="s">
        <v>95</v>
      </c>
      <c r="B59" s="27">
        <f>IF(413.81372="","-",413.81372)</f>
        <v>413.81372</v>
      </c>
      <c r="C59" s="27">
        <f>IF(OR(416.48878="",413.81372=""),"-",413.81372/416.48878*100)</f>
        <v>99.35771138900787</v>
      </c>
      <c r="D59" s="27">
        <f>IF(416.48878="","-",416.48878/905353.79766*100)</f>
        <v>0.04600287545890538</v>
      </c>
      <c r="E59" s="27">
        <f>IF(413.81372="","-",413.81372/1028241.56935*100)</f>
        <v>0.04024479580820596</v>
      </c>
      <c r="F59" s="27">
        <f>IF(OR(992587.42702="",386.60215="",416.48878=""),"-",(416.48878-386.60215)/992587.42702*100)</f>
        <v>0.0030109821247411217</v>
      </c>
      <c r="G59" s="27">
        <f>IF(OR(905353.79766="",413.81372="",416.48878=""),"-",(413.81372-416.48878)/905353.79766*100)</f>
        <v>-0.0002954712298014386</v>
      </c>
    </row>
    <row r="60" spans="1:7" s="16" customFormat="1" ht="39">
      <c r="A60" s="14" t="s">
        <v>96</v>
      </c>
      <c r="B60" s="27">
        <f>IF(2307.04097="","-",2307.04097)</f>
        <v>2307.04097</v>
      </c>
      <c r="C60" s="27" t="s">
        <v>216</v>
      </c>
      <c r="D60" s="27">
        <f>IF(1371.24981="","-",1371.24981/905353.79766*100)</f>
        <v>0.15146010471753324</v>
      </c>
      <c r="E60" s="27">
        <f>IF(2307.04097="","-",2307.04097/1028241.56935*100)</f>
        <v>0.2243676037585593</v>
      </c>
      <c r="F60" s="27">
        <f>IF(OR(992587.42702="",2294.56004="",1371.24981=""),"-",(1371.24981-2294.56004)/992587.42702*100)</f>
        <v>-0.09302054457530377</v>
      </c>
      <c r="G60" s="27">
        <f>IF(OR(905353.79766="",2307.04097="",1371.24981=""),"-",(2307.04097-1371.24981)/905353.79766*100)</f>
        <v>0.10336193015577656</v>
      </c>
    </row>
    <row r="61" spans="1:7" s="16" customFormat="1" ht="52.5">
      <c r="A61" s="14" t="s">
        <v>97</v>
      </c>
      <c r="B61" s="27">
        <f>IF(147941.24867="","-",147941.24867)</f>
        <v>147941.24867</v>
      </c>
      <c r="C61" s="27">
        <f>IF(OR(114662.52556="",147941.24867=""),"-",147941.24867/114662.52556*100)</f>
        <v>129.02319039936557</v>
      </c>
      <c r="D61" s="27">
        <f>IF(114662.52556="","-",114662.52556/905353.79766*100)</f>
        <v>12.664941137526526</v>
      </c>
      <c r="E61" s="27">
        <f>IF(147941.24867="","-",147941.24867/1028241.56935*100)</f>
        <v>14.387791067766365</v>
      </c>
      <c r="F61" s="27">
        <f>IF(OR(992587.42702="",119868.22146="",114662.52556=""),"-",(114662.52556-119868.22146)/992587.42702*100)</f>
        <v>-0.524457167025461</v>
      </c>
      <c r="G61" s="27">
        <f>IF(OR(905353.79766="",147941.24867="",114662.52556=""),"-",(147941.24867-114662.52556)/905353.79766*100)</f>
        <v>3.6757699803118977</v>
      </c>
    </row>
    <row r="62" spans="1:7" s="16" customFormat="1" ht="26.25">
      <c r="A62" s="14" t="s">
        <v>98</v>
      </c>
      <c r="B62" s="27">
        <f>IF(15126.91135="","-",15126.91135)</f>
        <v>15126.91135</v>
      </c>
      <c r="C62" s="27">
        <f>IF(OR(12028.62046="",15126.91135=""),"-",15126.91135/12028.62046*100)</f>
        <v>125.757657748892</v>
      </c>
      <c r="D62" s="27">
        <f>IF(12028.62046="","-",12028.62046/905353.79766*100)</f>
        <v>1.328609930293491</v>
      </c>
      <c r="E62" s="27">
        <f>IF(15126.91135="","-",15126.91135/1028241.56935*100)</f>
        <v>1.4711437273988481</v>
      </c>
      <c r="F62" s="27">
        <f>IF(OR(992587.42702="",5772.19234="",12028.62046=""),"-",(12028.62046-5772.19234)/992587.42702*100)</f>
        <v>0.6303150684452441</v>
      </c>
      <c r="G62" s="27">
        <f>IF(OR(905353.79766="",15126.91135="",12028.62046=""),"-",(15126.91135-12028.62046)/905353.79766*100)</f>
        <v>0.34221879866279015</v>
      </c>
    </row>
    <row r="63" spans="1:7" s="16" customFormat="1" ht="15">
      <c r="A63" s="14" t="s">
        <v>99</v>
      </c>
      <c r="B63" s="27">
        <f>IF(12591.10819="","-",12591.10819)</f>
        <v>12591.10819</v>
      </c>
      <c r="C63" s="27" t="s">
        <v>259</v>
      </c>
      <c r="D63" s="27">
        <f>IF(246.53663="","-",246.53663/905353.79766*100)</f>
        <v>0.027230970990258695</v>
      </c>
      <c r="E63" s="27">
        <f>IF(12591.10819="","-",12591.10819/1028241.56935*100)</f>
        <v>1.2245282203441197</v>
      </c>
      <c r="F63" s="27">
        <f>IF(OR(992587.42702="",2642.77081="",246.53663=""),"-",(246.53663-2642.77081)/992587.42702*100)</f>
        <v>-0.24141290880482988</v>
      </c>
      <c r="G63" s="27">
        <f>IF(OR(905353.79766="",12591.10819="",246.53663=""),"-",(12591.10819-246.53663)/905353.79766*100)</f>
        <v>1.3635080111119087</v>
      </c>
    </row>
    <row r="64" spans="1:7" s="16" customFormat="1" ht="15" customHeight="1">
      <c r="A64" s="15" t="s">
        <v>100</v>
      </c>
      <c r="B64" s="26">
        <f>IF(246876.59757="","-",246876.59757)</f>
        <v>246876.59757</v>
      </c>
      <c r="C64" s="26">
        <f>IF(225536.74299="","-",246876.59757/225536.74299*100)</f>
        <v>109.46180843843531</v>
      </c>
      <c r="D64" s="26">
        <f>IF(225536.74299="","-",225536.74299/905353.79766*100)</f>
        <v>24.911448272810905</v>
      </c>
      <c r="E64" s="26">
        <f>IF(246876.59757="","-",246876.59757/1028241.56935*100)</f>
        <v>24.00959122145415</v>
      </c>
      <c r="F64" s="26">
        <f>IF(992587.42702="","-",(225536.74299-210225.04991)/992587.42702*100)</f>
        <v>1.5426039725255836</v>
      </c>
      <c r="G64" s="26">
        <f>IF(905353.79766="","-",(246876.59757-225536.74299)/905353.79766*100)</f>
        <v>2.3570735148132735</v>
      </c>
    </row>
    <row r="65" spans="1:7" s="16" customFormat="1" ht="39">
      <c r="A65" s="14" t="s">
        <v>101</v>
      </c>
      <c r="B65" s="27">
        <f>IF(4936.37557="","-",4936.37557)</f>
        <v>4936.37557</v>
      </c>
      <c r="C65" s="27" t="s">
        <v>191</v>
      </c>
      <c r="D65" s="27">
        <f>IF(1984.27606="","-",1984.27606/905353.79766*100)</f>
        <v>0.21917134109655356</v>
      </c>
      <c r="E65" s="27">
        <f>IF(4936.37557="","-",4936.37557/1028241.56935*100)</f>
        <v>0.4800793623934613</v>
      </c>
      <c r="F65" s="27">
        <f>IF(OR(992587.42702="",1682.93095="",1984.27606=""),"-",(1984.27606-1682.93095)/992587.42702*100)</f>
        <v>0.030359553405256673</v>
      </c>
      <c r="G65" s="27">
        <f>IF(OR(905353.79766="",4936.37557="",1984.27606=""),"-",(4936.37557-1984.27606)/905353.79766*100)</f>
        <v>0.3260713676388247</v>
      </c>
    </row>
    <row r="66" spans="1:7" s="16" customFormat="1" ht="15">
      <c r="A66" s="14" t="s">
        <v>102</v>
      </c>
      <c r="B66" s="27">
        <f>IF(61000.62737="","-",61000.62737)</f>
        <v>61000.62737</v>
      </c>
      <c r="C66" s="27">
        <f>IF(OR(57746.23931="",61000.62737=""),"-",61000.62737/57746.23931*100)</f>
        <v>105.63567099587112</v>
      </c>
      <c r="D66" s="27">
        <f>IF(57746.23931="","-",57746.23931/905353.79766*100)</f>
        <v>6.378306410074422</v>
      </c>
      <c r="E66" s="27">
        <f>IF(61000.62737="","-",61000.62737/1028241.56935*100)</f>
        <v>5.93251908776275</v>
      </c>
      <c r="F66" s="27">
        <f>IF(OR(992587.42702="",45311.34027="",57746.23931=""),"-",(57746.23931-45311.34027)/992587.42702*100)</f>
        <v>1.2527761990027144</v>
      </c>
      <c r="G66" s="27">
        <f>IF(OR(905353.79766="",61000.62737="",57746.23931=""),"-",(61000.62737-57746.23931)/905353.79766*100)</f>
        <v>0.3594603643803535</v>
      </c>
    </row>
    <row r="67" spans="1:7" s="16" customFormat="1" ht="15">
      <c r="A67" s="14" t="s">
        <v>103</v>
      </c>
      <c r="B67" s="27">
        <f>IF(5937.95475="","-",5937.95475)</f>
        <v>5937.95475</v>
      </c>
      <c r="C67" s="27">
        <f>IF(OR(7266.92692="",5937.95475=""),"-",5937.95475/7266.92692*100)</f>
        <v>81.71204713312295</v>
      </c>
      <c r="D67" s="27">
        <f>IF(7266.92692="","-",7266.92692/905353.79766*100)</f>
        <v>0.8026615604620294</v>
      </c>
      <c r="E67" s="27">
        <f>IF(5937.95475="","-",5937.95475/1028241.56935*100)</f>
        <v>0.5774863540825004</v>
      </c>
      <c r="F67" s="27">
        <f>IF(OR(992587.42702="",7473.32366="",7266.92692=""),"-",(7266.92692-7473.32366)/992587.42702*100)</f>
        <v>-0.02079380963142518</v>
      </c>
      <c r="G67" s="27">
        <f>IF(OR(905353.79766="",5937.95475="",7266.92692=""),"-",(5937.95475-7266.92692)/905353.79766*100)</f>
        <v>-0.14679036785783575</v>
      </c>
    </row>
    <row r="68" spans="1:7" s="16" customFormat="1" ht="15">
      <c r="A68" s="14" t="s">
        <v>104</v>
      </c>
      <c r="B68" s="27">
        <f>IF(127187.95111="","-",127187.95111)</f>
        <v>127187.95111</v>
      </c>
      <c r="C68" s="27">
        <f>IF(OR(117425.16525="",127187.95111=""),"-",127187.95111/117425.16525*100)</f>
        <v>108.31404907049938</v>
      </c>
      <c r="D68" s="27">
        <f>IF(117425.16525="","-",117425.16525/905353.79766*100)</f>
        <v>12.970085899401981</v>
      </c>
      <c r="E68" s="27">
        <f>IF(127187.95111="","-",127187.95111/1028241.56935*100)</f>
        <v>12.36946208957507</v>
      </c>
      <c r="F68" s="27">
        <f>IF(OR(992587.42702="",112835.25199="",117425.16525=""),"-",(117425.16525-112835.25199)/992587.42702*100)</f>
        <v>0.46241904088792346</v>
      </c>
      <c r="G68" s="27">
        <f>IF(OR(905353.79766="",127187.95111="",117425.16525=""),"-",(127187.95111-117425.16525)/905353.79766*100)</f>
        <v>1.078339306162202</v>
      </c>
    </row>
    <row r="69" spans="1:7" s="16" customFormat="1" ht="14.25" customHeight="1">
      <c r="A69" s="14" t="s">
        <v>105</v>
      </c>
      <c r="B69" s="27">
        <f>IF(15850.0799="","-",15850.0799)</f>
        <v>15850.0799</v>
      </c>
      <c r="C69" s="27">
        <f>IF(OR(15035.15643="",15850.0799=""),"-",15850.0799/15035.15643*100)</f>
        <v>105.42011966283214</v>
      </c>
      <c r="D69" s="27">
        <f>IF(15035.15643="","-",15035.15643/905353.79766*100)</f>
        <v>1.6606940257897231</v>
      </c>
      <c r="E69" s="27">
        <f>IF(15850.0799="","-",15850.0799/1028241.56935*100)</f>
        <v>1.5414743356485368</v>
      </c>
      <c r="F69" s="27">
        <f>IF(OR(992587.42702="",12173.36539="",15035.15643=""),"-",(15035.15643-12173.36539)/992587.42702*100)</f>
        <v>0.2883162693881609</v>
      </c>
      <c r="G69" s="27">
        <f>IF(OR(905353.79766="",15850.0799="",15035.15643=""),"-",(15850.0799-15035.15643)/905353.79766*100)</f>
        <v>0.09001160343130753</v>
      </c>
    </row>
    <row r="70" spans="1:7" ht="26.25">
      <c r="A70" s="8" t="s">
        <v>110</v>
      </c>
      <c r="B70" s="27">
        <f>IF(11698.0303="","-",11698.0303)</f>
        <v>11698.0303</v>
      </c>
      <c r="C70" s="27">
        <f>IF(OR(12050.42912="",11698.0303=""),"-",11698.0303/12050.42912*100)</f>
        <v>97.07563260618556</v>
      </c>
      <c r="D70" s="27">
        <f>IF(12050.42912="","-",12050.42912/905353.79766*100)</f>
        <v>1.3310187852689015</v>
      </c>
      <c r="E70" s="27">
        <f>IF(11698.0303="","-",11698.0303/1028241.56935*100)</f>
        <v>1.1376733492106215</v>
      </c>
      <c r="F70" s="27">
        <f>IF(OR(992587.42702="",13474.60336="",12050.42912=""),"-",(12050.42912-13474.60336)/992587.42702*100)</f>
        <v>-0.1434809872895259</v>
      </c>
      <c r="G70" s="27">
        <f>IF(OR(905353.79766="",11698.0303="",12050.42912=""),"-",(11698.0303-12050.42912)/905353.79766*100)</f>
        <v>-0.038923879361948785</v>
      </c>
    </row>
    <row r="71" spans="1:7" ht="26.25">
      <c r="A71" s="10" t="s">
        <v>107</v>
      </c>
      <c r="B71" s="27">
        <f>IF(1062.10821="","-",1062.10821)</f>
        <v>1062.10821</v>
      </c>
      <c r="C71" s="27">
        <f>IF(OR(791.64636="",1062.10821=""),"-",1062.10821/791.64636*100)</f>
        <v>134.16447844211652</v>
      </c>
      <c r="D71" s="27">
        <f>IF(791.64636="","-",791.64636/905353.79766*100)</f>
        <v>0.08744055219584972</v>
      </c>
      <c r="E71" s="27">
        <f>IF(1062.10821="","-",1062.10821/1028241.56935*100)</f>
        <v>0.10329364632392841</v>
      </c>
      <c r="F71" s="27">
        <f>IF(OR(992587.42702="",529.68391="",791.64636=""),"-",(791.64636-529.68391)/992587.42702*100)</f>
        <v>0.02639187671220841</v>
      </c>
      <c r="G71" s="27">
        <f>IF(OR(905353.79766="",1062.10821="",791.64636=""),"-",(1062.10821-791.64636)/905353.79766*100)</f>
        <v>0.029873608604618723</v>
      </c>
    </row>
    <row r="72" spans="1:7" ht="15">
      <c r="A72" s="11" t="s">
        <v>108</v>
      </c>
      <c r="B72" s="27">
        <f>IF(19203.47036="","-",19203.47036)</f>
        <v>19203.47036</v>
      </c>
      <c r="C72" s="27">
        <f>IF(OR(13236.90354="",19203.47036=""),"-",19203.47036/13236.90354*100)</f>
        <v>145.075245898483</v>
      </c>
      <c r="D72" s="27">
        <f>IF(13236.90354="","-",13236.90354/905353.79766*100)</f>
        <v>1.4620696985214432</v>
      </c>
      <c r="E72" s="27">
        <f>IF(19203.47036="","-",19203.47036/1028241.56935*100)</f>
        <v>1.8676029964572838</v>
      </c>
      <c r="F72" s="27">
        <f>IF(OR(992587.42702="",16744.55038="",13236.90354=""),"-",(13236.90354-16744.55038)/992587.42702*100)</f>
        <v>-0.3533841699497292</v>
      </c>
      <c r="G72" s="27">
        <f>IF(OR(905353.79766="",19203.47036="",13236.90354=""),"-",(19203.47036-13236.90354)/905353.79766*100)</f>
        <v>0.6590315118157495</v>
      </c>
    </row>
    <row r="73" spans="1:7" ht="15">
      <c r="A73" s="81" t="s">
        <v>28</v>
      </c>
      <c r="B73" s="81"/>
      <c r="C73" s="81"/>
      <c r="D73" s="81"/>
      <c r="E73" s="81"/>
      <c r="F73" s="81"/>
      <c r="G73" s="81"/>
    </row>
    <row r="74" spans="2:7" ht="15">
      <c r="B74" s="21"/>
      <c r="C74" s="22"/>
      <c r="D74" s="22"/>
      <c r="E74" s="22"/>
      <c r="F74" s="22"/>
      <c r="G74" s="22"/>
    </row>
  </sheetData>
  <sheetProtection/>
  <mergeCells count="11">
    <mergeCell ref="A73:G73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27.375" style="0" customWidth="1"/>
    <col min="2" max="2" width="12.50390625" style="0" customWidth="1"/>
    <col min="3" max="3" width="10.0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65" t="s">
        <v>117</v>
      </c>
      <c r="B1" s="65"/>
      <c r="C1" s="65"/>
      <c r="D1" s="65"/>
      <c r="E1" s="65"/>
      <c r="F1" s="65"/>
      <c r="G1" s="65"/>
    </row>
    <row r="2" spans="1:7" ht="15.75">
      <c r="A2" s="65" t="s">
        <v>36</v>
      </c>
      <c r="B2" s="65"/>
      <c r="C2" s="65"/>
      <c r="D2" s="65"/>
      <c r="E2" s="65"/>
      <c r="F2" s="65"/>
      <c r="G2" s="65"/>
    </row>
    <row r="3" ht="15">
      <c r="A3" s="5"/>
    </row>
    <row r="4" spans="1:7" ht="55.5" customHeight="1">
      <c r="A4" s="66"/>
      <c r="B4" s="69" t="s">
        <v>263</v>
      </c>
      <c r="C4" s="70"/>
      <c r="D4" s="69" t="s">
        <v>0</v>
      </c>
      <c r="E4" s="70"/>
      <c r="F4" s="71" t="s">
        <v>221</v>
      </c>
      <c r="G4" s="72"/>
    </row>
    <row r="5" spans="1:7" ht="18.75" customHeight="1">
      <c r="A5" s="67"/>
      <c r="B5" s="73" t="s">
        <v>197</v>
      </c>
      <c r="C5" s="75" t="s">
        <v>264</v>
      </c>
      <c r="D5" s="77" t="s">
        <v>265</v>
      </c>
      <c r="E5" s="77"/>
      <c r="F5" s="77" t="s">
        <v>265</v>
      </c>
      <c r="G5" s="69"/>
    </row>
    <row r="6" spans="1:7" ht="24" customHeight="1">
      <c r="A6" s="68"/>
      <c r="B6" s="74"/>
      <c r="C6" s="76"/>
      <c r="D6" s="18">
        <v>2016</v>
      </c>
      <c r="E6" s="18">
        <v>2017</v>
      </c>
      <c r="F6" s="18" t="s">
        <v>2</v>
      </c>
      <c r="G6" s="19" t="s">
        <v>187</v>
      </c>
    </row>
    <row r="7" spans="1:7" ht="15">
      <c r="A7" s="7" t="s">
        <v>199</v>
      </c>
      <c r="B7" s="39">
        <f>IF(2181439.02047="","-",2181439.02047)</f>
        <v>2181439.02047</v>
      </c>
      <c r="C7" s="39">
        <f>IF(1868312.11307="","-",2181439.02047/1868312.11307*100)</f>
        <v>116.75988209943529</v>
      </c>
      <c r="D7" s="39">
        <v>100</v>
      </c>
      <c r="E7" s="39">
        <v>100</v>
      </c>
      <c r="F7" s="39">
        <f>IF(1985308.615="","-",(1868312.11307-1985308.615)/1985308.615*100)</f>
        <v>-5.893114100550056</v>
      </c>
      <c r="G7" s="39">
        <f>IF(1868312.11307="","-",(2181439.02047-1868312.11307)/1868312.11307*100)</f>
        <v>16.759882099435277</v>
      </c>
    </row>
    <row r="8" spans="1:7" ht="12" customHeight="1">
      <c r="A8" s="8" t="s">
        <v>111</v>
      </c>
      <c r="B8" s="30"/>
      <c r="C8" s="30"/>
      <c r="D8" s="30"/>
      <c r="E8" s="30"/>
      <c r="F8" s="30"/>
      <c r="G8" s="30"/>
    </row>
    <row r="9" spans="1:7" ht="12.75" customHeight="1">
      <c r="A9" s="9" t="s">
        <v>37</v>
      </c>
      <c r="B9" s="26">
        <f>IF(240161.16534="","-",240161.16534)</f>
        <v>240161.16534</v>
      </c>
      <c r="C9" s="26">
        <f>IF(211016.95397="","-",240161.16534/211016.95397*100)</f>
        <v>113.81131270340647</v>
      </c>
      <c r="D9" s="26">
        <f>IF(211016.95397="","-",211016.95397/1868312.11307*100)</f>
        <v>11.294523676949144</v>
      </c>
      <c r="E9" s="26">
        <f>IF(240161.16534="","-",240161.16534/2181439.02047*100)</f>
        <v>11.009299966049763</v>
      </c>
      <c r="F9" s="26">
        <f>IF(1985308.615="","-",(211016.95397-208301.26566)/1985308.615*100)</f>
        <v>0.1367892270995861</v>
      </c>
      <c r="G9" s="26">
        <f>IF(1868312.11307="","-",(240161.16534-211016.95397)/1868312.11307*100)</f>
        <v>1.5599219833837292</v>
      </c>
    </row>
    <row r="10" spans="1:7" ht="14.25" customHeight="1">
      <c r="A10" s="8" t="s">
        <v>38</v>
      </c>
      <c r="B10" s="27">
        <f>IF(3022.86354="","-",3022.86354)</f>
        <v>3022.86354</v>
      </c>
      <c r="C10" s="27">
        <f>IF(OR(3277.23183="",3022.86354=""),"-",3022.86354/3277.23183*100)</f>
        <v>92.23831870325755</v>
      </c>
      <c r="D10" s="27">
        <f>IF(3277.23183="","-",3277.23183/1868312.11307*100)</f>
        <v>0.17541136767640345</v>
      </c>
      <c r="E10" s="27">
        <f>IF(3022.86354="","-",3022.86354/2181439.02047*100)</f>
        <v>0.1385719936076284</v>
      </c>
      <c r="F10" s="27">
        <f>IF(OR(1985308.615="",4244.48768="",3277.23183=""),"-",(3277.23183-4244.48768)/1985308.615*100)</f>
        <v>-0.048720679630960044</v>
      </c>
      <c r="G10" s="27">
        <f>IF(OR(1868312.11307="",3022.86354="",3277.23183=""),"-",(3022.86354-3277.23183)/1868312.11307*100)</f>
        <v>-0.013614871317299538</v>
      </c>
    </row>
    <row r="11" spans="1:7" s="16" customFormat="1" ht="13.5" customHeight="1">
      <c r="A11" s="14" t="s">
        <v>39</v>
      </c>
      <c r="B11" s="27">
        <f>IF(14334.63261="","-",14334.63261)</f>
        <v>14334.63261</v>
      </c>
      <c r="C11" s="27">
        <f>IF(OR(10217.4359="",14334.63261=""),"-",14334.63261/10217.4359*100)</f>
        <v>140.29579192172864</v>
      </c>
      <c r="D11" s="27">
        <f>IF(10217.4359="","-",10217.4359/1868312.11307*100)</f>
        <v>0.5468805682157017</v>
      </c>
      <c r="E11" s="27">
        <f>IF(14334.63261="","-",14334.63261/2181439.02047*100)</f>
        <v>0.6571181901253214</v>
      </c>
      <c r="F11" s="27">
        <f>IF(OR(1985308.615="",10635.66647="",10217.4359=""),"-",(10217.4359-10635.66647)/1985308.615*100)</f>
        <v>-0.021066274877369617</v>
      </c>
      <c r="G11" s="27">
        <f>IF(OR(1868312.11307="",14334.63261="",10217.4359=""),"-",(14334.63261-10217.4359)/1868312.11307*100)</f>
        <v>0.22036985582856633</v>
      </c>
    </row>
    <row r="12" spans="1:7" s="16" customFormat="1" ht="13.5" customHeight="1">
      <c r="A12" s="14" t="s">
        <v>40</v>
      </c>
      <c r="B12" s="27">
        <f>IF(25157.54296="","-",25157.54296)</f>
        <v>25157.54296</v>
      </c>
      <c r="C12" s="27">
        <f>IF(OR(18068.19577="",25157.54296=""),"-",25157.54296/18068.19577*100)</f>
        <v>139.2366082382779</v>
      </c>
      <c r="D12" s="27">
        <f>IF(18068.19577="","-",18068.19577/1868312.11307*100)</f>
        <v>0.9670865827824903</v>
      </c>
      <c r="E12" s="27">
        <f>IF(25157.54296="","-",25157.54296/2181439.02047*100)</f>
        <v>1.1532544675294065</v>
      </c>
      <c r="F12" s="27">
        <f>IF(OR(1985308.615="",15813.97494="",18068.19577=""),"-",(18068.19577-15813.97494)/1985308.615*100)</f>
        <v>0.11354510895526429</v>
      </c>
      <c r="G12" s="27">
        <f>IF(OR(1868312.11307="",25157.54296="",18068.19577=""),"-",(25157.54296-18068.19577)/1868312.11307*100)</f>
        <v>0.3794519738113149</v>
      </c>
    </row>
    <row r="13" spans="1:7" s="16" customFormat="1" ht="14.25" customHeight="1">
      <c r="A13" s="14" t="s">
        <v>41</v>
      </c>
      <c r="B13" s="27">
        <f>IF(20163.46374="","-",20163.46374)</f>
        <v>20163.46374</v>
      </c>
      <c r="C13" s="27">
        <f>IF(OR(19376.32768="",20163.46374=""),"-",20163.46374/19376.32768*100)</f>
        <v>104.06235935415395</v>
      </c>
      <c r="D13" s="27">
        <f>IF(19376.32768="","-",19376.32768/1868312.11307*100)</f>
        <v>1.0371033589329421</v>
      </c>
      <c r="E13" s="27">
        <f>IF(20163.46374="","-",20163.46374/2181439.02047*100)</f>
        <v>0.9243193850844246</v>
      </c>
      <c r="F13" s="27">
        <f>IF(OR(1985308.615="",15768.67256="",19376.32768=""),"-",(19376.32768-15768.67256)/1985308.615*100)</f>
        <v>0.1817175975937624</v>
      </c>
      <c r="G13" s="27">
        <f>IF(OR(1868312.11307="",20163.46374="",19376.32768=""),"-",(20163.46374-19376.32768)/1868312.11307*100)</f>
        <v>0.04213086531385718</v>
      </c>
    </row>
    <row r="14" spans="1:7" s="16" customFormat="1" ht="15" customHeight="1">
      <c r="A14" s="14" t="s">
        <v>42</v>
      </c>
      <c r="B14" s="27">
        <f>IF(33455.95561="","-",33455.95561)</f>
        <v>33455.95561</v>
      </c>
      <c r="C14" s="27">
        <f>IF(OR(31112.32968="",33455.95561=""),"-",33455.95561/31112.32968*100)</f>
        <v>107.5327883000242</v>
      </c>
      <c r="D14" s="27">
        <f>IF(31112.32968="","-",31112.32968/1868312.11307*100)</f>
        <v>1.6652640349730643</v>
      </c>
      <c r="E14" s="27">
        <f>IF(33455.95561="","-",33455.95561/2181439.02047*100)</f>
        <v>1.5336644891770468</v>
      </c>
      <c r="F14" s="27">
        <f>IF(OR(1985308.615="",29729.15511="",31112.32968=""),"-",(31112.32968-29729.15511)/1985308.615*100)</f>
        <v>0.06967050661793453</v>
      </c>
      <c r="G14" s="27">
        <f>IF(OR(1868312.11307="",33455.95561="",31112.32968=""),"-",(33455.95561-31112.32968)/1868312.11307*100)</f>
        <v>0.12544081439096197</v>
      </c>
    </row>
    <row r="15" spans="1:7" s="16" customFormat="1" ht="14.25" customHeight="1">
      <c r="A15" s="14" t="s">
        <v>43</v>
      </c>
      <c r="B15" s="27">
        <f>IF(56962.13377="","-",56962.13377)</f>
        <v>56962.13377</v>
      </c>
      <c r="C15" s="27">
        <f>IF(OR(54792.00724="",56962.13377=""),"-",56962.13377/54792.00724*100)</f>
        <v>103.96066258440655</v>
      </c>
      <c r="D15" s="27">
        <f>IF(54792.00724="","-",54792.00724/1868312.11307*100)</f>
        <v>2.9327009580838226</v>
      </c>
      <c r="E15" s="27">
        <f>IF(56962.13377="","-",56962.13377/2181439.02047*100)</f>
        <v>2.6112182479310047</v>
      </c>
      <c r="F15" s="27">
        <f>IF(OR(1985308.615="",67149.494="",54792.00724=""),"-",(54792.00724-67149.494)/1985308.615*100)</f>
        <v>-0.6224466396122502</v>
      </c>
      <c r="G15" s="27">
        <f>IF(OR(1868312.11307="",56962.13377="",54792.00724=""),"-",(56962.13377-54792.00724)/1868312.11307*100)</f>
        <v>0.11615438955935803</v>
      </c>
    </row>
    <row r="16" spans="1:7" s="16" customFormat="1" ht="14.25" customHeight="1">
      <c r="A16" s="14" t="s">
        <v>44</v>
      </c>
      <c r="B16" s="27">
        <f>IF(19281.0434="","-",19281.0434)</f>
        <v>19281.0434</v>
      </c>
      <c r="C16" s="27" t="s">
        <v>218</v>
      </c>
      <c r="D16" s="27">
        <f>IF(10031.52702="","-",10031.52702/1868312.11307*100)</f>
        <v>0.5369299353048806</v>
      </c>
      <c r="E16" s="27">
        <f>IF(19281.0434="","-",19281.0434/2181439.02047*100)</f>
        <v>0.8838680897825795</v>
      </c>
      <c r="F16" s="27">
        <f>IF(OR(1985308.615="",5136.55895="",10031.52702=""),"-",(10031.52702-5136.55895)/1985308.615*100)</f>
        <v>0.24655955416785416</v>
      </c>
      <c r="G16" s="27">
        <f>IF(OR(1868312.11307="",19281.0434="",10031.52702=""),"-",(19281.0434-10031.52702)/1868312.11307*100)</f>
        <v>0.4950734042397898</v>
      </c>
    </row>
    <row r="17" spans="1:7" s="16" customFormat="1" ht="26.25">
      <c r="A17" s="14" t="s">
        <v>45</v>
      </c>
      <c r="B17" s="27">
        <f>IF(20927.277="","-",20927.277)</f>
        <v>20927.277</v>
      </c>
      <c r="C17" s="27">
        <f>IF(OR(20120.33665="",20927.277=""),"-",20927.277/20120.33665*100)</f>
        <v>104.01057081716371</v>
      </c>
      <c r="D17" s="27">
        <f>IF(20120.33665="","-",20120.33665/1868312.11307*100)</f>
        <v>1.076925879206466</v>
      </c>
      <c r="E17" s="27">
        <f>IF(20927.277="","-",20927.277/2181439.02047*100)</f>
        <v>0.9593335776808068</v>
      </c>
      <c r="F17" s="27">
        <f>IF(OR(1985308.615="",19747.21749="",20120.33665=""),"-",(20120.33665-19747.21749)/1985308.615*100)</f>
        <v>0.018794013040637613</v>
      </c>
      <c r="G17" s="27">
        <f>IF(OR(1868312.11307="",20927.277="",20120.33665=""),"-",(20927.277-20120.33665)/1868312.11307*100)</f>
        <v>0.043190875033938377</v>
      </c>
    </row>
    <row r="18" spans="1:7" s="16" customFormat="1" ht="26.25">
      <c r="A18" s="14" t="s">
        <v>46</v>
      </c>
      <c r="B18" s="27">
        <f>IF(14672.33303="","-",14672.33303)</f>
        <v>14672.33303</v>
      </c>
      <c r="C18" s="27">
        <f>IF(OR(13460.03156="",14672.33303=""),"-",14672.33303/13460.03156*100)</f>
        <v>109.00667628152279</v>
      </c>
      <c r="D18" s="27">
        <f>IF(13460.03156="","-",13460.03156/1868312.11307*100)</f>
        <v>0.7204380609555944</v>
      </c>
      <c r="E18" s="27">
        <f>IF(14672.33303="","-",14672.33303/2181439.02047*100)</f>
        <v>0.6725988163005714</v>
      </c>
      <c r="F18" s="27">
        <f>IF(OR(1985308.615="",11237.49513="",13460.03156=""),"-",(13460.03156-11237.49513)/1985308.615*100)</f>
        <v>0.11194916564647055</v>
      </c>
      <c r="G18" s="27">
        <f>IF(OR(1868312.11307="",14672.33303="",13460.03156=""),"-",(14672.33303-13460.03156)/1868312.11307*100)</f>
        <v>0.06488752395915012</v>
      </c>
    </row>
    <row r="19" spans="1:7" s="16" customFormat="1" ht="13.5" customHeight="1">
      <c r="A19" s="14" t="s">
        <v>47</v>
      </c>
      <c r="B19" s="27">
        <f>IF(32183.91968="","-",32183.91968)</f>
        <v>32183.91968</v>
      </c>
      <c r="C19" s="27">
        <f>IF(OR(30561.53064="",32183.91968=""),"-",32183.91968/30561.53064*100)</f>
        <v>105.30859877115107</v>
      </c>
      <c r="D19" s="27">
        <f>IF(30561.53064="","-",30561.53064/1868312.11307*100)</f>
        <v>1.6357829308177778</v>
      </c>
      <c r="E19" s="27">
        <f>IF(32183.91968="","-",32183.91968/2181439.02047*100)</f>
        <v>1.4753527088309735</v>
      </c>
      <c r="F19" s="27">
        <f>IF(OR(1985308.615="",28838.54333="",30561.53064=""),"-",(30561.53064-28838.54333)/1985308.615*100)</f>
        <v>0.08678687519824219</v>
      </c>
      <c r="G19" s="27">
        <f>IF(OR(1868312.11307="",32183.91968="",30561.53064=""),"-",(32183.91968-30561.53064)/1868312.11307*100)</f>
        <v>0.08683715256409154</v>
      </c>
    </row>
    <row r="20" spans="1:7" s="16" customFormat="1" ht="13.5" customHeight="1">
      <c r="A20" s="15" t="s">
        <v>48</v>
      </c>
      <c r="B20" s="26">
        <f>IF(48509.58902="","-",48509.58902)</f>
        <v>48509.58902</v>
      </c>
      <c r="C20" s="26">
        <f>IF(49761.73635="","-",48509.58902/49761.73635*100)</f>
        <v>97.48371455289863</v>
      </c>
      <c r="D20" s="26">
        <f>IF(49761.73635="","-",49761.73635/1868312.11307*100)</f>
        <v>2.6634594938332756</v>
      </c>
      <c r="E20" s="26">
        <f>IF(48509.58902="","-",48509.58902/2181439.02047*100)</f>
        <v>2.2237426104878426</v>
      </c>
      <c r="F20" s="26">
        <f>IF(1985308.615="","-",(49761.73635-42173.95539)/1985308.615*100)</f>
        <v>0.38219654630370886</v>
      </c>
      <c r="G20" s="26">
        <f>IF(1868312.11307="","-",(48509.58902-49761.73635)/1868312.11307*100)</f>
        <v>-0.06702024363276639</v>
      </c>
    </row>
    <row r="21" spans="1:7" s="16" customFormat="1" ht="15" customHeight="1">
      <c r="A21" s="14" t="s">
        <v>49</v>
      </c>
      <c r="B21" s="27">
        <f>IF(23096.57192="","-",23096.57192)</f>
        <v>23096.57192</v>
      </c>
      <c r="C21" s="27">
        <f>IF(OR(22323.55556="",23096.57192=""),"-",23096.57192/22323.55556*100)</f>
        <v>103.46278332733479</v>
      </c>
      <c r="D21" s="27">
        <f>IF(22323.55556="","-",22323.55556/1868312.11307*100)</f>
        <v>1.1948515135042432</v>
      </c>
      <c r="E21" s="27">
        <f>IF(23096.57192="","-",23096.57192/2181439.02047*100)</f>
        <v>1.0587768763310996</v>
      </c>
      <c r="F21" s="27">
        <f>IF(OR(1985308.615="",16481.75667="",22323.55556=""),"-",(22323.55556-16481.75667)/1985308.615*100)</f>
        <v>0.29425142498563134</v>
      </c>
      <c r="G21" s="27">
        <f>IF(OR(1868312.11307="",23096.57192="",22323.55556=""),"-",(23096.57192-22323.55556)/1868312.11307*100)</f>
        <v>0.04137511899603229</v>
      </c>
    </row>
    <row r="22" spans="1:7" s="16" customFormat="1" ht="14.25" customHeight="1">
      <c r="A22" s="14" t="s">
        <v>50</v>
      </c>
      <c r="B22" s="27">
        <f>IF(25413.0171="","-",25413.0171)</f>
        <v>25413.0171</v>
      </c>
      <c r="C22" s="27">
        <f>IF(OR(27438.18079="",25413.0171=""),"-",25413.0171/27438.18079*100)</f>
        <v>92.6191765208498</v>
      </c>
      <c r="D22" s="27">
        <f>IF(27438.18079="","-",27438.18079/1868312.11307*100)</f>
        <v>1.4686079803290326</v>
      </c>
      <c r="E22" s="27">
        <f>IF(25413.0171="","-",25413.0171/2181439.02047*100)</f>
        <v>1.1649657341567432</v>
      </c>
      <c r="F22" s="27">
        <f>IF(OR(1985308.615="",25692.19872="",27438.18079=""),"-",(27438.18079-25692.19872)/1985308.615*100)</f>
        <v>0.0879451213180777</v>
      </c>
      <c r="G22" s="27">
        <f>IF(OR(1868312.11307="",25413.0171="",27438.18079=""),"-",(25413.0171-27438.18079)/1868312.11307*100)</f>
        <v>-0.10839536262879866</v>
      </c>
    </row>
    <row r="23" spans="1:7" s="16" customFormat="1" ht="26.25">
      <c r="A23" s="15" t="s">
        <v>51</v>
      </c>
      <c r="B23" s="26">
        <f>IF(60840.71006="","-",60840.71006)</f>
        <v>60840.71006</v>
      </c>
      <c r="C23" s="26">
        <f>IF(55042.75202="","-",60840.71006/55042.75202*100)</f>
        <v>110.53355405974847</v>
      </c>
      <c r="D23" s="26">
        <f>IF(55042.75202="","-",55042.75202/1868312.11307*100)</f>
        <v>2.946121883754961</v>
      </c>
      <c r="E23" s="26">
        <f>IF(60840.71006="","-",60840.71006/2181439.02047*100)</f>
        <v>2.7890172262019783</v>
      </c>
      <c r="F23" s="26">
        <f>IF(1985308.615="","-",(55042.75202-57755.21681)/1985308.615*100)</f>
        <v>-0.13662685838896632</v>
      </c>
      <c r="G23" s="26">
        <f>IF(1868312.11307="","-",(60840.71006-55042.75202)/1868312.11307*100)</f>
        <v>0.31033134129140905</v>
      </c>
    </row>
    <row r="24" spans="1:7" s="16" customFormat="1" ht="14.25" customHeight="1">
      <c r="A24" s="14" t="s">
        <v>53</v>
      </c>
      <c r="B24" s="27">
        <f>IF(21497.79453="","-",21497.79453)</f>
        <v>21497.79453</v>
      </c>
      <c r="C24" s="27">
        <f>IF(OR(20512.68194="",21497.79453=""),"-",21497.79453/20512.68194*100)</f>
        <v>104.80245631888347</v>
      </c>
      <c r="D24" s="27">
        <f>IF(20512.68194="","-",20512.68194/1868312.11307*100)</f>
        <v>1.0979258656249717</v>
      </c>
      <c r="E24" s="27">
        <f>IF(21497.79453="","-",21497.79453/2181439.02047*100)</f>
        <v>0.9854868427799651</v>
      </c>
      <c r="F24" s="27">
        <f>IF(OR(1985308.615="",16617.08143="",20512.68194=""),"-",(20512.68194-16617.08143)/1985308.615*100)</f>
        <v>0.19622140762231066</v>
      </c>
      <c r="G24" s="27">
        <f>IF(OR(1868312.11307="",21497.79453="",20512.68194=""),"-",(21497.79453-20512.68194)/1868312.11307*100)</f>
        <v>0.052727410110362624</v>
      </c>
    </row>
    <row r="25" spans="1:7" s="16" customFormat="1" ht="26.25">
      <c r="A25" s="14" t="s">
        <v>54</v>
      </c>
      <c r="B25" s="27">
        <f>IF(304.36491="","-",304.36491)</f>
        <v>304.36491</v>
      </c>
      <c r="C25" s="27">
        <f>IF(OR(296.66584="",304.36491=""),"-",304.36491/296.66584*100)</f>
        <v>102.59519936639822</v>
      </c>
      <c r="D25" s="27">
        <f>IF(296.66584="","-",296.66584/1868312.11307*100)</f>
        <v>0.015878815853338356</v>
      </c>
      <c r="E25" s="27">
        <f>IF(304.36491="","-",304.36491/2181439.02047*100)</f>
        <v>0.013952483069383409</v>
      </c>
      <c r="F25" s="27">
        <f>IF(OR(1985308.615="",1707.93165="",296.66584=""),"-",(296.66584-1707.93165)/1985308.615*100)</f>
        <v>-0.07108546244836599</v>
      </c>
      <c r="G25" s="27">
        <f>IF(OR(1868312.11307="",304.36491="",296.66584=""),"-",(304.36491-296.66584)/1868312.11307*100)</f>
        <v>0.00041208692841737974</v>
      </c>
    </row>
    <row r="26" spans="1:7" s="16" customFormat="1" ht="13.5" customHeight="1">
      <c r="A26" s="14" t="s">
        <v>55</v>
      </c>
      <c r="B26" s="27">
        <f>IF(13825.34097="","-",13825.34097)</f>
        <v>13825.34097</v>
      </c>
      <c r="C26" s="27">
        <f>IF(OR(11206.66492="",13825.34097=""),"-",13825.34097/11206.66492*100)</f>
        <v>123.36713079844633</v>
      </c>
      <c r="D26" s="27">
        <f>IF(11206.66492="","-",11206.66492/1868312.11307*100)</f>
        <v>0.599828307144317</v>
      </c>
      <c r="E26" s="27">
        <f>IF(13825.34097="","-",13825.34097/2181439.02047*100)</f>
        <v>0.633771599401448</v>
      </c>
      <c r="F26" s="27">
        <f>IF(OR(1985308.615="",12172.36805="",11206.66492=""),"-",(11206.66492-12172.36805)/1985308.615*100)</f>
        <v>-0.04864246912060067</v>
      </c>
      <c r="G26" s="27">
        <f>IF(OR(1868312.11307="",13825.34097="",11206.66492=""),"-",(13825.34097-11206.66492)/1868312.11307*100)</f>
        <v>0.14016266509651892</v>
      </c>
    </row>
    <row r="27" spans="1:7" s="16" customFormat="1" ht="15" customHeight="1">
      <c r="A27" s="14" t="s">
        <v>56</v>
      </c>
      <c r="B27" s="27">
        <f>IF(244.1903="","-",244.1903)</f>
        <v>244.1903</v>
      </c>
      <c r="C27" s="27">
        <f>IF(OR(261.07787="",244.1903=""),"-",244.1903/261.07787*100)</f>
        <v>93.5315965309507</v>
      </c>
      <c r="D27" s="27">
        <f>IF(261.07787="","-",261.07787/1868312.11307*100)</f>
        <v>0.013973996538030166</v>
      </c>
      <c r="E27" s="27">
        <f>IF(244.1903="","-",244.1903/2181439.02047*100)</f>
        <v>0.011194000735688143</v>
      </c>
      <c r="F27" s="27">
        <f>IF(OR(1985308.615="",89.46774="",261.07787=""),"-",(261.07787-89.46774)/1985308.615*100)</f>
        <v>0.008644002685698315</v>
      </c>
      <c r="G27" s="27">
        <f>IF(OR(1868312.11307="",244.1903="",261.07787=""),"-",(244.1903-261.07787)/1868312.11307*100)</f>
        <v>-0.0009038944768307716</v>
      </c>
    </row>
    <row r="28" spans="1:7" s="16" customFormat="1" ht="39">
      <c r="A28" s="14" t="s">
        <v>57</v>
      </c>
      <c r="B28" s="27">
        <f>IF(4026.85854="","-",4026.85854)</f>
        <v>4026.85854</v>
      </c>
      <c r="C28" s="27">
        <f>IF(OR(3785.1633="",4026.85854=""),"-",4026.85854/3785.1633*100)</f>
        <v>106.3853319089298</v>
      </c>
      <c r="D28" s="27">
        <f>IF(3785.1633="","-",3785.1633/1868312.11307*100)</f>
        <v>0.20259801740407501</v>
      </c>
      <c r="E28" s="27">
        <f>IF(4026.85854="","-",4026.85854/2181439.02047*100)</f>
        <v>0.18459642933921652</v>
      </c>
      <c r="F28" s="27">
        <f>IF(OR(1985308.615="",5990.58097="",3785.1633=""),"-",(3785.1633-5990.58097)/1985308.615*100)</f>
        <v>-0.11108689366161845</v>
      </c>
      <c r="G28" s="27">
        <f>IF(OR(1868312.11307="",4026.85854="",3785.1633=""),"-",(4026.85854-3785.1633)/1868312.11307*100)</f>
        <v>0.01293655585216154</v>
      </c>
    </row>
    <row r="29" spans="1:7" s="16" customFormat="1" ht="39">
      <c r="A29" s="14" t="s">
        <v>58</v>
      </c>
      <c r="B29" s="27">
        <f>IF(4531.63825="","-",4531.63825)</f>
        <v>4531.63825</v>
      </c>
      <c r="C29" s="27">
        <f>IF(OR(4671.05367="",4531.63825=""),"-",4531.63825/4671.05367*100)</f>
        <v>97.01533251704213</v>
      </c>
      <c r="D29" s="27">
        <f>IF(4671.05367="","-",4671.05367/1868312.11307*100)</f>
        <v>0.2500146328508544</v>
      </c>
      <c r="E29" s="27">
        <f>IF(4531.63825="","-",4531.63825/2181439.02047*100)</f>
        <v>0.20773618732755775</v>
      </c>
      <c r="F29" s="27">
        <f>IF(OR(1985308.615="",4583.95487="",4671.05367=""),"-",(4671.05367-4583.95487)/1985308.615*100)</f>
        <v>0.0043871667780981585</v>
      </c>
      <c r="G29" s="27">
        <f>IF(OR(1868312.11307="",4531.63825="",4671.05367=""),"-",(4531.63825-4671.05367)/1868312.11307*100)</f>
        <v>-0.007462105449335959</v>
      </c>
    </row>
    <row r="30" spans="1:7" s="16" customFormat="1" ht="14.25" customHeight="1">
      <c r="A30" s="14" t="s">
        <v>59</v>
      </c>
      <c r="B30" s="27">
        <f>IF(549.58713="","-",549.58713)</f>
        <v>549.58713</v>
      </c>
      <c r="C30" s="27">
        <f>IF(OR(365.97949="",549.58713=""),"-",549.58713/365.97949*100)</f>
        <v>150.16883323161088</v>
      </c>
      <c r="D30" s="27">
        <f>IF(365.97949="","-",365.97949/1868312.11307*100)</f>
        <v>0.019588776813025344</v>
      </c>
      <c r="E30" s="27">
        <f>IF(549.58713="","-",549.58713/2181439.02047*100)</f>
        <v>0.025193788359098357</v>
      </c>
      <c r="F30" s="27">
        <f>IF(OR(1985308.615="",339.01874="",365.97949=""),"-",(365.97949-339.01874)/1985308.615*100)</f>
        <v>0.0013580130462487324</v>
      </c>
      <c r="G30" s="27">
        <f>IF(OR(1868312.11307="",549.58713="",365.97949=""),"-",(549.58713-365.97949)/1868312.11307*100)</f>
        <v>0.009827460771439145</v>
      </c>
    </row>
    <row r="31" spans="1:7" s="16" customFormat="1" ht="26.25">
      <c r="A31" s="14" t="s">
        <v>60</v>
      </c>
      <c r="B31" s="27">
        <f>IF(15834.03456="","-",15834.03456)</f>
        <v>15834.03456</v>
      </c>
      <c r="C31" s="27">
        <f>IF(OR(13902.96627="",15834.03456=""),"-",15834.03456/13902.96627*100)</f>
        <v>113.8896135723704</v>
      </c>
      <c r="D31" s="27">
        <f>IF(13902.96627="","-",13902.96627/1868312.11307*100)</f>
        <v>0.7441458080124913</v>
      </c>
      <c r="E31" s="27">
        <f>IF(15834.03456="","-",15834.03456/2181439.02047*100)</f>
        <v>0.7258527243447077</v>
      </c>
      <c r="F31" s="27">
        <f>IF(OR(1985308.615="",16247.15193="",13902.96627=""),"-",(13902.96627-16247.15193)/1985308.615*100)</f>
        <v>-0.1180766376717707</v>
      </c>
      <c r="G31" s="27">
        <f>IF(OR(1868312.11307="",15834.03456="",13902.96627=""),"-",(15834.03456-13902.96627)/1868312.11307*100)</f>
        <v>0.10335897714792838</v>
      </c>
    </row>
    <row r="32" spans="1:7" s="16" customFormat="1" ht="26.25">
      <c r="A32" s="15" t="s">
        <v>61</v>
      </c>
      <c r="B32" s="26">
        <f>IF(347674.12634="","-",347674.12634)</f>
        <v>347674.12634</v>
      </c>
      <c r="C32" s="26">
        <f>IF(283022.38222="","-",347674.12634/283022.38222*100)</f>
        <v>122.84333260602148</v>
      </c>
      <c r="D32" s="26">
        <f>IF(283022.38222="","-",283022.38222/1868312.11307*100)</f>
        <v>15.14856004198031</v>
      </c>
      <c r="E32" s="26">
        <f>IF(347674.12634="","-",347674.12634/2181439.02047*100)</f>
        <v>15.937833837092189</v>
      </c>
      <c r="F32" s="26">
        <f>IF(1985308.615="","-",(283022.38222-398291.69101)/1985308.615*100)</f>
        <v>-5.8061153776839864</v>
      </c>
      <c r="G32" s="26">
        <f>IF(1868312.11307="","-",(347674.12634-283022.38222)/1868312.11307*100)</f>
        <v>3.460435955412429</v>
      </c>
    </row>
    <row r="33" spans="1:7" s="16" customFormat="1" ht="14.25" customHeight="1">
      <c r="A33" s="14" t="s">
        <v>62</v>
      </c>
      <c r="B33" s="27">
        <f>IF(9320.95682="","-",9320.95682)</f>
        <v>9320.95682</v>
      </c>
      <c r="C33" s="27" t="s">
        <v>214</v>
      </c>
      <c r="D33" s="27">
        <f>IF(3102.76152="","-",3102.76152/1868312.11307*100)</f>
        <v>0.16607297561763168</v>
      </c>
      <c r="E33" s="27">
        <f>IF(9320.95682="","-",9320.95682/2181439.02047*100)</f>
        <v>0.42728477544111054</v>
      </c>
      <c r="F33" s="27">
        <f>IF(OR(1985308.615="",6740.49082="",3102.76152=""),"-",(3102.76152-6740.49082)/1985308.615*100)</f>
        <v>-0.18323243411705034</v>
      </c>
      <c r="G33" s="27">
        <f>IF(OR(1868312.11307="",9320.95682="",3102.76152=""),"-",(9320.95682-3102.76152)/1868312.11307*100)</f>
        <v>0.33282422441624576</v>
      </c>
    </row>
    <row r="34" spans="1:7" s="16" customFormat="1" ht="26.25">
      <c r="A34" s="14" t="s">
        <v>63</v>
      </c>
      <c r="B34" s="27">
        <f>IF(199787.25595="","-",199787.25595)</f>
        <v>199787.25595</v>
      </c>
      <c r="C34" s="27">
        <f>IF(OR(152320.60945="",199787.25595=""),"-",199787.25595/152320.60945*100)</f>
        <v>131.1623270622359</v>
      </c>
      <c r="D34" s="27">
        <f>IF(152320.60945="","-",152320.60945/1868312.11307*100)</f>
        <v>8.152846003856798</v>
      </c>
      <c r="E34" s="27">
        <f>IF(199787.25595="","-",199787.25595/2181439.02047*100)</f>
        <v>9.158507484062287</v>
      </c>
      <c r="F34" s="27">
        <f>IF(OR(1985308.615="",201266.36859="",152320.60945=""),"-",(152320.60945-201266.36859)/1985308.615*100)</f>
        <v>-2.465398012691342</v>
      </c>
      <c r="G34" s="27">
        <f>IF(OR(1868312.11307="",199787.25595="",152320.60945=""),"-",(199787.25595-152320.60945)/1868312.11307*100)</f>
        <v>2.5406165366022853</v>
      </c>
    </row>
    <row r="35" spans="1:7" s="16" customFormat="1" ht="26.25">
      <c r="A35" s="14" t="s">
        <v>64</v>
      </c>
      <c r="B35" s="27">
        <f>IF(103878.54838="","-",103878.54838)</f>
        <v>103878.54838</v>
      </c>
      <c r="C35" s="27">
        <f>IF(OR(127346.84811="",103878.54838=""),"-",103878.54838/127346.84811*100)</f>
        <v>81.57135407880021</v>
      </c>
      <c r="D35" s="27">
        <f>IF(127346.84811="","-",127346.84811/1868312.11307*100)</f>
        <v>6.816144220183018</v>
      </c>
      <c r="E35" s="27">
        <f>IF(103878.54838="","-",103878.54838/2181439.02047*100)</f>
        <v>4.761927672753325</v>
      </c>
      <c r="F35" s="27">
        <f>IF(OR(1985308.615="",189927.93025="",127346.84811=""),"-",(127346.84811-189927.93025)/1985308.615*100)</f>
        <v>-3.152209266970818</v>
      </c>
      <c r="G35" s="27">
        <f>IF(OR(1868312.11307="",103878.54838="",127346.84811=""),"-",(103878.54838-127346.84811)/1868312.11307*100)</f>
        <v>-1.2561230838158532</v>
      </c>
    </row>
    <row r="36" spans="1:7" s="16" customFormat="1" ht="13.5" customHeight="1">
      <c r="A36" s="14" t="s">
        <v>65</v>
      </c>
      <c r="B36" s="27">
        <f>IF(34687.36519="","-",34687.36519)</f>
        <v>34687.36519</v>
      </c>
      <c r="C36" s="27" t="s">
        <v>260</v>
      </c>
      <c r="D36" s="27">
        <f>IF(252.16314="","-",252.16314/1868312.11307*100)</f>
        <v>0.013496842322862582</v>
      </c>
      <c r="E36" s="27">
        <f>IF(34687.36519="","-",34687.36519/2181439.02047*100)</f>
        <v>1.5901139048354636</v>
      </c>
      <c r="F36" s="27">
        <f>IF(OR(1985308.615="",356.90135="",252.16314=""),"-",(252.16314-356.90135)/1985308.615*100)</f>
        <v>-0.005275663904777846</v>
      </c>
      <c r="G36" s="27">
        <f>IF(OR(1868312.11307="",34687.36519="",252.16314=""),"-",(34687.36519-252.16314)/1868312.11307*100)</f>
        <v>1.8431182782097508</v>
      </c>
    </row>
    <row r="37" spans="1:7" s="16" customFormat="1" ht="26.25">
      <c r="A37" s="15" t="s">
        <v>66</v>
      </c>
      <c r="B37" s="26">
        <f>IF(6616.43307="","-",6616.43307)</f>
        <v>6616.43307</v>
      </c>
      <c r="C37" s="26" t="s">
        <v>217</v>
      </c>
      <c r="D37" s="26">
        <f>IF(4069.73158="","-",4069.73158/1868312.11307*100)</f>
        <v>0.2178293204614854</v>
      </c>
      <c r="E37" s="26">
        <f>IF(6616.43307="","-",6616.43307/2181439.02047*100)</f>
        <v>0.30330589156576393</v>
      </c>
      <c r="F37" s="26">
        <f>IF(1985308.615="","-",(4069.73158-4326.13002)/1985308.615*100)</f>
        <v>-0.012914790076604763</v>
      </c>
      <c r="G37" s="26">
        <f>IF(1868312.11307="","-",(6616.43307-4069.73158)/1868312.11307*100)</f>
        <v>0.13631028093134154</v>
      </c>
    </row>
    <row r="38" spans="1:7" s="16" customFormat="1" ht="15" customHeight="1">
      <c r="A38" s="14" t="s">
        <v>67</v>
      </c>
      <c r="B38" s="27">
        <f>IF(471.76899="","-",471.76899)</f>
        <v>471.76899</v>
      </c>
      <c r="C38" s="27">
        <f>IF(OR(334.6074="",471.76899=""),"-",471.76899/334.6074*100)</f>
        <v>140.99179814911446</v>
      </c>
      <c r="D38" s="27">
        <f>IF(334.6074="","-",334.6074/1868312.11307*100)</f>
        <v>0.01790960930238658</v>
      </c>
      <c r="E38" s="27">
        <f>IF(471.76899="","-",471.76899/2181439.02047*100)</f>
        <v>0.02162650367821675</v>
      </c>
      <c r="F38" s="27">
        <f>IF(OR(1985308.615="",275.14211="",334.6074=""),"-",(334.6074-275.14211)/1985308.615*100)</f>
        <v>0.0029952668089338838</v>
      </c>
      <c r="G38" s="27">
        <f>IF(OR(1868312.11307="",471.76899="",334.6074=""),"-",(471.76899-334.6074)/1868312.11307*100)</f>
        <v>0.007341470894529333</v>
      </c>
    </row>
    <row r="39" spans="1:7" s="16" customFormat="1" ht="26.25">
      <c r="A39" s="14" t="s">
        <v>112</v>
      </c>
      <c r="B39" s="27">
        <f>IF(5024.21674="","-",5024.21674)</f>
        <v>5024.21674</v>
      </c>
      <c r="C39" s="27" t="s">
        <v>216</v>
      </c>
      <c r="D39" s="27">
        <f>IF(2876.37183="","-",2876.37183/1868312.11307*100)</f>
        <v>0.15395563781222626</v>
      </c>
      <c r="E39" s="27">
        <f>IF(5024.21674="","-",5024.21674/2181439.02047*100)</f>
        <v>0.23031662553269594</v>
      </c>
      <c r="F39" s="27">
        <f>IF(OR(1985308.615="",3127.06944="",2876.37183=""),"-",(2876.37183-3127.06944)/1985308.615*100)</f>
        <v>-0.012627639254967932</v>
      </c>
      <c r="G39" s="27">
        <f>IF(OR(1868312.11307="",5024.21674="",2876.37183=""),"-",(5024.21674-2876.37183)/1868312.11307*100)</f>
        <v>0.11496178261514738</v>
      </c>
    </row>
    <row r="40" spans="1:7" s="16" customFormat="1" ht="26.25">
      <c r="A40" s="14" t="s">
        <v>113</v>
      </c>
      <c r="B40" s="27">
        <f>IF(1120.44734="","-",1120.44734)</f>
        <v>1120.44734</v>
      </c>
      <c r="C40" s="27">
        <f>IF(OR(858.75235="",1120.44734=""),"-",1120.44734/858.75235*100)</f>
        <v>130.47386012975684</v>
      </c>
      <c r="D40" s="27">
        <f>IF(858.75235="","-",858.75235/1868312.11307*100)</f>
        <v>0.04596407334687259</v>
      </c>
      <c r="E40" s="27">
        <f>IF(1120.44734="","-",1120.44734/2181439.02047*100)</f>
        <v>0.051362762354851196</v>
      </c>
      <c r="F40" s="27">
        <f>IF(OR(1985308.615="",923.91847="",858.75235=""),"-",(858.75235-923.91847)/1985308.615*100)</f>
        <v>-0.0032824176305707503</v>
      </c>
      <c r="G40" s="27">
        <f>IF(OR(1868312.11307="",1120.44734="",858.75235=""),"-",(1120.44734-858.75235)/1868312.11307*100)</f>
        <v>0.0140070274216648</v>
      </c>
    </row>
    <row r="41" spans="1:7" s="16" customFormat="1" ht="26.25">
      <c r="A41" s="15" t="s">
        <v>70</v>
      </c>
      <c r="B41" s="26">
        <f>IF(354595.1016="","-",354595.1016)</f>
        <v>354595.1016</v>
      </c>
      <c r="C41" s="26">
        <f>IF(305937.25094="","-",354595.1016/305937.25094*100)</f>
        <v>115.90451980283459</v>
      </c>
      <c r="D41" s="26">
        <f>IF(305937.25094="","-",305937.25094/1868312.11307*100)</f>
        <v>16.375061147427107</v>
      </c>
      <c r="E41" s="26">
        <f>IF(354595.1016="","-",354595.1016/2181439.02047*100)</f>
        <v>16.255100338472953</v>
      </c>
      <c r="F41" s="26">
        <f>IF(1985308.615="","-",(305937.25094-311354.20165)/1985308.615*100)</f>
        <v>-0.27285182107568723</v>
      </c>
      <c r="G41" s="26">
        <f>IF(1868312.11307="","-",(354595.1016-305937.25094)/1868312.11307*100)</f>
        <v>2.6043748429188147</v>
      </c>
    </row>
    <row r="42" spans="1:7" s="16" customFormat="1" ht="14.25" customHeight="1">
      <c r="A42" s="14" t="s">
        <v>71</v>
      </c>
      <c r="B42" s="27">
        <f>IF(9446.46244="","-",9446.46244)</f>
        <v>9446.46244</v>
      </c>
      <c r="C42" s="27">
        <f>IF(OR(7140.44683="",9446.46244=""),"-",9446.46244/7140.44683*100)</f>
        <v>132.29511632677475</v>
      </c>
      <c r="D42" s="27">
        <f>IF(7140.44683="","-",7140.44683/1868312.11307*100)</f>
        <v>0.3821870435912797</v>
      </c>
      <c r="E42" s="27">
        <f>IF(9446.46244="","-",9446.46244/2181439.02047*100)</f>
        <v>0.4330381161864759</v>
      </c>
      <c r="F42" s="27">
        <f>IF(OR(1985308.615="",9537.54864="",7140.44683=""),"-",(7140.44683-9537.54864)/1985308.615*100)</f>
        <v>-0.12074202428220467</v>
      </c>
      <c r="G42" s="27">
        <f>IF(OR(1868312.11307="",9446.46244="",7140.44683=""),"-",(9446.46244-7140.44683)/1868312.11307*100)</f>
        <v>0.12342775031366508</v>
      </c>
    </row>
    <row r="43" spans="1:7" s="16" customFormat="1" ht="14.25" customHeight="1">
      <c r="A43" s="14" t="s">
        <v>72</v>
      </c>
      <c r="B43" s="27">
        <f>IF(5363.64821="","-",5363.64821)</f>
        <v>5363.64821</v>
      </c>
      <c r="C43" s="27">
        <f>IF(OR(7112.97327="",5363.64821=""),"-",5363.64821/7112.97327*100)</f>
        <v>75.40655653272263</v>
      </c>
      <c r="D43" s="27">
        <f>IF(7112.97327="","-",7112.97327/1868312.11307*100)</f>
        <v>0.3807165419653573</v>
      </c>
      <c r="E43" s="27">
        <f>IF(5363.64821="","-",5363.64821/2181439.02047*100)</f>
        <v>0.24587660528985955</v>
      </c>
      <c r="F43" s="27">
        <f>IF(OR(1985308.615="",5055.08416="",7112.97327=""),"-",(7112.97327-5055.08416)/1985308.615*100)</f>
        <v>0.10365587971822708</v>
      </c>
      <c r="G43" s="27">
        <f>IF(OR(1868312.11307="",5363.64821="",7112.97327=""),"-",(5363.64821-7112.97327)/1868312.11307*100)</f>
        <v>-0.09363130751882345</v>
      </c>
    </row>
    <row r="44" spans="1:7" s="16" customFormat="1" ht="15" customHeight="1">
      <c r="A44" s="14" t="s">
        <v>73</v>
      </c>
      <c r="B44" s="27">
        <f>IF(14028.5253="","-",14028.5253)</f>
        <v>14028.5253</v>
      </c>
      <c r="C44" s="27">
        <f>IF(OR(12905.12477="",14028.5253=""),"-",14028.5253/12905.12477*100)</f>
        <v>108.70507298473797</v>
      </c>
      <c r="D44" s="27">
        <f>IF(12905.12477="","-",12905.12477/1868312.11307*100)</f>
        <v>0.6907370925725237</v>
      </c>
      <c r="E44" s="27">
        <f>IF(14028.5253="","-",14028.5253/2181439.02047*100)</f>
        <v>0.6430858331752723</v>
      </c>
      <c r="F44" s="27">
        <f>IF(OR(1985308.615="",12058.20576="",12905.12477=""),"-",(12905.12477-12058.20576)/1985308.615*100)</f>
        <v>0.042659312693306355</v>
      </c>
      <c r="G44" s="27">
        <f>IF(OR(1868312.11307="",14028.5253="",12905.12477=""),"-",(14028.5253-12905.12477)/1868312.11307*100)</f>
        <v>0.06012916804109532</v>
      </c>
    </row>
    <row r="45" spans="1:7" s="16" customFormat="1" ht="15" customHeight="1">
      <c r="A45" s="14" t="s">
        <v>74</v>
      </c>
      <c r="B45" s="27">
        <f>IF(103121.60725="","-",103121.60725)</f>
        <v>103121.60725</v>
      </c>
      <c r="C45" s="27">
        <f>IF(OR(74870.63005="",103121.60725=""),"-",103121.60725/74870.63005*100)</f>
        <v>137.7330565819113</v>
      </c>
      <c r="D45" s="27">
        <f>IF(74870.63005="","-",74870.63005/1868312.11307*100)</f>
        <v>4.007394135392775</v>
      </c>
      <c r="E45" s="27">
        <f>IF(103121.60725="","-",103121.60725/2181439.02047*100)</f>
        <v>4.727228507528119</v>
      </c>
      <c r="F45" s="27">
        <f>IF(OR(1985308.615="",85230.53703="",74870.63005=""),"-",(74870.63005-85230.53703)/1985308.615*100)</f>
        <v>-0.5218285409999089</v>
      </c>
      <c r="G45" s="27">
        <f>IF(OR(1868312.11307="",103121.60725="",74870.63005=""),"-",(103121.60725-74870.63005)/1868312.11307*100)</f>
        <v>1.5121122965679512</v>
      </c>
    </row>
    <row r="46" spans="1:7" s="16" customFormat="1" ht="39">
      <c r="A46" s="14" t="s">
        <v>75</v>
      </c>
      <c r="B46" s="27">
        <f>IF(52234.13143="","-",52234.13143)</f>
        <v>52234.13143</v>
      </c>
      <c r="C46" s="27">
        <f>IF(OR(53546.90739="",52234.13143=""),"-",52234.13143/53546.90739*100)</f>
        <v>97.54836268985879</v>
      </c>
      <c r="D46" s="27">
        <f>IF(53546.90739="","-",53546.90739/1868312.11307*100)</f>
        <v>2.866057925515027</v>
      </c>
      <c r="E46" s="27">
        <f>IF(52234.13143="","-",52234.13143/2181439.02047*100)</f>
        <v>2.3944804754957554</v>
      </c>
      <c r="F46" s="27">
        <f>IF(OR(1985308.615="",52756.86384="",53546.90739=""),"-",(53546.90739-52756.86384)/1985308.615*100)</f>
        <v>0.039794495628076555</v>
      </c>
      <c r="G46" s="27">
        <f>IF(OR(1868312.11307="",52234.13143="",53546.90739=""),"-",(52234.13143-53546.90739)/1868312.11307*100)</f>
        <v>-0.07026534543218547</v>
      </c>
    </row>
    <row r="47" spans="1:7" s="16" customFormat="1" ht="15">
      <c r="A47" s="14" t="s">
        <v>76</v>
      </c>
      <c r="B47" s="27">
        <f>IF(31385.87636="","-",31385.87636)</f>
        <v>31385.87636</v>
      </c>
      <c r="C47" s="27">
        <f>IF(OR(25826.87769="",31385.87636=""),"-",31385.87636/25826.87769*100)</f>
        <v>121.52408330857742</v>
      </c>
      <c r="D47" s="27">
        <f>IF(25826.87769="","-",25826.87769/1868312.11307*100)</f>
        <v>1.3823641943615845</v>
      </c>
      <c r="E47" s="27">
        <f>IF(31385.87636="","-",31385.87636/2181439.02047*100)</f>
        <v>1.438769365794043</v>
      </c>
      <c r="F47" s="27">
        <f>IF(OR(1985308.615="",23353.44584="",25826.87769=""),"-",(25826.87769-23353.44584)/1985308.615*100)</f>
        <v>0.1245867685916429</v>
      </c>
      <c r="G47" s="27">
        <f>IF(OR(1868312.11307="",31385.87636="",25826.87769=""),"-",(31385.87636-25826.87769)/1868312.11307*100)</f>
        <v>0.29754122082233264</v>
      </c>
    </row>
    <row r="48" spans="1:7" s="16" customFormat="1" ht="14.25" customHeight="1">
      <c r="A48" s="14" t="s">
        <v>77</v>
      </c>
      <c r="B48" s="27">
        <f>IF(23039.40505="","-",23039.40505)</f>
        <v>23039.40505</v>
      </c>
      <c r="C48" s="27">
        <f>IF(OR(21404.10244="",23039.40505=""),"-",23039.40505/21404.10244*100)</f>
        <v>107.64013634575001</v>
      </c>
      <c r="D48" s="27">
        <f>IF(21404.10244="","-",21404.10244/1868312.11307*100)</f>
        <v>1.1456384771187347</v>
      </c>
      <c r="E48" s="27">
        <f>IF(23039.40505="","-",23039.40505/2181439.02047*100)</f>
        <v>1.0561562727082818</v>
      </c>
      <c r="F48" s="27">
        <f>IF(OR(1985308.615="",23940.62038="",21404.10244=""),"-",(21404.10244-23940.62038)/1985308.615*100)</f>
        <v>-0.12776441510580971</v>
      </c>
      <c r="G48" s="27">
        <f>IF(OR(1868312.11307="",23039.40505="",21404.10244=""),"-",(23039.40505-21404.10244)/1868312.11307*100)</f>
        <v>0.08752834168124524</v>
      </c>
    </row>
    <row r="49" spans="1:7" s="16" customFormat="1" ht="13.5" customHeight="1">
      <c r="A49" s="14" t="s">
        <v>78</v>
      </c>
      <c r="B49" s="27">
        <f>IF(43044.96168="","-",43044.96168)</f>
        <v>43044.96168</v>
      </c>
      <c r="C49" s="27">
        <f>IF(OR(37537.36287="",43044.96168=""),"-",43044.96168/37537.36287*100)</f>
        <v>114.67231150220651</v>
      </c>
      <c r="D49" s="27">
        <f>IF(37537.36287="","-",37537.36287/1868312.11307*100)</f>
        <v>2.009159101811892</v>
      </c>
      <c r="E49" s="27">
        <f>IF(43044.96168="","-",43044.96168/2181439.02047*100)</f>
        <v>1.9732369906322564</v>
      </c>
      <c r="F49" s="27">
        <f>IF(OR(1985308.615="",38625.24841="",37537.36287=""),"-",(37537.36287-38625.24841)/1985308.615*100)</f>
        <v>-0.05479679742386062</v>
      </c>
      <c r="G49" s="27">
        <f>IF(OR(1868312.11307="",43044.96168="",37537.36287=""),"-",(43044.96168-37537.36287)/1868312.11307*100)</f>
        <v>0.2947900819927752</v>
      </c>
    </row>
    <row r="50" spans="1:7" s="16" customFormat="1" ht="16.5" customHeight="1">
      <c r="A50" s="14" t="s">
        <v>79</v>
      </c>
      <c r="B50" s="27">
        <f>IF(72930.48388="","-",72930.48388)</f>
        <v>72930.48388</v>
      </c>
      <c r="C50" s="27">
        <f>IF(OR(65592.82563="",72930.48388=""),"-",72930.48388/65592.82563*100)</f>
        <v>111.18667808487272</v>
      </c>
      <c r="D50" s="27">
        <f>IF(65592.82563="","-",65592.82563/1868312.11307*100)</f>
        <v>3.5108066350979357</v>
      </c>
      <c r="E50" s="27">
        <f>IF(72930.48388="","-",72930.48388/2181439.02047*100)</f>
        <v>3.343228171662888</v>
      </c>
      <c r="F50" s="27">
        <f>IF(OR(1985308.615="",60796.64759="",65592.82563=""),"-",(65592.82563-60796.64759)/1985308.615*100)</f>
        <v>0.2415835001048442</v>
      </c>
      <c r="G50" s="27">
        <f>IF(OR(1868312.11307="",72930.48388="",65592.82563=""),"-",(72930.48388-65592.82563)/1868312.11307*100)</f>
        <v>0.3927426364507584</v>
      </c>
    </row>
    <row r="51" spans="1:7" s="16" customFormat="1" ht="26.25">
      <c r="A51" s="15" t="s">
        <v>80</v>
      </c>
      <c r="B51" s="26">
        <f>IF(429882.46017="","-",429882.46017)</f>
        <v>429882.46017</v>
      </c>
      <c r="C51" s="26">
        <f>IF(402192.40802="","-",429882.46017/402192.40802*100)</f>
        <v>106.8847774343426</v>
      </c>
      <c r="D51" s="26">
        <f>IF(402192.40802="","-",402192.40802/1868312.11307*100)</f>
        <v>21.52704600084831</v>
      </c>
      <c r="E51" s="26">
        <f>IF(429882.46017="","-",429882.46017/2181439.02047*100)</f>
        <v>19.7063707092477</v>
      </c>
      <c r="F51" s="26">
        <f>IF(1985308.615="","-",(402192.40802-381626.70299)/1985308.615*100)</f>
        <v>1.0358946148027446</v>
      </c>
      <c r="G51" s="26">
        <f>IF(1868312.11307="","-",(429882.46017-402192.40802)/1868312.11307*100)</f>
        <v>1.4820892053469517</v>
      </c>
    </row>
    <row r="52" spans="1:7" s="16" customFormat="1" ht="15">
      <c r="A52" s="14" t="s">
        <v>81</v>
      </c>
      <c r="B52" s="27">
        <f>IF(18459.17191="","-",18459.17191)</f>
        <v>18459.17191</v>
      </c>
      <c r="C52" s="27">
        <f>IF(OR(18703.05588="",18459.17191=""),"-",18459.17191/18703.05588*100)</f>
        <v>98.69602073818966</v>
      </c>
      <c r="D52" s="27">
        <f>IF(18703.05588="","-",18703.05588/1868312.11307*100)</f>
        <v>1.001066992455947</v>
      </c>
      <c r="E52" s="27">
        <f>IF(18459.17191="","-",18459.17191/2181439.02047*100)</f>
        <v>0.8461924324624439</v>
      </c>
      <c r="F52" s="27">
        <f>IF(OR(1985308.615="",15001.61522="",18703.05588=""),"-",(18703.05588-15001.61522)/1985308.615*100)</f>
        <v>0.18644157548271154</v>
      </c>
      <c r="G52" s="27">
        <f>IF(OR(1868312.11307="",18459.17191="",18703.05588=""),"-",(18459.17191-18703.05588)/1868312.11307*100)</f>
        <v>-0.013053705978454008</v>
      </c>
    </row>
    <row r="53" spans="1:7" s="16" customFormat="1" ht="15" customHeight="1">
      <c r="A53" s="14" t="s">
        <v>82</v>
      </c>
      <c r="B53" s="27">
        <f>IF(24006.43078="","-",24006.43078)</f>
        <v>24006.43078</v>
      </c>
      <c r="C53" s="27">
        <f>IF(OR(26963.18424="",24006.43078=""),"-",24006.43078/26963.18424*100)</f>
        <v>89.03410875480485</v>
      </c>
      <c r="D53" s="27">
        <f>IF(26963.18424="","-",26963.18424/1868312.11307*100)</f>
        <v>1.4431841474117644</v>
      </c>
      <c r="E53" s="27">
        <f>IF(24006.43078="","-",24006.43078/2181439.02047*100)</f>
        <v>1.1004859890526628</v>
      </c>
      <c r="F53" s="27">
        <f>IF(OR(1985308.615="",22607.83139="",26963.18424=""),"-",(26963.18424-22607.83139)/1985308.615*100)</f>
        <v>0.21937913416045893</v>
      </c>
      <c r="G53" s="27">
        <f>IF(OR(1868312.11307="",24006.43078="",26963.18424=""),"-",(24006.43078-26963.18424)/1868312.11307*100)</f>
        <v>-0.15825800407307103</v>
      </c>
    </row>
    <row r="54" spans="1:7" s="16" customFormat="1" ht="13.5" customHeight="1">
      <c r="A54" s="14" t="s">
        <v>83</v>
      </c>
      <c r="B54" s="27">
        <f>IF(27157.31012="","-",27157.31012)</f>
        <v>27157.31012</v>
      </c>
      <c r="C54" s="27">
        <f>IF(OR(23894.09844="",27157.31012=""),"-",27157.31012/23894.09844*100)</f>
        <v>113.65697763485065</v>
      </c>
      <c r="D54" s="27">
        <f>IF(23894.09844="","-",23894.09844/1868312.11307*100)</f>
        <v>1.2789136393671052</v>
      </c>
      <c r="E54" s="27">
        <f>IF(27157.31012="","-",27157.31012/2181439.02047*100)</f>
        <v>1.2449263933194357</v>
      </c>
      <c r="F54" s="27">
        <f>IF(OR(1985308.615="",24113.11403="",23894.09844=""),"-",(23894.09844-24113.11403)/1985308.615*100)</f>
        <v>-0.011031815826780113</v>
      </c>
      <c r="G54" s="27">
        <f>IF(OR(1868312.11307="",27157.31012="",23894.09844=""),"-",(27157.31012-23894.09844)/1868312.11307*100)</f>
        <v>0.17466094969741996</v>
      </c>
    </row>
    <row r="55" spans="1:7" s="16" customFormat="1" ht="26.25">
      <c r="A55" s="14" t="s">
        <v>84</v>
      </c>
      <c r="B55" s="27">
        <f>IF(39300.68945="","-",39300.68945)</f>
        <v>39300.68945</v>
      </c>
      <c r="C55" s="27">
        <f>IF(OR(36890.0472="",39300.68945=""),"-",39300.68945/36890.0472*100)</f>
        <v>106.53466838068995</v>
      </c>
      <c r="D55" s="27">
        <f>IF(36890.0472="","-",36890.0472/1868312.11307*100)</f>
        <v>1.9745120176618929</v>
      </c>
      <c r="E55" s="27">
        <f>IF(39300.68945="","-",39300.68945/2181439.02047*100)</f>
        <v>1.8015946850319247</v>
      </c>
      <c r="F55" s="27">
        <f>IF(OR(1985308.615="",37833.28445="",36890.0472=""),"-",(36890.0472-37833.28445)/1985308.615*100)</f>
        <v>-0.04751086268771358</v>
      </c>
      <c r="G55" s="27">
        <f>IF(OR(1868312.11307="",39300.68945="",36890.0472=""),"-",(39300.68945-36890.0472)/1868312.11307*100)</f>
        <v>0.1290278124910748</v>
      </c>
    </row>
    <row r="56" spans="1:7" s="16" customFormat="1" ht="39">
      <c r="A56" s="14" t="s">
        <v>85</v>
      </c>
      <c r="B56" s="27">
        <f>IF(133209.59477="","-",133209.59477)</f>
        <v>133209.59477</v>
      </c>
      <c r="C56" s="27">
        <f>IF(OR(126876.93459="",133209.59477=""),"-",133209.59477/126876.93459*100)</f>
        <v>104.99118314961173</v>
      </c>
      <c r="D56" s="27">
        <f>IF(126876.93459="","-",126876.93459/1868312.11307*100)</f>
        <v>6.790992452621662</v>
      </c>
      <c r="E56" s="27">
        <f>IF(133209.59477="","-",133209.59477/2181439.02047*100)</f>
        <v>6.10650096197965</v>
      </c>
      <c r="F56" s="27">
        <f>IF(OR(1985308.615="",101620.50858="",126876.93459=""),"-",(126876.93459-101620.50858)/1985308.615*100)</f>
        <v>1.2721662425264804</v>
      </c>
      <c r="G56" s="27">
        <f>IF(OR(1868312.11307="",133209.59477="",126876.93459=""),"-",(133209.59477-126876.93459)/1868312.11307*100)</f>
        <v>0.3389508709866576</v>
      </c>
    </row>
    <row r="57" spans="1:7" s="16" customFormat="1" ht="13.5" customHeight="1">
      <c r="A57" s="14" t="s">
        <v>86</v>
      </c>
      <c r="B57" s="27">
        <f>IF(51448.60386="","-",51448.60386)</f>
        <v>51448.60386</v>
      </c>
      <c r="C57" s="27">
        <f>IF(OR(45215.47438="",51448.60386=""),"-",51448.60386/45215.47438*100)</f>
        <v>113.78538999196496</v>
      </c>
      <c r="D57" s="27">
        <f>IF(45215.47438="","-",45215.47438/1868312.11307*100)</f>
        <v>2.4201242428226934</v>
      </c>
      <c r="E57" s="27">
        <f>IF(51448.60386="","-",51448.60386/2181439.02047*100)</f>
        <v>2.358470870706035</v>
      </c>
      <c r="F57" s="27">
        <f>IF(OR(1985308.615="",45012.65425="",45215.47438=""),"-",(45215.47438-45012.65425)/1985308.615*100)</f>
        <v>0.01021605046528245</v>
      </c>
      <c r="G57" s="27">
        <f>IF(OR(1868312.11307="",51448.60386="",45215.47438=""),"-",(51448.60386-45215.47438)/1868312.11307*100)</f>
        <v>0.33362356516319747</v>
      </c>
    </row>
    <row r="58" spans="1:7" s="16" customFormat="1" ht="14.25" customHeight="1">
      <c r="A58" s="14" t="s">
        <v>87</v>
      </c>
      <c r="B58" s="27">
        <f>IF(43325.39616="","-",43325.39616)</f>
        <v>43325.39616</v>
      </c>
      <c r="C58" s="27">
        <f>IF(OR(45630.75455="",43325.39616=""),"-",43325.39616/45630.75455*100)</f>
        <v>94.94779691299232</v>
      </c>
      <c r="D58" s="27">
        <f>IF(45630.75455="","-",45630.75455/1868312.11307*100)</f>
        <v>2.44235180143535</v>
      </c>
      <c r="E58" s="27">
        <f>IF(43325.39616="","-",43325.39616/2181439.02047*100)</f>
        <v>1.9860924716871236</v>
      </c>
      <c r="F58" s="27">
        <f>IF(OR(1985308.615="",49991.02532="",45630.75455=""),"-",(45630.75455-49991.02532)/1985308.615*100)</f>
        <v>-0.21962684980339958</v>
      </c>
      <c r="G58" s="27">
        <f>IF(OR(1868312.11307="",43325.39616="",45630.75455=""),"-",(43325.39616-45630.75455)/1868312.11307*100)</f>
        <v>-0.12339257310770464</v>
      </c>
    </row>
    <row r="59" spans="1:7" s="16" customFormat="1" ht="14.25" customHeight="1">
      <c r="A59" s="14" t="s">
        <v>88</v>
      </c>
      <c r="B59" s="27">
        <f>IF(34201.13692="","-",34201.13692)</f>
        <v>34201.13692</v>
      </c>
      <c r="C59" s="27">
        <f>IF(OR(25583.5439699999="",34201.13692=""),"-",34201.13692/25583.5439699999*100)</f>
        <v>133.68412507706267</v>
      </c>
      <c r="D59" s="27">
        <f>IF(25583.5439699999="","-",25583.5439699999/1868312.11307*100)</f>
        <v>1.3693399401003274</v>
      </c>
      <c r="E59" s="27">
        <f>IF(34201.13692="","-",34201.13692/2181439.02047*100)</f>
        <v>1.5678245689687547</v>
      </c>
      <c r="F59" s="27">
        <f>IF(OR(1985308.615="",33774.52587="",25583.5439699999=""),"-",(25583.5439699999-33774.52587)/1985308.615*100)</f>
        <v>-0.41257977918964994</v>
      </c>
      <c r="G59" s="27">
        <f>IF(OR(1868312.11307="",34201.13692="",25583.5439699999=""),"-",(34201.13692-25583.5439699999)/1868312.11307*100)</f>
        <v>0.4612501781535696</v>
      </c>
    </row>
    <row r="60" spans="1:7" s="16" customFormat="1" ht="15" customHeight="1">
      <c r="A60" s="14" t="s">
        <v>89</v>
      </c>
      <c r="B60" s="27">
        <f>IF(58774.1262="","-",58774.1262)</f>
        <v>58774.1262</v>
      </c>
      <c r="C60" s="27">
        <f>IF(OR(52435.31477="",58774.1262=""),"-",58774.1262/52435.31477*100)</f>
        <v>112.08882116528582</v>
      </c>
      <c r="D60" s="27">
        <f>IF(52435.31477="","-",52435.31477/1868312.11307*100)</f>
        <v>2.8065607669715624</v>
      </c>
      <c r="E60" s="27">
        <f>IF(58774.1262="","-",58774.1262/2181439.02047*100)</f>
        <v>2.6942823360396697</v>
      </c>
      <c r="F60" s="27">
        <f>IF(OR(1985308.615="",51672.14388="",52435.31477=""),"-",(52435.31477-51672.14388)/1985308.615*100)</f>
        <v>0.038440919675352035</v>
      </c>
      <c r="G60" s="27">
        <f>IF(OR(1868312.11307="",58774.1262="",52435.31477=""),"-",(58774.1262-52435.31477)/1868312.11307*100)</f>
        <v>0.33928011201426633</v>
      </c>
    </row>
    <row r="61" spans="1:7" s="16" customFormat="1" ht="14.25" customHeight="1">
      <c r="A61" s="15" t="s">
        <v>90</v>
      </c>
      <c r="B61" s="26">
        <f>IF(461713.30634="","-",461713.30634)</f>
        <v>461713.30634</v>
      </c>
      <c r="C61" s="26">
        <f>IF(378382.36652="","-",461713.30634/378382.36652*100)</f>
        <v>122.0229448286395</v>
      </c>
      <c r="D61" s="26">
        <f>IF(378382.36652="","-",378382.36652/1868312.11307*100)</f>
        <v>20.252631445944232</v>
      </c>
      <c r="E61" s="26">
        <f>IF(461713.30634="","-",461713.30634/2181439.02047*100)</f>
        <v>21.165538069476817</v>
      </c>
      <c r="F61" s="26">
        <f>IF(1985308.615="","-",(378382.36652-401122.26528)/1985308.615*100)</f>
        <v>-1.1454087585269463</v>
      </c>
      <c r="G61" s="26">
        <f>IF(1868312.11307="","-",(461713.30634-378382.36652)/1868312.11307*100)</f>
        <v>4.460225849687989</v>
      </c>
    </row>
    <row r="62" spans="1:7" s="16" customFormat="1" ht="26.25">
      <c r="A62" s="14" t="s">
        <v>114</v>
      </c>
      <c r="B62" s="27">
        <f>IF(7131.61705="","-",7131.61705)</f>
        <v>7131.61705</v>
      </c>
      <c r="C62" s="27">
        <f>IF(OR(5002.90799="",7131.61705=""),"-",7131.61705/5002.90799*100)</f>
        <v>142.5494345339739</v>
      </c>
      <c r="D62" s="27">
        <f>IF(5002.90799="","-",5002.90799/1868312.11307*100)</f>
        <v>0.26777688561785584</v>
      </c>
      <c r="E62" s="27">
        <f>IF(7131.61705="","-",7131.61705/2181439.02047*100)</f>
        <v>0.326922594813742</v>
      </c>
      <c r="F62" s="27">
        <f>IF(OR(1985308.615="",5650.70686="",5002.90799=""),"-",(5002.90799-5650.70686)/1985308.615*100)</f>
        <v>-0.03262963073375877</v>
      </c>
      <c r="G62" s="27">
        <f>IF(OR(1868312.11307="",7131.61705="",5002.90799=""),"-",(7131.61705-5002.90799)/1868312.11307*100)</f>
        <v>0.11393755064308381</v>
      </c>
    </row>
    <row r="63" spans="1:7" s="16" customFormat="1" ht="26.25">
      <c r="A63" s="14" t="s">
        <v>92</v>
      </c>
      <c r="B63" s="27">
        <f>IF(70220.40703="","-",70220.40703)</f>
        <v>70220.40703</v>
      </c>
      <c r="C63" s="27">
        <f>IF(OR(57256.7431="",70220.40703=""),"-",70220.40703/57256.7431*100)</f>
        <v>122.6412876948986</v>
      </c>
      <c r="D63" s="27">
        <f>IF(57256.7431="","-",57256.7431/1868312.11307*100)</f>
        <v>3.0646240903462343</v>
      </c>
      <c r="E63" s="27">
        <f>IF(70220.40703="","-",70220.40703/2181439.02047*100)</f>
        <v>3.21899472646596</v>
      </c>
      <c r="F63" s="27">
        <f>IF(OR(1985308.615="",61565.34059="",57256.7431=""),"-",(57256.7431-61565.34059)/1985308.615*100)</f>
        <v>-0.21702406655803486</v>
      </c>
      <c r="G63" s="27">
        <f>IF(OR(1868312.11307="",70220.40703="",57256.7431=""),"-",(70220.40703-57256.7431)/1868312.11307*100)</f>
        <v>0.6938703570624601</v>
      </c>
    </row>
    <row r="64" spans="1:7" s="16" customFormat="1" ht="26.25">
      <c r="A64" s="14" t="s">
        <v>93</v>
      </c>
      <c r="B64" s="27">
        <f>IF(4707.36368="","-",4707.36368)</f>
        <v>4707.36368</v>
      </c>
      <c r="C64" s="27" t="s">
        <v>27</v>
      </c>
      <c r="D64" s="27">
        <f>IF(2352.11442="","-",2352.11442/1868312.11307*100)</f>
        <v>0.1258951544308632</v>
      </c>
      <c r="E64" s="27">
        <f>IF(4707.36368="","-",4707.36368/2181439.02047*100)</f>
        <v>0.21579166943597536</v>
      </c>
      <c r="F64" s="27">
        <f>IF(OR(1985308.615="",4429.75259="",2352.11442=""),"-",(2352.11442-4429.75259)/1985308.615*100)</f>
        <v>-0.10465063992078634</v>
      </c>
      <c r="G64" s="27">
        <f>IF(OR(1868312.11307="",4707.36368="",2352.11442=""),"-",(4707.36368-2352.11442)/1868312.11307*100)</f>
        <v>0.1260629443829847</v>
      </c>
    </row>
    <row r="65" spans="1:7" s="16" customFormat="1" ht="39">
      <c r="A65" s="14" t="s">
        <v>94</v>
      </c>
      <c r="B65" s="27">
        <f>IF(66101.53359="","-",66101.53359)</f>
        <v>66101.53359</v>
      </c>
      <c r="C65" s="27">
        <f>IF(OR(52475.84239="",66101.53359=""),"-",66101.53359/52475.84239*100)</f>
        <v>125.96564548451454</v>
      </c>
      <c r="D65" s="27">
        <f>IF(52475.84239="","-",52475.84239/1868312.11307*100)</f>
        <v>2.8087299773361734</v>
      </c>
      <c r="E65" s="27">
        <f>IF(66101.53359="","-",66101.53359/2181439.02047*100)</f>
        <v>3.030180214515378</v>
      </c>
      <c r="F65" s="27">
        <f>IF(OR(1985308.615="",61249.93159="",52475.84239=""),"-",(52475.84239-61249.93159)/1985308.615*100)</f>
        <v>-0.4419508953775432</v>
      </c>
      <c r="G65" s="27">
        <f>IF(OR(1868312.11307="",66101.53359="",52475.84239=""),"-",(66101.53359-52475.84239)/1868312.11307*100)</f>
        <v>0.7293048685323968</v>
      </c>
    </row>
    <row r="66" spans="1:7" s="16" customFormat="1" ht="26.25">
      <c r="A66" s="14" t="s">
        <v>95</v>
      </c>
      <c r="B66" s="27">
        <f>IF(17388.48848="","-",17388.48848)</f>
        <v>17388.48848</v>
      </c>
      <c r="C66" s="27">
        <f>IF(OR(14796.01148="",17388.48848=""),"-",17388.48848/14796.01148*100)</f>
        <v>117.5214584248214</v>
      </c>
      <c r="D66" s="27">
        <f>IF(14796.01148="","-",14796.01148/1868312.11307*100)</f>
        <v>0.7919453808864557</v>
      </c>
      <c r="E66" s="27">
        <f>IF(17388.48848="","-",17388.48848/2181439.02047*100)</f>
        <v>0.7971109124220938</v>
      </c>
      <c r="F66" s="27">
        <f>IF(OR(1985308.615="",10805.93051="",14796.01148=""),"-",(14796.01148-10805.93051)/1985308.615*100)</f>
        <v>0.20098038863343165</v>
      </c>
      <c r="G66" s="27">
        <f>IF(OR(1868312.11307="",17388.48848="",14796.01148=""),"-",(17388.48848-14796.01148)/1868312.11307*100)</f>
        <v>0.1387603806593138</v>
      </c>
    </row>
    <row r="67" spans="1:7" s="16" customFormat="1" ht="39">
      <c r="A67" s="14" t="s">
        <v>96</v>
      </c>
      <c r="B67" s="27">
        <f>IF(45190.44108="","-",45190.44108)</f>
        <v>45190.44108</v>
      </c>
      <c r="C67" s="27">
        <f>IF(OR(30361.41114="",45190.44108=""),"-",45190.44108/30361.41114*100)</f>
        <v>148.8417019604972</v>
      </c>
      <c r="D67" s="27">
        <f>IF(30361.41114="","-",30361.41114/1868312.11307*100)</f>
        <v>1.6250716851645468</v>
      </c>
      <c r="E67" s="27">
        <f>IF(45190.44108="","-",45190.44108/2181439.02047*100)</f>
        <v>2.071588554891786</v>
      </c>
      <c r="F67" s="27">
        <f>IF(OR(1985308.615="",37096.35469="",30361.41114=""),"-",(30361.41114-37096.35469)/1985308.615*100)</f>
        <v>-0.339239123787311</v>
      </c>
      <c r="G67" s="27">
        <f>IF(OR(1868312.11307="",45190.44108="",30361.41114=""),"-",(45190.44108-30361.41114)/1868312.11307*100)</f>
        <v>0.7937126691124974</v>
      </c>
    </row>
    <row r="68" spans="1:7" s="16" customFormat="1" ht="38.25" customHeight="1">
      <c r="A68" s="14" t="s">
        <v>97</v>
      </c>
      <c r="B68" s="27">
        <f>IF(137879.81436="","-",137879.81436)</f>
        <v>137879.81436</v>
      </c>
      <c r="C68" s="27">
        <f>IF(OR(116967.26168="",137879.81436=""),"-",137879.81436/116967.26168*100)</f>
        <v>117.87897945085928</v>
      </c>
      <c r="D68" s="27">
        <f>IF(116967.26168="","-",116967.26168/1868312.11307*100)</f>
        <v>6.260584666862758</v>
      </c>
      <c r="E68" s="27">
        <f>IF(137879.81436="","-",137879.81436/2181439.02047*100)</f>
        <v>6.320589898052398</v>
      </c>
      <c r="F68" s="27">
        <f>IF(OR(1985308.615="",131124.63493="",116967.26168=""),"-",(116967.26168-131124.63493)/1985308.615*100)</f>
        <v>-0.7131069267031818</v>
      </c>
      <c r="G68" s="27">
        <f>IF(OR(1868312.11307="",137879.81436="",116967.26168=""),"-",(137879.81436-116967.26168)/1868312.11307*100)</f>
        <v>1.1193286460920389</v>
      </c>
    </row>
    <row r="69" spans="1:7" s="16" customFormat="1" ht="26.25">
      <c r="A69" s="14" t="s">
        <v>98</v>
      </c>
      <c r="B69" s="27">
        <f>IF(112229.05191="","-",112229.05191)</f>
        <v>112229.05191</v>
      </c>
      <c r="C69" s="27">
        <f>IF(OR(98791.09866="",112229.05191=""),"-",112229.05191/98791.09866*100)</f>
        <v>113.60239275832747</v>
      </c>
      <c r="D69" s="27">
        <f>IF(98791.09866="","-",98791.09866/1868312.11307*100)</f>
        <v>5.287719218266322</v>
      </c>
      <c r="E69" s="27">
        <f>IF(112229.05191="","-",112229.05191/2181439.02047*100)</f>
        <v>5.14472560804472</v>
      </c>
      <c r="F69" s="27">
        <f>IF(OR(1985308.615="",86705.50238="",98791.09866=""),"-",(98791.09866-86705.50238)/1985308.615*100)</f>
        <v>0.608751515441341</v>
      </c>
      <c r="G69" s="27">
        <f>IF(OR(1868312.11307="",112229.05191="",98791.09866=""),"-",(112229.05191-98791.09866)/1868312.11307*100)</f>
        <v>0.7192563360261484</v>
      </c>
    </row>
    <row r="70" spans="1:7" s="16" customFormat="1" ht="14.25" customHeight="1">
      <c r="A70" s="14" t="s">
        <v>99</v>
      </c>
      <c r="B70" s="27">
        <f>IF(864.58916="","-",864.58916)</f>
        <v>864.58916</v>
      </c>
      <c r="C70" s="27" t="s">
        <v>26</v>
      </c>
      <c r="D70" s="27">
        <f>IF(378.97566="","-",378.97566/1868312.11307*100)</f>
        <v>0.020284387033024657</v>
      </c>
      <c r="E70" s="27">
        <f>IF(864.58916="","-",864.58916/2181439.02047*100)</f>
        <v>0.03963389083476286</v>
      </c>
      <c r="F70" s="27">
        <f>IF(OR(1985308.615="",2494.11114="",378.97566=""),"-",(378.97566-2494.11114)/1985308.615*100)</f>
        <v>-0.1065393795211028</v>
      </c>
      <c r="G70" s="27">
        <f>IF(OR(1868312.11307="",864.58916="",378.97566=""),"-",(864.58916-378.97566)/1868312.11307*100)</f>
        <v>0.025992097177063342</v>
      </c>
    </row>
    <row r="71" spans="1:7" s="16" customFormat="1" ht="13.5" customHeight="1">
      <c r="A71" s="15" t="s">
        <v>100</v>
      </c>
      <c r="B71" s="26">
        <f>IF(230947.32158="","-",230947.32158)</f>
        <v>230947.32158</v>
      </c>
      <c r="C71" s="26">
        <f>IF(175581.68469="","-",230947.32158/175581.68469*100)</f>
        <v>131.53269487518097</v>
      </c>
      <c r="D71" s="26">
        <f>IF(175581.68469="","-",175581.68469/1868312.11307*100)</f>
        <v>9.397877552775974</v>
      </c>
      <c r="E71" s="26">
        <f>IF(230947.32158="","-",230947.32158/2181439.02047*100)</f>
        <v>10.586925392498088</v>
      </c>
      <c r="F71" s="26">
        <f>IF(1985308.615="","-",(175581.68469-178695.42466)/1985308.615*100)</f>
        <v>-0.15683909022880027</v>
      </c>
      <c r="G71" s="26">
        <f>IF(1868312.11307="","-",(230947.32158-175581.68469)/1868312.11307*100)</f>
        <v>2.96340405345997</v>
      </c>
    </row>
    <row r="72" spans="1:7" s="16" customFormat="1" ht="39">
      <c r="A72" s="14" t="s">
        <v>101</v>
      </c>
      <c r="B72" s="27">
        <f>IF(15219.20581="","-",15219.20581)</f>
        <v>15219.20581</v>
      </c>
      <c r="C72" s="27">
        <f>IF(OR(13176.54361="",15219.20581=""),"-",15219.20581/13176.54361*100)</f>
        <v>115.50226114267002</v>
      </c>
      <c r="D72" s="27">
        <f>IF(13176.54361="","-",13176.54361/1868312.11307*100)</f>
        <v>0.7052645817485161</v>
      </c>
      <c r="E72" s="27">
        <f>IF(15219.20581="","-",15219.20581/2181439.02047*100)</f>
        <v>0.6976681753277229</v>
      </c>
      <c r="F72" s="27">
        <f>IF(OR(1985308.615="",14735.387="",13176.54361=""),"-",(13176.54361-14735.387)/1985308.615*100)</f>
        <v>-0.07851894552928236</v>
      </c>
      <c r="G72" s="27">
        <f>IF(OR(1868312.11307="",15219.20581="",13176.54361=""),"-",(15219.20581-13176.54361)/1868312.11307*100)</f>
        <v>0.10933195720941444</v>
      </c>
    </row>
    <row r="73" spans="1:7" s="16" customFormat="1" ht="14.25" customHeight="1">
      <c r="A73" s="14" t="s">
        <v>102</v>
      </c>
      <c r="B73" s="27">
        <f>IF(21897.25027="","-",21897.25027)</f>
        <v>21897.25027</v>
      </c>
      <c r="C73" s="27">
        <f>IF(OR(18432.71282="",21897.25027=""),"-",21897.25027/18432.71282*100)</f>
        <v>118.79559174947315</v>
      </c>
      <c r="D73" s="27">
        <f>IF(18432.71282="","-",18432.71282/1868312.11307*100)</f>
        <v>0.9865970835949605</v>
      </c>
      <c r="E73" s="27">
        <f>IF(21897.25027="","-",21897.25027/2181439.02047*100)</f>
        <v>1.0037984130898212</v>
      </c>
      <c r="F73" s="27">
        <f>IF(OR(1985308.615="",18847.39996="",18432.71282=""),"-",(18432.71282-18847.39996)/1985308.615*100)</f>
        <v>-0.02088779229923395</v>
      </c>
      <c r="G73" s="27">
        <f>IF(OR(1868312.11307="",21897.25027="",18432.71282=""),"-",(21897.25027-18432.71282)/1868312.11307*100)</f>
        <v>0.18543676004471712</v>
      </c>
    </row>
    <row r="74" spans="1:7" s="16" customFormat="1" ht="15">
      <c r="A74" s="14" t="s">
        <v>103</v>
      </c>
      <c r="B74" s="27">
        <f>IF(8932.14963="","-",8932.14963)</f>
        <v>8932.14963</v>
      </c>
      <c r="C74" s="27" t="s">
        <v>238</v>
      </c>
      <c r="D74" s="27">
        <f>IF(2199.43626="","-",2199.43626/1868312.11307*100)</f>
        <v>0.11772317080286435</v>
      </c>
      <c r="E74" s="27">
        <f>IF(8932.14963="","-",8932.14963/2181439.02047*100)</f>
        <v>0.40946134850359156</v>
      </c>
      <c r="F74" s="27">
        <f>IF(OR(1985308.615="",1964.91041="",2199.43626=""),"-",(2199.43626-1964.91041)/1985308.615*100)</f>
        <v>0.011813067662530643</v>
      </c>
      <c r="G74" s="27">
        <f>IF(OR(1868312.11307="",8932.14963="",2199.43626=""),"-",(8932.14963-2199.43626)/1868312.11307*100)</f>
        <v>0.3603634169526869</v>
      </c>
    </row>
    <row r="75" spans="1:7" s="16" customFormat="1" ht="14.25" customHeight="1">
      <c r="A75" s="14" t="s">
        <v>104</v>
      </c>
      <c r="B75" s="27">
        <f>IF(59122.84488="","-",59122.84488)</f>
        <v>59122.84488</v>
      </c>
      <c r="C75" s="27">
        <f>IF(OR(45629.49294="",59122.84488=""),"-",59122.84488/45629.49294*100)</f>
        <v>129.57155793456425</v>
      </c>
      <c r="D75" s="27">
        <f>IF(45629.49294="","-",45629.49294/1868312.11307*100)</f>
        <v>2.4422842747094258</v>
      </c>
      <c r="E75" s="27">
        <f>IF(59122.84488="","-",59122.84488/2181439.02047*100)</f>
        <v>2.7102680535741834</v>
      </c>
      <c r="F75" s="27">
        <f>IF(OR(1985308.615="",37595.06368="",45629.49294=""),"-",(45629.49294-37595.06368)/1985308.615*100)</f>
        <v>0.40469422231364255</v>
      </c>
      <c r="G75" s="27">
        <f>IF(OR(1868312.11307="",59122.84488="",45629.49294=""),"-",(59122.84488-45629.49294)/1868312.11307*100)</f>
        <v>0.72222150922245</v>
      </c>
    </row>
    <row r="76" spans="1:7" s="16" customFormat="1" ht="15" customHeight="1">
      <c r="A76" s="14" t="s">
        <v>105</v>
      </c>
      <c r="B76" s="27">
        <f>IF(19935.28453="","-",19935.28453)</f>
        <v>19935.28453</v>
      </c>
      <c r="C76" s="27" t="s">
        <v>215</v>
      </c>
      <c r="D76" s="27">
        <f>IF(10994.305="","-",10994.305/1868312.11307*100)</f>
        <v>0.5884619022211562</v>
      </c>
      <c r="E76" s="27">
        <f>IF(19935.28453="","-",19935.28453/2181439.02047*100)</f>
        <v>0.9138593535245768</v>
      </c>
      <c r="F76" s="27">
        <f>IF(OR(1985308.615="",8922.85252="",10994.305=""),"-",(10994.305-8922.85252)/1985308.615*100)</f>
        <v>0.10433906669971309</v>
      </c>
      <c r="G76" s="27">
        <f>IF(OR(1868312.11307="",19935.28453="",10994.305=""),"-",(19935.28453-10994.305)/1868312.11307*100)</f>
        <v>0.47855920150880105</v>
      </c>
    </row>
    <row r="77" spans="1:7" s="16" customFormat="1" ht="26.25">
      <c r="A77" s="14" t="s">
        <v>106</v>
      </c>
      <c r="B77" s="27">
        <f>IF(21308.99968="","-",21308.99968)</f>
        <v>21308.99968</v>
      </c>
      <c r="C77" s="27">
        <f>IF(OR(17266.68364="",21308.99968=""),"-",21308.99968/17266.68364*100)</f>
        <v>123.4110737434001</v>
      </c>
      <c r="D77" s="27">
        <f>IF(17266.68364="","-",17266.68364/1868312.11307*100)</f>
        <v>0.9241862491394696</v>
      </c>
      <c r="E77" s="27">
        <f>IF(21308.99968="","-",21308.99968/2181439.02047*100)</f>
        <v>0.9768322414719111</v>
      </c>
      <c r="F77" s="27">
        <f>IF(OR(1985308.615="",32701.54182="",17266.68364=""),"-",(17266.68364-32701.54182)/1985308.615*100)</f>
        <v>-0.7774538458848121</v>
      </c>
      <c r="G77" s="27">
        <f>IF(OR(1868312.11307="",21308.99968="",17266.68364=""),"-",(21308.99968-17266.68364)/1868312.11307*100)</f>
        <v>0.21636192431240467</v>
      </c>
    </row>
    <row r="78" spans="1:7" ht="26.25">
      <c r="A78" s="10" t="s">
        <v>107</v>
      </c>
      <c r="B78" s="27">
        <f>IF(4667.10817="","-",4667.10817)</f>
        <v>4667.10817</v>
      </c>
      <c r="C78" s="27">
        <f>IF(OR(3382.10099="",4667.10817=""),"-",4667.10817/3382.10099*100)</f>
        <v>137.99434682167785</v>
      </c>
      <c r="D78" s="27">
        <f>IF(3382.10099="","-",3382.10099/1868312.11307*100)</f>
        <v>0.18102441055432386</v>
      </c>
      <c r="E78" s="27">
        <f>IF(4667.10817="","-",4667.10817/2181439.02047*100)</f>
        <v>0.2139463045359138</v>
      </c>
      <c r="F78" s="27">
        <f>IF(OR(1985308.615="",3643.29867="",3382.10099=""),"-",(3382.10099-3643.29867)/1985308.615*100)</f>
        <v>-0.013156527807642654</v>
      </c>
      <c r="G78" s="27">
        <f>IF(OR(1868312.11307="",4667.10817="",3382.10099=""),"-",(4667.10817-3382.10099)/1868312.11307*100)</f>
        <v>0.06877904237790783</v>
      </c>
    </row>
    <row r="79" spans="1:7" ht="13.5" customHeight="1">
      <c r="A79" s="11" t="s">
        <v>108</v>
      </c>
      <c r="B79" s="27">
        <f>IF(79864.47861="","-",79864.47861)</f>
        <v>79864.47861</v>
      </c>
      <c r="C79" s="27">
        <f>IF(OR(64500.4094299999="",79864.47861=""),"-",79864.47861/64500.4094299999*100)</f>
        <v>123.82011109041751</v>
      </c>
      <c r="D79" s="27">
        <f>IF(64500.4094299999="","-",64500.4094299999/1868312.11307*100)</f>
        <v>3.4523358800052515</v>
      </c>
      <c r="E79" s="27">
        <f>IF(79864.47861="","-",79864.47861/2181439.02047*100)</f>
        <v>3.6610915024703683</v>
      </c>
      <c r="F79" s="27">
        <f>IF(OR(1985308.615="",60284.9706="",64500.4094299999=""),"-",(64500.4094299999-60284.9706)/1985308.615*100)</f>
        <v>0.21233166461627917</v>
      </c>
      <c r="G79" s="27">
        <f>IF(OR(1868312.11307="",79864.47861="",64500.4094299999=""),"-",(79864.47861-64500.4094299999)/1868312.11307*100)</f>
        <v>0.822350241831594</v>
      </c>
    </row>
    <row r="80" spans="1:7" ht="15">
      <c r="A80" s="82" t="s">
        <v>118</v>
      </c>
      <c r="B80" s="82"/>
      <c r="C80" s="82"/>
      <c r="D80" s="82"/>
      <c r="E80" s="82"/>
      <c r="F80" s="82"/>
      <c r="G80" s="82"/>
    </row>
  </sheetData>
  <sheetProtection/>
  <mergeCells count="11">
    <mergeCell ref="A80:G80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3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46.375" style="0" customWidth="1"/>
    <col min="2" max="2" width="12.125" style="0" customWidth="1"/>
    <col min="3" max="3" width="11.875" style="0" customWidth="1"/>
    <col min="4" max="4" width="14.625" style="0" customWidth="1"/>
  </cols>
  <sheetData>
    <row r="1" spans="1:4" ht="15.75">
      <c r="A1" s="65" t="s">
        <v>119</v>
      </c>
      <c r="B1" s="65"/>
      <c r="C1" s="65"/>
      <c r="D1" s="65"/>
    </row>
    <row r="2" spans="1:4" ht="15.75">
      <c r="A2" s="65" t="s">
        <v>36</v>
      </c>
      <c r="B2" s="65"/>
      <c r="C2" s="65"/>
      <c r="D2" s="65"/>
    </row>
    <row r="3" ht="15">
      <c r="A3" s="5"/>
    </row>
    <row r="4" spans="1:5" ht="25.5" customHeight="1">
      <c r="A4" s="75"/>
      <c r="B4" s="79" t="s">
        <v>266</v>
      </c>
      <c r="C4" s="70"/>
      <c r="D4" s="71" t="s">
        <v>267</v>
      </c>
      <c r="E4" s="1"/>
    </row>
    <row r="5" spans="1:5" ht="24" customHeight="1">
      <c r="A5" s="76"/>
      <c r="B5" s="20">
        <v>2016</v>
      </c>
      <c r="C5" s="19">
        <v>2017</v>
      </c>
      <c r="D5" s="80"/>
      <c r="E5" s="1"/>
    </row>
    <row r="6" spans="1:4" ht="15">
      <c r="A6" s="7" t="s">
        <v>201</v>
      </c>
      <c r="B6" s="39">
        <f>IF(-962958.31541="","-",-962958.31541)</f>
        <v>-962958.31541</v>
      </c>
      <c r="C6" s="39">
        <f>IF(-1153197.45112="","-",-1153197.45112)</f>
        <v>-1153197.45112</v>
      </c>
      <c r="D6" s="48">
        <f>IF(-962958.31541="","-",-1153197.45112/-962958.31541*100)</f>
        <v>119.75569790152356</v>
      </c>
    </row>
    <row r="7" spans="1:4" ht="15">
      <c r="A7" s="8" t="s">
        <v>33</v>
      </c>
      <c r="B7" s="30"/>
      <c r="C7" s="30"/>
      <c r="D7" s="30"/>
    </row>
    <row r="8" spans="1:4" ht="15">
      <c r="A8" s="9" t="s">
        <v>37</v>
      </c>
      <c r="B8" s="26">
        <f>IF(-22403.93801="","-",-22403.93801)</f>
        <v>-22403.93801</v>
      </c>
      <c r="C8" s="26">
        <f>IF(-35557.49993="","-",-35557.49993)</f>
        <v>-35557.49993</v>
      </c>
      <c r="D8" s="28" t="s">
        <v>217</v>
      </c>
    </row>
    <row r="9" spans="1:4" ht="15">
      <c r="A9" s="8" t="s">
        <v>38</v>
      </c>
      <c r="B9" s="27">
        <f>IF(OR(1990.10109="",1990.10109=0),"-",1990.10109)</f>
        <v>1990.10109</v>
      </c>
      <c r="C9" s="27">
        <f>IF(OR(-276.85124="",-276.85124=0),"-",-276.85124)</f>
        <v>-276.85124</v>
      </c>
      <c r="D9" s="29" t="s">
        <v>34</v>
      </c>
    </row>
    <row r="10" spans="1:4" ht="15">
      <c r="A10" s="8" t="s">
        <v>39</v>
      </c>
      <c r="B10" s="27">
        <f>IF(OR(-7934.76799="",-7934.76799=0),"-",-7934.76799)</f>
        <v>-7934.76799</v>
      </c>
      <c r="C10" s="27">
        <f>IF(OR(-10054.61734="",-10054.61734=0),"-",-10054.61734)</f>
        <v>-10054.61734</v>
      </c>
      <c r="D10" s="29">
        <f>IF(OR(-7934.76799="",-10054.61734="",-7934.76799=0,-10054.61734=0),"-",-10054.61734/-7934.76799*100)</f>
        <v>126.71595883674982</v>
      </c>
    </row>
    <row r="11" spans="1:4" ht="15">
      <c r="A11" s="8" t="s">
        <v>40</v>
      </c>
      <c r="B11" s="27">
        <f>IF(OR(-9591.41704="",-9591.41704=0),"-",-9591.41704)</f>
        <v>-9591.41704</v>
      </c>
      <c r="C11" s="27">
        <f>IF(OR(-13020.07661="",-13020.07661=0),"-",-13020.07661)</f>
        <v>-13020.07661</v>
      </c>
      <c r="D11" s="29">
        <f>IF(OR(-9591.41704="",-13020.07661="",-9591.41704=0,-13020.07661=0),"-",-13020.07661/-9591.41704*100)</f>
        <v>135.74716390394804</v>
      </c>
    </row>
    <row r="12" spans="1:4" ht="15">
      <c r="A12" s="8" t="s">
        <v>41</v>
      </c>
      <c r="B12" s="27">
        <f>IF(OR(-19372.04469="",-19372.04469=0),"-",-19372.04469)</f>
        <v>-19372.04469</v>
      </c>
      <c r="C12" s="27">
        <f>IF(OR(-20155.4413="",-20155.4413=0),"-",-20155.4413)</f>
        <v>-20155.4413</v>
      </c>
      <c r="D12" s="29">
        <f>IF(OR(-19372.04469="",-20155.4413="",-19372.04469=0,-20155.4413=0),"-",-20155.4413/-19372.04469*100)</f>
        <v>104.04395417487548</v>
      </c>
    </row>
    <row r="13" spans="1:4" ht="15">
      <c r="A13" s="8" t="s">
        <v>42</v>
      </c>
      <c r="B13" s="27">
        <f>IF(OR(24426.38274="",24426.38274=0),"-",24426.38274)</f>
        <v>24426.38274</v>
      </c>
      <c r="C13" s="27">
        <f>IF(OR(27023.20153="",27023.20153=0),"-",27023.20153)</f>
        <v>27023.20153</v>
      </c>
      <c r="D13" s="29">
        <f>IF(OR(24426.38274="",27023.20153="",24426.38274=0,27023.20153=0),"-",27023.20153/24426.38274*100)</f>
        <v>110.63120486418777</v>
      </c>
    </row>
    <row r="14" spans="1:4" ht="15">
      <c r="A14" s="8" t="s">
        <v>43</v>
      </c>
      <c r="B14" s="27">
        <f>IF(OR(26750.8924="",26750.8924=0),"-",26750.8924)</f>
        <v>26750.8924</v>
      </c>
      <c r="C14" s="27">
        <f>IF(OR(35841.45727="",35841.45727=0),"-",35841.45727)</f>
        <v>35841.45727</v>
      </c>
      <c r="D14" s="29">
        <f>IF(OR(26750.8924="",35841.45727="",26750.8924=0,35841.45727=0),"-",35841.45727/26750.8924*100)</f>
        <v>133.98228640028472</v>
      </c>
    </row>
    <row r="15" spans="1:4" ht="15">
      <c r="A15" s="8" t="s">
        <v>44</v>
      </c>
      <c r="B15" s="27">
        <f>IF(OR(12750.50624="",12750.50624=0),"-",12750.50624)</f>
        <v>12750.50624</v>
      </c>
      <c r="C15" s="27">
        <f>IF(OR(668.84981="",668.84981=0),"-",668.84981)</f>
        <v>668.84981</v>
      </c>
      <c r="D15" s="29">
        <f>IF(OR(12750.50624="",668.84981="",12750.50624=0,668.84981=0),"-",668.84981/12750.50624*100)</f>
        <v>5.245672582800917</v>
      </c>
    </row>
    <row r="16" spans="1:4" ht="15">
      <c r="A16" s="8" t="s">
        <v>45</v>
      </c>
      <c r="B16" s="27">
        <f>IF(OR(-16506.05274="",-16506.05274=0),"-",-16506.05274)</f>
        <v>-16506.05274</v>
      </c>
      <c r="C16" s="27">
        <f>IF(OR(-16599.52306="",-16599.52306=0),"-",-16599.52306)</f>
        <v>-16599.52306</v>
      </c>
      <c r="D16" s="29">
        <f>IF(OR(-16506.05274="",-16599.52306="",-16506.05274=0,-16599.52306=0),"-",-16599.52306/-16506.05274*100)</f>
        <v>100.56627905818746</v>
      </c>
    </row>
    <row r="17" spans="1:4" ht="15">
      <c r="A17" s="8" t="s">
        <v>46</v>
      </c>
      <c r="B17" s="27">
        <f>IF(OR(-7139.59389="",-7139.59389=0),"-",-7139.59389)</f>
        <v>-7139.59389</v>
      </c>
      <c r="C17" s="27">
        <f>IF(OR(-8206.70842="",-8206.70842=0),"-",-8206.70842)</f>
        <v>-8206.70842</v>
      </c>
      <c r="D17" s="29">
        <f>IF(OR(-7139.59389="",-8206.70842="",-7139.59389=0,-8206.70842=0),"-",-8206.70842/-7139.59389*100)</f>
        <v>114.94643177806856</v>
      </c>
    </row>
    <row r="18" spans="1:4" ht="15">
      <c r="A18" s="8" t="s">
        <v>47</v>
      </c>
      <c r="B18" s="27">
        <f>IF(OR(-27777.94413="",-27777.94413=0),"-",-27777.94413)</f>
        <v>-27777.94413</v>
      </c>
      <c r="C18" s="27">
        <f>IF(OR(-30777.79057="",-30777.79057=0),"-",-30777.79057)</f>
        <v>-30777.79057</v>
      </c>
      <c r="D18" s="29">
        <f>IF(OR(-27777.94413="",-30777.79057="",-27777.94413=0,-30777.79057=0),"-",-30777.79057/-27777.94413*100)</f>
        <v>110.79938250995396</v>
      </c>
    </row>
    <row r="19" spans="1:4" ht="15">
      <c r="A19" s="9" t="s">
        <v>48</v>
      </c>
      <c r="B19" s="26">
        <f>IF(28680.63686="","-",28680.63686)</f>
        <v>28680.63686</v>
      </c>
      <c r="C19" s="26">
        <f>IF(37298.32497="","-",37298.32497)</f>
        <v>37298.32497</v>
      </c>
      <c r="D19" s="28">
        <f>IF(28680.63686="","-",37298.32497/28680.63686*100)</f>
        <v>130.04705980577032</v>
      </c>
    </row>
    <row r="20" spans="1:4" ht="15">
      <c r="A20" s="8" t="s">
        <v>49</v>
      </c>
      <c r="B20" s="27">
        <f>IF(OR(50948.67245="",50948.67245=0),"-",50948.67245)</f>
        <v>50948.67245</v>
      </c>
      <c r="C20" s="27">
        <f>IF(OR(55911.34836="",55911.34836=0),"-",55911.34836)</f>
        <v>55911.34836</v>
      </c>
      <c r="D20" s="29">
        <f>IF(OR(50948.67245="",55911.34836="",50948.67245=0,55911.34836=0),"-",55911.34836/50948.67245*100)</f>
        <v>109.74054017770585</v>
      </c>
    </row>
    <row r="21" spans="1:4" ht="15">
      <c r="A21" s="8" t="s">
        <v>50</v>
      </c>
      <c r="B21" s="27">
        <f>IF(OR(-22268.03559="",-22268.03559=0),"-",-22268.03559)</f>
        <v>-22268.03559</v>
      </c>
      <c r="C21" s="27">
        <f>IF(OR(-18613.02339="",-18613.02339=0),"-",-18613.02339)</f>
        <v>-18613.02339</v>
      </c>
      <c r="D21" s="29">
        <f>IF(OR(-22268.03559="",-18613.02339="",-22268.03559=0,-18613.02339=0),"-",-18613.02339/-22268.03559*100)</f>
        <v>83.58628364308267</v>
      </c>
    </row>
    <row r="22" spans="1:4" ht="15">
      <c r="A22" s="9" t="s">
        <v>51</v>
      </c>
      <c r="B22" s="26">
        <f>IF(45205.74393="","-",45205.74393)</f>
        <v>45205.74393</v>
      </c>
      <c r="C22" s="26">
        <f>IF(59081.16387="","-",59081.16387)</f>
        <v>59081.16387</v>
      </c>
      <c r="D22" s="28">
        <f>IF(45205.74393="","-",59081.16387/45205.74393*100)</f>
        <v>130.69393119928688</v>
      </c>
    </row>
    <row r="23" spans="1:4" ht="15">
      <c r="A23" s="8" t="s">
        <v>52</v>
      </c>
      <c r="B23" s="27">
        <f>IF(OR(2046.37251="",2046.37251=0),"-",2046.37251)</f>
        <v>2046.37251</v>
      </c>
      <c r="C23" s="27">
        <f>IF(OR(2061.12121="",2061.12121=0),"-",2061.12121)</f>
        <v>2061.12121</v>
      </c>
      <c r="D23" s="29">
        <f>IF(OR(2046.37251="",2061.12121="",2046.37251=0,2061.12121=0),"-",2061.12121/2046.37251*100)</f>
        <v>100.72072410706885</v>
      </c>
    </row>
    <row r="24" spans="1:4" ht="15">
      <c r="A24" s="8" t="s">
        <v>53</v>
      </c>
      <c r="B24" s="27">
        <f>IF(OR(65228.50625="",65228.50625=0),"-",65228.50625)</f>
        <v>65228.50625</v>
      </c>
      <c r="C24" s="27">
        <f>IF(OR(80604.44879="",80604.44879=0),"-",80604.44879)</f>
        <v>80604.44879</v>
      </c>
      <c r="D24" s="29">
        <f>IF(OR(65228.50625="",80604.44879="",65228.50625=0,80604.44879=0),"-",80604.44879/65228.50625*100)</f>
        <v>123.57242779877393</v>
      </c>
    </row>
    <row r="25" spans="1:4" ht="15">
      <c r="A25" s="8" t="s">
        <v>54</v>
      </c>
      <c r="B25" s="27">
        <f>IF(OR(-296.20469="",-296.20469=0),"-",-296.20469)</f>
        <v>-296.20469</v>
      </c>
      <c r="C25" s="27">
        <f>IF(OR(-303.97047="",-303.97047=0),"-",-303.97047)</f>
        <v>-303.97047</v>
      </c>
      <c r="D25" s="29">
        <f>IF(OR(-296.20469="",-303.97047="",-296.20469=0,-303.97047=0),"-",-303.97047/-296.20469*100)</f>
        <v>102.62176132322548</v>
      </c>
    </row>
    <row r="26" spans="1:4" ht="15">
      <c r="A26" s="8" t="s">
        <v>55</v>
      </c>
      <c r="B26" s="27">
        <f>IF(OR(-9983.15524="",-9983.15524=0),"-",-9983.15524)</f>
        <v>-9983.15524</v>
      </c>
      <c r="C26" s="27">
        <f>IF(OR(-13600.20472="",-13600.20472=0),"-",-13600.20472)</f>
        <v>-13600.20472</v>
      </c>
      <c r="D26" s="29">
        <f>IF(OR(-9983.15524="",-13600.20472="",-9983.15524=0,-13600.20472=0),"-",-13600.20472/-9983.15524*100)</f>
        <v>136.23152593588236</v>
      </c>
    </row>
    <row r="27" spans="1:4" ht="15">
      <c r="A27" s="8" t="s">
        <v>56</v>
      </c>
      <c r="B27" s="27">
        <f>IF(OR(949.11845="",949.11845=0),"-",949.11845)</f>
        <v>949.11845</v>
      </c>
      <c r="C27" s="27">
        <f>IF(OR(1088.30315="",1088.30315=0),"-",1088.30315)</f>
        <v>1088.30315</v>
      </c>
      <c r="D27" s="29">
        <f>IF(OR(949.11845="",1088.30315="",949.11845=0,1088.30315=0),"-",1088.30315/949.11845*100)</f>
        <v>114.66462905657349</v>
      </c>
    </row>
    <row r="28" spans="1:4" ht="26.25">
      <c r="A28" s="8" t="s">
        <v>57</v>
      </c>
      <c r="B28" s="27">
        <f>IF(OR(-3174.30396="",-3174.30396=0),"-",-3174.30396)</f>
        <v>-3174.30396</v>
      </c>
      <c r="C28" s="27">
        <f>IF(OR(-3806.25773="",-3806.25773=0),"-",-3806.25773)</f>
        <v>-3806.25773</v>
      </c>
      <c r="D28" s="29">
        <f>IF(OR(-3174.30396="",-3806.25773="",-3174.30396=0,-3806.25773=0),"-",-3806.25773/-3174.30396*100)</f>
        <v>119.9084201753634</v>
      </c>
    </row>
    <row r="29" spans="1:4" ht="26.25">
      <c r="A29" s="8" t="s">
        <v>58</v>
      </c>
      <c r="B29" s="27">
        <f>IF(OR(-1675.35983="",-1675.35983=0),"-",-1675.35983)</f>
        <v>-1675.35983</v>
      </c>
      <c r="C29" s="27">
        <f>IF(OR(550.58613="",550.58613=0),"-",550.58613)</f>
        <v>550.58613</v>
      </c>
      <c r="D29" s="29" t="s">
        <v>34</v>
      </c>
    </row>
    <row r="30" spans="1:4" ht="15">
      <c r="A30" s="8" t="s">
        <v>59</v>
      </c>
      <c r="B30" s="27">
        <f>IF(OR(5112.33724="",5112.33724=0),"-",5112.33724)</f>
        <v>5112.33724</v>
      </c>
      <c r="C30" s="27">
        <f>IF(OR(7210.71279="",7210.71279=0),"-",7210.71279)</f>
        <v>7210.71279</v>
      </c>
      <c r="D30" s="29">
        <f>IF(OR(5112.33724="",7210.71279="",5112.33724=0,7210.71279=0),"-",7210.71279/5112.33724*100)</f>
        <v>141.0453272444914</v>
      </c>
    </row>
    <row r="31" spans="1:4" ht="15">
      <c r="A31" s="8" t="s">
        <v>60</v>
      </c>
      <c r="B31" s="27">
        <f>IF(OR(-13001.5668="",-13001.5668=0),"-",-13001.5668)</f>
        <v>-13001.5668</v>
      </c>
      <c r="C31" s="27">
        <f>IF(OR(-14723.57528="",-14723.57528=0),"-",-14723.57528)</f>
        <v>-14723.57528</v>
      </c>
      <c r="D31" s="29">
        <f>IF(OR(-13001.5668="",-14723.57528="",-13001.5668=0,-14723.57528=0),"-",-14723.57528/-13001.5668*100)</f>
        <v>113.24462279423122</v>
      </c>
    </row>
    <row r="32" spans="1:4" ht="15">
      <c r="A32" s="9" t="s">
        <v>61</v>
      </c>
      <c r="B32" s="26">
        <f>IF(-280609.75389="","-",-280609.75389)</f>
        <v>-280609.75389</v>
      </c>
      <c r="C32" s="26">
        <f>IF(-340949.07939="","-",-340949.07939)</f>
        <v>-340949.07939</v>
      </c>
      <c r="D32" s="28">
        <f>IF(-280609.75389="","-",-340949.07939/-280609.75389*100)</f>
        <v>121.5029323334403</v>
      </c>
    </row>
    <row r="33" spans="1:4" ht="15">
      <c r="A33" s="8" t="s">
        <v>62</v>
      </c>
      <c r="B33" s="27">
        <f>IF(OR(-3102.76152="",-3102.76152=0),"-",-3102.76152)</f>
        <v>-3102.76152</v>
      </c>
      <c r="C33" s="27">
        <f>IF(OR(-9320.95682="",-9320.95682=0),"-",-9320.95682)</f>
        <v>-9320.95682</v>
      </c>
      <c r="D33" s="29" t="s">
        <v>214</v>
      </c>
    </row>
    <row r="34" spans="1:4" ht="15">
      <c r="A34" s="8" t="s">
        <v>63</v>
      </c>
      <c r="B34" s="27">
        <f>IF(OR(-149911.39264="",-149911.39264=0),"-",-149911.39264)</f>
        <v>-149911.39264</v>
      </c>
      <c r="C34" s="27">
        <f>IF(OR(-193065.61875="",-193065.61875=0),"-",-193065.61875)</f>
        <v>-193065.61875</v>
      </c>
      <c r="D34" s="29">
        <f>IF(OR(-149911.39264="",-193065.61875="",-149911.39264=0,-193065.61875=0),"-",-193065.61875/-149911.39264*100)</f>
        <v>128.78648870511887</v>
      </c>
    </row>
    <row r="35" spans="1:4" ht="15">
      <c r="A35" s="8" t="s">
        <v>64</v>
      </c>
      <c r="B35" s="27">
        <f>IF(OR(-127346.84811="",-127346.84811=0),"-",-127346.84811)</f>
        <v>-127346.84811</v>
      </c>
      <c r="C35" s="27">
        <f>IF(OR(-103878.54838="",-103878.54838=0),"-",-103878.54838)</f>
        <v>-103878.54838</v>
      </c>
      <c r="D35" s="29">
        <f>IF(OR(-127346.84811="",-103878.54838="",-127346.84811=0,-103878.54838=0),"-",-103878.54838/-127346.84811*100)</f>
        <v>81.57135407880021</v>
      </c>
    </row>
    <row r="36" spans="1:4" ht="15">
      <c r="A36" s="8" t="s">
        <v>65</v>
      </c>
      <c r="B36" s="27">
        <f>IF(OR(-248.75162="",-248.75162=0),"-",-248.75162)</f>
        <v>-248.75162</v>
      </c>
      <c r="C36" s="27">
        <f>IF(OR(-34683.95544="",-34683.95544=0),"-",-34683.95544)</f>
        <v>-34683.95544</v>
      </c>
      <c r="D36" s="29" t="s">
        <v>261</v>
      </c>
    </row>
    <row r="37" spans="1:4" ht="15">
      <c r="A37" s="9" t="s">
        <v>66</v>
      </c>
      <c r="B37" s="26">
        <f>IF(20761.35072="","-",20761.35072)</f>
        <v>20761.35072</v>
      </c>
      <c r="C37" s="26">
        <f>IF(18206.8977799999="","-",18206.8977799999)</f>
        <v>18206.8977799999</v>
      </c>
      <c r="D37" s="28">
        <f>IF(20761.35072="","-",18206.8977799999/20761.35072*100)</f>
        <v>87.69611392605916</v>
      </c>
    </row>
    <row r="38" spans="1:4" ht="15">
      <c r="A38" s="8" t="s">
        <v>67</v>
      </c>
      <c r="B38" s="27">
        <f>IF(OR(-308.96943="",-308.96943=0),"-",-308.96943)</f>
        <v>-308.96943</v>
      </c>
      <c r="C38" s="27">
        <f>IF(OR(-471.76899="",-471.76899=0),"-",-471.76899)</f>
        <v>-471.76899</v>
      </c>
      <c r="D38" s="29">
        <f>IF(OR(-308.96943="",-471.76899="",-308.96943=0,-471.76899=0),"-",-471.76899/-308.96943*100)</f>
        <v>152.69115459092507</v>
      </c>
    </row>
    <row r="39" spans="1:4" ht="15">
      <c r="A39" s="8" t="s">
        <v>68</v>
      </c>
      <c r="B39" s="27">
        <f>IF(OR(21921.82688="",21921.82688=0),"-",21921.82688)</f>
        <v>21921.82688</v>
      </c>
      <c r="C39" s="27">
        <f>IF(OR(19706.6822="",19706.6822=0),"-",19706.6822)</f>
        <v>19706.6822</v>
      </c>
      <c r="D39" s="29">
        <f>IF(OR(21921.82688="",19706.6822="",21921.82688=0,19706.6822=0),"-",19706.6822/21921.82688*100)</f>
        <v>89.89525511662102</v>
      </c>
    </row>
    <row r="40" spans="1:4" ht="26.25">
      <c r="A40" s="8" t="s">
        <v>69</v>
      </c>
      <c r="B40" s="27">
        <f>IF(OR(-851.50673="",-851.50673=0),"-",-851.50673)</f>
        <v>-851.50673</v>
      </c>
      <c r="C40" s="27">
        <f>IF(OR(-1028.01543="",-1028.01543=0),"-",-1028.01543)</f>
        <v>-1028.01543</v>
      </c>
      <c r="D40" s="29">
        <f>IF(OR(-851.50673="",-1028.01543="",-851.50673=0,-1028.01543=0),"-",-1028.01543/-851.50673*100)</f>
        <v>120.7289847256991</v>
      </c>
    </row>
    <row r="41" spans="1:4" ht="26.25">
      <c r="A41" s="9" t="s">
        <v>70</v>
      </c>
      <c r="B41" s="26">
        <f>IF(-258230.09573="","-",-258230.09573)</f>
        <v>-258230.09573</v>
      </c>
      <c r="C41" s="26">
        <f>IF(-296099.83922="","-",-296099.83922)</f>
        <v>-296099.83922</v>
      </c>
      <c r="D41" s="28">
        <f>IF(-258230.09573="","-",-296099.83922/-258230.09573*100)</f>
        <v>114.66511615655979</v>
      </c>
    </row>
    <row r="42" spans="1:4" ht="15">
      <c r="A42" s="8" t="s">
        <v>71</v>
      </c>
      <c r="B42" s="27">
        <f>IF(OR(343.01993="",343.01993=0),"-",343.01993)</f>
        <v>343.01993</v>
      </c>
      <c r="C42" s="27">
        <f>IF(OR(2778.30564="",2778.30564=0),"-",2778.30564)</f>
        <v>2778.30564</v>
      </c>
      <c r="D42" s="29" t="s">
        <v>262</v>
      </c>
    </row>
    <row r="43" spans="1:4" ht="15">
      <c r="A43" s="8" t="s">
        <v>72</v>
      </c>
      <c r="B43" s="27">
        <f>IF(OR(-6756.55078="",-6756.55078=0),"-",-6756.55078)</f>
        <v>-6756.55078</v>
      </c>
      <c r="C43" s="27">
        <f>IF(OR(-4773.41938="",-4773.41938=0),"-",-4773.41938)</f>
        <v>-4773.41938</v>
      </c>
      <c r="D43" s="29">
        <f>IF(OR(-6756.55078="",-4773.41938="",-6756.55078=0,-4773.41938=0),"-",-4773.41938/-6756.55078*100)</f>
        <v>70.64876052037901</v>
      </c>
    </row>
    <row r="44" spans="1:4" ht="15">
      <c r="A44" s="8" t="s">
        <v>73</v>
      </c>
      <c r="B44" s="27">
        <f>IF(OR(-12168.02017="",-12168.02017=0),"-",-12168.02017)</f>
        <v>-12168.02017</v>
      </c>
      <c r="C44" s="27">
        <f>IF(OR(-13615.988="",-13615.988=0),"-",-13615.988)</f>
        <v>-13615.988</v>
      </c>
      <c r="D44" s="29">
        <f>IF(OR(-12168.02017="",-13615.988="",-12168.02017=0,-13615.988=0),"-",-13615.988/-12168.02017*100)</f>
        <v>111.89978163883994</v>
      </c>
    </row>
    <row r="45" spans="1:4" ht="15">
      <c r="A45" s="8" t="s">
        <v>74</v>
      </c>
      <c r="B45" s="27">
        <f>IF(OR(-58914.06418="",-58914.06418=0),"-",-58914.06418)</f>
        <v>-58914.06418</v>
      </c>
      <c r="C45" s="27">
        <f>IF(OR(-77165.66634="",-77165.66634=0),"-",-77165.66634)</f>
        <v>-77165.66634</v>
      </c>
      <c r="D45" s="29">
        <f>IF(OR(-58914.06418="",-77165.66634="",-58914.06418=0,-77165.66634=0),"-",-77165.66634/-58914.06418*100)</f>
        <v>130.98004256544908</v>
      </c>
    </row>
    <row r="46" spans="1:4" ht="26.25">
      <c r="A46" s="8" t="s">
        <v>75</v>
      </c>
      <c r="B46" s="27">
        <f>IF(OR(-35029.27504="",-35029.27504=0),"-",-35029.27504)</f>
        <v>-35029.27504</v>
      </c>
      <c r="C46" s="27">
        <f>IF(OR(-38069.87768="",-38069.87768=0),"-",-38069.87768)</f>
        <v>-38069.87768</v>
      </c>
      <c r="D46" s="29">
        <f>IF(OR(-35029.27504="",-38069.87768="",-35029.27504=0,-38069.87768=0),"-",-38069.87768/-35029.27504*100)</f>
        <v>108.68017575735702</v>
      </c>
    </row>
    <row r="47" spans="1:4" ht="15">
      <c r="A47" s="8" t="s">
        <v>76</v>
      </c>
      <c r="B47" s="27">
        <f>IF(OR(-25812.23055="",-25812.23055=0),"-",-25812.23055)</f>
        <v>-25812.23055</v>
      </c>
      <c r="C47" s="27">
        <f>IF(OR(-31360.67636="",-31360.67636=0),"-",-31360.67636)</f>
        <v>-31360.67636</v>
      </c>
      <c r="D47" s="29">
        <f>IF(OR(-25812.23055="",-31360.67636="",-25812.23055=0,-31360.67636=0),"-",-31360.67636/-25812.23055*100)</f>
        <v>121.49541396374983</v>
      </c>
    </row>
    <row r="48" spans="1:4" ht="15">
      <c r="A48" s="8" t="s">
        <v>77</v>
      </c>
      <c r="B48" s="27">
        <f>IF(OR(-19859.95571="",-19859.95571=0),"-",-19859.95571)</f>
        <v>-19859.95571</v>
      </c>
      <c r="C48" s="27">
        <f>IF(OR(-21320.05906="",-21320.05906=0),"-",-21320.05906)</f>
        <v>-21320.05906</v>
      </c>
      <c r="D48" s="29">
        <f>IF(OR(-19859.95571="",-21320.05906="",-19859.95571=0,-21320.05906=0),"-",-21320.05906/-19859.95571*100)</f>
        <v>107.35199701006786</v>
      </c>
    </row>
    <row r="49" spans="1:4" ht="15">
      <c r="A49" s="8" t="s">
        <v>78</v>
      </c>
      <c r="B49" s="27">
        <f>IF(OR(-36049.36295="",-36049.36295=0),"-",-36049.36295)</f>
        <v>-36049.36295</v>
      </c>
      <c r="C49" s="27">
        <f>IF(OR(-41487.30503="",-41487.30503=0),"-",-41487.30503)</f>
        <v>-41487.30503</v>
      </c>
      <c r="D49" s="29">
        <f>IF(OR(-36049.36295="",-41487.30503="",-36049.36295=0,-41487.30503=0),"-",-41487.30503/-36049.36295*100)</f>
        <v>115.08471061622463</v>
      </c>
    </row>
    <row r="50" spans="1:4" ht="15">
      <c r="A50" s="8" t="s">
        <v>79</v>
      </c>
      <c r="B50" s="27">
        <f>IF(OR(-63983.65628="",-63983.65628=0),"-",-63983.65628)</f>
        <v>-63983.65628</v>
      </c>
      <c r="C50" s="27">
        <f>IF(OR(-71085.15301="",-71085.15301=0),"-",-71085.15301)</f>
        <v>-71085.15301</v>
      </c>
      <c r="D50" s="29">
        <f>IF(OR(-63983.65628="",-71085.15301="",-63983.65628=0,-71085.15301=0),"-",-71085.15301/-63983.65628*100)</f>
        <v>111.09892297952308</v>
      </c>
    </row>
    <row r="51" spans="1:4" ht="26.25">
      <c r="A51" s="9" t="s">
        <v>80</v>
      </c>
      <c r="B51" s="26">
        <f>IF(-314450.9458="","-",-314450.9458)</f>
        <v>-314450.9458</v>
      </c>
      <c r="C51" s="26">
        <f>IF(-347796.4582="","-",-347796.4582)</f>
        <v>-347796.4582</v>
      </c>
      <c r="D51" s="28">
        <f>IF(-314450.9458="","-",-347796.4582/-314450.9458*100)</f>
        <v>110.60436066273076</v>
      </c>
    </row>
    <row r="52" spans="1:4" ht="15">
      <c r="A52" s="8" t="s">
        <v>81</v>
      </c>
      <c r="B52" s="27">
        <f>IF(OR(-17846.25704="",-17846.25704=0),"-",-17846.25704)</f>
        <v>-17846.25704</v>
      </c>
      <c r="C52" s="27">
        <f>IF(OR(-17189.63309="",-17189.63309=0),"-",-17189.63309)</f>
        <v>-17189.63309</v>
      </c>
      <c r="D52" s="29">
        <f>IF(OR(-17846.25704="",-17189.63309="",-17846.25704=0,-17189.63309=0),"-",-17189.63309/-17846.25704*100)</f>
        <v>96.32066293493214</v>
      </c>
    </row>
    <row r="53" spans="1:4" ht="15">
      <c r="A53" s="8" t="s">
        <v>82</v>
      </c>
      <c r="B53" s="27">
        <f>IF(OR(-20379.00607="",-20379.00607=0),"-",-20379.00607)</f>
        <v>-20379.00607</v>
      </c>
      <c r="C53" s="27">
        <f>IF(OR(-23044.38626="",-23044.38626=0),"-",-23044.38626)</f>
        <v>-23044.38626</v>
      </c>
      <c r="D53" s="29">
        <f>IF(OR(-20379.00607="",-23044.38626="",-20379.00607=0,-23044.38626=0),"-",-23044.38626/-20379.00607*100)</f>
        <v>113.0790490019222</v>
      </c>
    </row>
    <row r="54" spans="1:4" ht="15">
      <c r="A54" s="8" t="s">
        <v>83</v>
      </c>
      <c r="B54" s="27">
        <f>IF(OR(-19757.82249="",-19757.82249=0),"-",-19757.82249)</f>
        <v>-19757.82249</v>
      </c>
      <c r="C54" s="27">
        <f>IF(OR(-22753.66377="",-22753.66377=0),"-",-22753.66377)</f>
        <v>-22753.66377</v>
      </c>
      <c r="D54" s="29">
        <f>IF(OR(-19757.82249="",-22753.66377="",-19757.82249=0,-22753.66377=0),"-",-22753.66377/-19757.82249*100)</f>
        <v>115.16281099051417</v>
      </c>
    </row>
    <row r="55" spans="1:4" ht="26.25">
      <c r="A55" s="8" t="s">
        <v>84</v>
      </c>
      <c r="B55" s="27">
        <f>IF(OR(-33497.98979="",-33497.98979=0),"-",-33497.98979)</f>
        <v>-33497.98979</v>
      </c>
      <c r="C55" s="27">
        <f>IF(OR(-35868.63963="",-35868.63963=0),"-",-35868.63963)</f>
        <v>-35868.63963</v>
      </c>
      <c r="D55" s="29">
        <f>IF(OR(-33497.98979="",-35868.63963="",-33497.98979=0,-35868.63963=0),"-",-35868.63963/-33497.98979*100)</f>
        <v>107.07699135041142</v>
      </c>
    </row>
    <row r="56" spans="1:4" ht="26.25">
      <c r="A56" s="8" t="s">
        <v>85</v>
      </c>
      <c r="B56" s="27">
        <f>IF(OR(-87367.29169="",-87367.29169=0),"-",-87367.29169)</f>
        <v>-87367.29169</v>
      </c>
      <c r="C56" s="27">
        <f>IF(OR(-90748.36447="",-90748.36447=0),"-",-90748.36447)</f>
        <v>-90748.36447</v>
      </c>
      <c r="D56" s="29">
        <f>IF(OR(-87367.29169="",-90748.36447="",-87367.29169=0,-90748.36447=0),"-",-90748.36447/-87367.29169*100)</f>
        <v>103.8699526042273</v>
      </c>
    </row>
    <row r="57" spans="1:4" ht="15">
      <c r="A57" s="8" t="s">
        <v>86</v>
      </c>
      <c r="B57" s="27">
        <f>IF(OR(-29189.72846="",-29189.72846=0),"-",-29189.72846)</f>
        <v>-29189.72846</v>
      </c>
      <c r="C57" s="27">
        <f>IF(OR(-37716.37682="",-37716.37682=0),"-",-37716.37682)</f>
        <v>-37716.37682</v>
      </c>
      <c r="D57" s="29">
        <f>IF(OR(-29189.72846="",-37716.37682="",-29189.72846=0,-37716.37682=0),"-",-37716.37682/-29189.72846*100)</f>
        <v>129.21112600168394</v>
      </c>
    </row>
    <row r="58" spans="1:4" ht="15">
      <c r="A58" s="8" t="s">
        <v>87</v>
      </c>
      <c r="B58" s="27">
        <f>IF(OR(-44026.27232="",-44026.27232=0),"-",-44026.27232)</f>
        <v>-44026.27232</v>
      </c>
      <c r="C58" s="27">
        <f>IF(OR(-42192.93716="",-42192.93716=0),"-",-42192.93716)</f>
        <v>-42192.93716</v>
      </c>
      <c r="D58" s="29">
        <f>IF(OR(-44026.27232="",-42192.93716="",-44026.27232=0,-42192.93716=0),"-",-42192.93716/-44026.27232*100)</f>
        <v>95.83581560874697</v>
      </c>
    </row>
    <row r="59" spans="1:4" ht="15">
      <c r="A59" s="8" t="s">
        <v>88</v>
      </c>
      <c r="B59" s="27">
        <f>IF(OR(-24425.20155="",-24425.20155=0),"-",-24425.20155)</f>
        <v>-24425.20155</v>
      </c>
      <c r="C59" s="27">
        <f>IF(OR(-32461.43632="",-32461.43632=0),"-",-32461.43632)</f>
        <v>-32461.43632</v>
      </c>
      <c r="D59" s="29">
        <f>IF(OR(-24425.20155="",-32461.43632="",-24425.20155=0,-32461.43632=0),"-",-32461.43632/-24425.20155*100)</f>
        <v>132.90140617079166</v>
      </c>
    </row>
    <row r="60" spans="1:4" ht="15">
      <c r="A60" s="8" t="s">
        <v>89</v>
      </c>
      <c r="B60" s="27">
        <f>IF(OR(-37961.37639="",-37961.37639=0),"-",-37961.37639)</f>
        <v>-37961.37639</v>
      </c>
      <c r="C60" s="27">
        <f>IF(OR(-45821.02068="",-45821.02068=0),"-",-45821.02068)</f>
        <v>-45821.02068</v>
      </c>
      <c r="D60" s="29">
        <f>IF(OR(-37961.37639="",-45821.02068="",-37961.37639=0,-45821.02068=0),"-",-45821.02068/-37961.37639*100)</f>
        <v>120.7043185401213</v>
      </c>
    </row>
    <row r="61" spans="1:4" ht="15">
      <c r="A61" s="9" t="s">
        <v>90</v>
      </c>
      <c r="B61" s="26">
        <f>IF(-228710.12513="","-",-228710.12513)</f>
        <v>-228710.12513</v>
      </c>
      <c r="C61" s="26">
        <f>IF(-263111.08837="","-",-263111.08837)</f>
        <v>-263111.08837</v>
      </c>
      <c r="D61" s="28">
        <f>IF(-228710.12513="","-",-263111.08837/-228710.12513*100)</f>
        <v>115.0412943985083</v>
      </c>
    </row>
    <row r="62" spans="1:4" ht="15">
      <c r="A62" s="8" t="s">
        <v>91</v>
      </c>
      <c r="B62" s="27">
        <f>IF(OR(-3859.13443="",-3859.13443=0),"-",-3859.13443)</f>
        <v>-3859.13443</v>
      </c>
      <c r="C62" s="27">
        <f>IF(OR(-5941.31424="",-5941.31424=0),"-",-5941.31424)</f>
        <v>-5941.31424</v>
      </c>
      <c r="D62" s="29">
        <f>IF(OR(-3859.13443="",-5941.31424="",-3859.13443=0,-5941.31424=0),"-",-5941.31424/-3859.13443*100)</f>
        <v>153.95458094990485</v>
      </c>
    </row>
    <row r="63" spans="1:4" ht="15">
      <c r="A63" s="8" t="s">
        <v>92</v>
      </c>
      <c r="B63" s="27">
        <f>IF(OR(-53144.99473="",-53144.99473=0),"-",-53144.99473)</f>
        <v>-53144.99473</v>
      </c>
      <c r="C63" s="27">
        <f>IF(OR(-66262.75328="",-66262.75328=0),"-",-66262.75328)</f>
        <v>-66262.75328</v>
      </c>
      <c r="D63" s="29">
        <f>IF(OR(-53144.99473="",-66262.75328="",-53144.99473=0,-66262.75328=0),"-",-66262.75328/-53144.99473*100)</f>
        <v>124.68296142777697</v>
      </c>
    </row>
    <row r="64" spans="1:4" ht="15">
      <c r="A64" s="8" t="s">
        <v>93</v>
      </c>
      <c r="B64" s="27">
        <f>IF(OR(-1308.53223="",-1308.53223=0),"-",-1308.53223)</f>
        <v>-1308.53223</v>
      </c>
      <c r="C64" s="27">
        <f>IF(OR(-4019.47279="",-4019.47279=0),"-",-4019.47279)</f>
        <v>-4019.47279</v>
      </c>
      <c r="D64" s="29" t="s">
        <v>210</v>
      </c>
    </row>
    <row r="65" spans="1:4" ht="26.25">
      <c r="A65" s="8" t="s">
        <v>94</v>
      </c>
      <c r="B65" s="27">
        <f>IF(OR(-37828.12636="",-37828.12636=0),"-",-37828.12636)</f>
        <v>-37828.12636</v>
      </c>
      <c r="C65" s="27">
        <f>IF(OR(-51715.28597="",-51715.28597=0),"-",-51715.28597)</f>
        <v>-51715.28597</v>
      </c>
      <c r="D65" s="29">
        <f>IF(OR(-37828.12636="",-51715.28597="",-37828.12636=0,-51715.28597=0),"-",-51715.28597/-37828.12636*100)</f>
        <v>136.71120128403842</v>
      </c>
    </row>
    <row r="66" spans="1:4" ht="13.5" customHeight="1">
      <c r="A66" s="8" t="s">
        <v>95</v>
      </c>
      <c r="B66" s="27">
        <f>IF(OR(-14379.5227="",-14379.5227=0),"-",-14379.5227)</f>
        <v>-14379.5227</v>
      </c>
      <c r="C66" s="27">
        <f>IF(OR(-16974.67476="",-16974.67476=0),"-",-16974.67476)</f>
        <v>-16974.67476</v>
      </c>
      <c r="D66" s="29">
        <f>IF(OR(-14379.5227="",-16974.67476="",-14379.5227=0,-16974.67476=0),"-",-16974.67476/-14379.5227*100)</f>
        <v>118.0475535533596</v>
      </c>
    </row>
    <row r="67" spans="1:4" ht="26.25">
      <c r="A67" s="8" t="s">
        <v>96</v>
      </c>
      <c r="B67" s="27">
        <f>IF(OR(-28990.16133="",-28990.16133=0),"-",-28990.16133)</f>
        <v>-28990.16133</v>
      </c>
      <c r="C67" s="27">
        <f>IF(OR(-42883.40011="",-42883.40011=0),"-",-42883.40011)</f>
        <v>-42883.40011</v>
      </c>
      <c r="D67" s="29">
        <f>IF(OR(-28990.16133="",-42883.40011="",-28990.16133=0,-42883.40011=0),"-",-42883.40011/-28990.16133*100)</f>
        <v>147.92397883492566</v>
      </c>
    </row>
    <row r="68" spans="1:4" ht="26.25">
      <c r="A68" s="8" t="s">
        <v>97</v>
      </c>
      <c r="B68" s="27">
        <f>IF(OR(-2304.73612="",-2304.73612=0),"-",-2304.73612)</f>
        <v>-2304.73612</v>
      </c>
      <c r="C68" s="27">
        <f>IF(OR(10061.43431="",10061.43431=0),"-",10061.43431)</f>
        <v>10061.43431</v>
      </c>
      <c r="D68" s="29" t="s">
        <v>34</v>
      </c>
    </row>
    <row r="69" spans="1:4" ht="15">
      <c r="A69" s="8" t="s">
        <v>98</v>
      </c>
      <c r="B69" s="27">
        <f>IF(OR(-86762.4782="",-86762.4782=0),"-",-86762.4782)</f>
        <v>-86762.4782</v>
      </c>
      <c r="C69" s="27">
        <f>IF(OR(-97102.14056="",-97102.14056=0),"-",-97102.14056)</f>
        <v>-97102.14056</v>
      </c>
      <c r="D69" s="29">
        <f>IF(OR(-86762.4782="",-97102.14056="",-86762.4782=0,-97102.14056=0),"-",-97102.14056/-86762.4782*100)</f>
        <v>111.91720496522193</v>
      </c>
    </row>
    <row r="70" spans="1:4" ht="15">
      <c r="A70" s="8" t="s">
        <v>99</v>
      </c>
      <c r="B70" s="27">
        <f>IF(OR(-132.43903="",-132.43903=0),"-",-132.43903)</f>
        <v>-132.43903</v>
      </c>
      <c r="C70" s="27">
        <f>IF(OR(11726.51903="",11726.51903=0),"-",11726.51903)</f>
        <v>11726.51903</v>
      </c>
      <c r="D70" s="29" t="s">
        <v>34</v>
      </c>
    </row>
    <row r="71" spans="1:4" ht="15">
      <c r="A71" s="9" t="s">
        <v>100</v>
      </c>
      <c r="B71" s="26">
        <f>IF(49955.0583="","-",49955.0583)</f>
        <v>49955.0583</v>
      </c>
      <c r="C71" s="26">
        <f>IF(15929.27599="","-",15929.27599)</f>
        <v>15929.27599</v>
      </c>
      <c r="D71" s="28">
        <f>IF(49955.0583="","-",15929.27599/49955.0583*100)</f>
        <v>31.887213291471628</v>
      </c>
    </row>
    <row r="72" spans="1:4" ht="26.25">
      <c r="A72" s="8" t="s">
        <v>101</v>
      </c>
      <c r="B72" s="27">
        <f>IF(OR(-11192.26755="",-11192.26755=0),"-",-11192.26755)</f>
        <v>-11192.26755</v>
      </c>
      <c r="C72" s="27">
        <f>IF(OR(-10282.83024="",-10282.83024=0),"-",-10282.83024)</f>
        <v>-10282.83024</v>
      </c>
      <c r="D72" s="29">
        <f>IF(OR(-11192.26755="",-10282.83024="",-11192.26755=0,-10282.83024=0),"-",-10282.83024/-11192.26755*100)</f>
        <v>91.874414135141</v>
      </c>
    </row>
    <row r="73" spans="1:4" ht="15">
      <c r="A73" s="8" t="s">
        <v>102</v>
      </c>
      <c r="B73" s="27">
        <f>IF(OR(39313.52649="",39313.52649=0),"-",39313.52649)</f>
        <v>39313.52649</v>
      </c>
      <c r="C73" s="27">
        <f>IF(OR(39103.3771="",39103.3771=0),"-",39103.3771)</f>
        <v>39103.3771</v>
      </c>
      <c r="D73" s="29">
        <f>IF(OR(39313.52649="",39103.3771="",39313.52649=0,39103.3771=0),"-",39103.3771/39313.52649*100)</f>
        <v>99.46545271115922</v>
      </c>
    </row>
    <row r="74" spans="1:4" ht="15">
      <c r="A74" s="8" t="s">
        <v>103</v>
      </c>
      <c r="B74" s="27">
        <f>IF(OR(5067.49066="",5067.49066=0),"-",5067.49066)</f>
        <v>5067.49066</v>
      </c>
      <c r="C74" s="27">
        <f>IF(OR(-2994.19488="",-2994.19488=0),"-",-2994.19488)</f>
        <v>-2994.19488</v>
      </c>
      <c r="D74" s="29" t="s">
        <v>34</v>
      </c>
    </row>
    <row r="75" spans="1:4" ht="15">
      <c r="A75" s="8" t="s">
        <v>104</v>
      </c>
      <c r="B75" s="27">
        <f>IF(OR(71795.67231="",71795.67231=0),"-",71795.67231)</f>
        <v>71795.67231</v>
      </c>
      <c r="C75" s="27">
        <f>IF(OR(68065.10623="",68065.10623=0),"-",68065.10623)</f>
        <v>68065.10623</v>
      </c>
      <c r="D75" s="29">
        <f>IF(OR(71795.67231="",68065.10623="",71795.67231=0,68065.10623=0),"-",68065.10623/71795.67231*100)</f>
        <v>94.80391232511603</v>
      </c>
    </row>
    <row r="76" spans="1:4" ht="15">
      <c r="A76" s="8" t="s">
        <v>105</v>
      </c>
      <c r="B76" s="27">
        <f>IF(OR(4040.85143="",4040.85143=0),"-",4040.85143)</f>
        <v>4040.85143</v>
      </c>
      <c r="C76" s="27">
        <f>IF(OR(-4085.20463="",-4085.20463=0),"-",-4085.20463)</f>
        <v>-4085.20463</v>
      </c>
      <c r="D76" s="29" t="s">
        <v>34</v>
      </c>
    </row>
    <row r="77" spans="1:4" ht="15">
      <c r="A77" s="8" t="s">
        <v>106</v>
      </c>
      <c r="B77" s="27">
        <f>IF(OR(-5216.25452="",-5216.25452=0),"-",-5216.25452)</f>
        <v>-5216.25452</v>
      </c>
      <c r="C77" s="27">
        <f>IF(OR(-9610.96938="",-9610.96938=0),"-",-9610.96938)</f>
        <v>-9610.96938</v>
      </c>
      <c r="D77" s="29" t="s">
        <v>215</v>
      </c>
    </row>
    <row r="78" spans="1:4" ht="26.25">
      <c r="A78" s="8" t="s">
        <v>107</v>
      </c>
      <c r="B78" s="27">
        <f>IF(OR(-2590.45463="",-2590.45463=0),"-",-2590.45463)</f>
        <v>-2590.45463</v>
      </c>
      <c r="C78" s="27">
        <f>IF(OR(-3604.99996="",-3604.99996=0),"-",-3604.99996)</f>
        <v>-3604.99996</v>
      </c>
      <c r="D78" s="29">
        <f>IF(OR(-2590.45463="",-3604.99996="",-2590.45463=0,-3604.99996=0),"-",-3604.99996/-2590.45463*100)</f>
        <v>139.16475966228367</v>
      </c>
    </row>
    <row r="79" spans="1:4" ht="15">
      <c r="A79" s="11" t="s">
        <v>108</v>
      </c>
      <c r="B79" s="27">
        <f>IF(OR(-51263.50589="",-51263.50589=0),"-",-51263.50589)</f>
        <v>-51263.50589</v>
      </c>
      <c r="C79" s="27">
        <f>IF(OR(-60661.00825="",-60661.00825=0),"-",-60661.00825)</f>
        <v>-60661.00825</v>
      </c>
      <c r="D79" s="29">
        <f>IF(OR(-51263.50589="",-60661.00825="",-51263.50589=0,-60661.00825=0),"-",-60661.00825/-51263.50589*100)</f>
        <v>118.3317590103278</v>
      </c>
    </row>
    <row r="80" spans="1:4" ht="15">
      <c r="A80" s="83" t="s">
        <v>28</v>
      </c>
      <c r="B80" s="83"/>
      <c r="C80" s="83"/>
      <c r="D80" s="83"/>
    </row>
    <row r="81" spans="2:4" ht="15">
      <c r="B81" s="21"/>
      <c r="C81" s="21"/>
      <c r="D81" s="22"/>
    </row>
    <row r="82" spans="2:4" ht="15">
      <c r="B82" s="21"/>
      <c r="C82" s="21"/>
      <c r="D82" s="22"/>
    </row>
    <row r="83" spans="2:4" ht="15">
      <c r="B83" s="21"/>
      <c r="C83" s="21"/>
      <c r="D83" s="22"/>
    </row>
  </sheetData>
  <sheetProtection/>
  <mergeCells count="6">
    <mergeCell ref="A80:D80"/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2017-08-04T06:26:00Z</cp:lastPrinted>
  <dcterms:created xsi:type="dcterms:W3CDTF">2016-09-01T07:59:47Z</dcterms:created>
  <dcterms:modified xsi:type="dcterms:W3CDTF">2017-08-04T08:17:20Z</dcterms:modified>
  <cp:category/>
  <cp:version/>
  <cp:contentType/>
  <cp:contentStatus/>
</cp:coreProperties>
</file>