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76" windowHeight="10500" activeTab="0"/>
  </bookViews>
  <sheets>
    <sheet name="Export_Tari" sheetId="1" r:id="rId1"/>
    <sheet name="Import_Tari" sheetId="2" r:id="rId2"/>
    <sheet name="Balanta Comerciala_Tari" sheetId="3" r:id="rId3"/>
    <sheet name="Export_Grupe_Marfuri_CSCI" sheetId="4" r:id="rId4"/>
    <sheet name="Import_Grupe_Marfuri_CSCI" sheetId="5" r:id="rId5"/>
    <sheet name="Balanta_Comerciala_Gr_Marf_CSCI" sheetId="6" r:id="rId6"/>
  </sheets>
  <definedNames>
    <definedName name="_xlnm.Print_Titles" localSheetId="2">'Balanta Comerciala_Tari'!$3:$4</definedName>
    <definedName name="_xlnm.Print_Titles" localSheetId="5">'Balanta_Comerciala_Gr_Marf_CSCI'!$4:$5</definedName>
    <definedName name="_xlnm.Print_Titles" localSheetId="3">'Export_Grupe_Marfuri_CSCI'!$4:$6</definedName>
    <definedName name="_xlnm.Print_Titles" localSheetId="0">'Export_Tari'!$3:$5</definedName>
    <definedName name="_xlnm.Print_Titles" localSheetId="4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<sst xmlns="http://schemas.openxmlformats.org/spreadsheetml/2006/main" count="641" uniqueCount="254">
  <si>
    <t>Structura, %</t>
  </si>
  <si>
    <t>Gradul de influenţă a ţărilor, grupelor de ţări  la creşterea (+),  scăderea (-) exporturilor, %</t>
  </si>
  <si>
    <t>2016¹</t>
  </si>
  <si>
    <t xml:space="preserve">      din care:</t>
  </si>
  <si>
    <t>Ţările Uniunii Europene (UE-28)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</si>
  <si>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</si>
  <si>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</si>
  <si>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</si>
  <si>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</si>
  <si>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</si>
  <si>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</si>
  <si>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</si>
  <si>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</si>
  <si>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</si>
  <si>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de 1,8 ori</t>
  </si>
  <si>
    <t>Ţările CSI</t>
  </si>
  <si>
    <t>Federaţia Rusă</t>
  </si>
  <si>
    <t>Belarus</t>
  </si>
  <si>
    <t>Ucraina</t>
  </si>
  <si>
    <t>Kazahstan</t>
  </si>
  <si>
    <t>Azerbaidjan</t>
  </si>
  <si>
    <t>Uzbekistan</t>
  </si>
  <si>
    <t>Kîrgîzstan</t>
  </si>
  <si>
    <t>Turkmenistan</t>
  </si>
  <si>
    <t>Armenia</t>
  </si>
  <si>
    <t>Tadjikistan</t>
  </si>
  <si>
    <t>Celelalte ţări ale lumii</t>
  </si>
  <si>
    <t>Statele Unite ale Americii</t>
  </si>
  <si>
    <t>de 2,3 ori</t>
  </si>
  <si>
    <t>de 2,7 ori</t>
  </si>
  <si>
    <t>de 2,0 ori</t>
  </si>
  <si>
    <t>¹ În preţuri curente</t>
  </si>
  <si>
    <t>Anexa 1. Exporturile structurate pe principalele ţări de destinaţie a mărfurilor şi grupe de ţări</t>
  </si>
  <si>
    <t xml:space="preserve">IMPORT – total      </t>
  </si>
  <si>
    <t>Anexa 2. Importurile structurate pe principalele ţări de origine a mărfurilor şi grupe de ţări</t>
  </si>
  <si>
    <t xml:space="preserve">EXPORT – total      </t>
  </si>
  <si>
    <t xml:space="preserve">  din care:</t>
  </si>
  <si>
    <t>x</t>
  </si>
  <si>
    <t>Anexa 3. Balanţa comercială structurată pe principalele ţări şi grupe de ţări</t>
  </si>
  <si>
    <t>de 3,2 ori</t>
  </si>
  <si>
    <t>de 1,9 ori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</si>
  <si>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</si>
  <si>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</si>
  <si>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</si>
  <si>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</si>
  <si>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</si>
  <si>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</si>
  <si>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</si>
  <si>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</si>
  <si>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</si>
  <si>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</si>
  <si>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</si>
  <si>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</si>
  <si>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</si>
  <si>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Băuturi (alcoolice şi nealcoolice)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</si>
  <si>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</si>
  <si>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</si>
  <si>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</si>
  <si>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</si>
  <si>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</si>
  <si>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</si>
  <si>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</si>
  <si>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</si>
  <si>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</si>
  <si>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</si>
  <si>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</si>
  <si>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</si>
  <si>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</si>
  <si>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</si>
  <si>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</si>
  <si>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</si>
  <si>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</si>
  <si>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</si>
  <si>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</si>
  <si>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</si>
  <si>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</si>
  <si>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</si>
  <si>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</si>
  <si>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</si>
  <si>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</si>
  <si>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</si>
  <si>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</si>
  <si>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</si>
  <si>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</si>
  <si>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</si>
  <si>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</si>
  <si>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</si>
  <si>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</si>
  <si>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</si>
  <si>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</si>
  <si>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</si>
  <si>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</si>
  <si>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</si>
  <si>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</si>
  <si>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</si>
  <si>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</si>
  <si>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</si>
  <si>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</si>
  <si>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</si>
  <si>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</si>
  <si>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</si>
  <si>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</si>
  <si>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</si>
  <si>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</si>
  <si>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</si>
  <si>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</si>
  <si>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încălzire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</si>
  <si>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</si>
  <si>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</si>
  <si>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</si>
  <si>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</si>
  <si>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</si>
  <si>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</si>
  <si>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</si>
  <si>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   din care:</t>
  </si>
  <si>
    <t>Instrumente şi aparate profesionale, ştiinţifice şi de control</t>
  </si>
  <si>
    <t xml:space="preserve">    din care:</t>
  </si>
  <si>
    <t xml:space="preserve">Grăsimi şi uleiuri vegetale fixate, brute, rafinate sau fracţionate </t>
  </si>
  <si>
    <t>Alte uleiuri si grasimi animale sau vegetale prelucrate</t>
  </si>
  <si>
    <t>Maşini generatoare de putere şi echipamentele lor</t>
  </si>
  <si>
    <t>Coreea de Sud</t>
  </si>
  <si>
    <t xml:space="preserve">Anexa 4. Exporturile structurate pe grupe de mărfuri, </t>
  </si>
  <si>
    <t xml:space="preserve">Anexa 5. Importurile structurate pe grupe de mărfuri, </t>
  </si>
  <si>
    <r>
      <t xml:space="preserve"> </t>
    </r>
    <r>
      <rPr>
        <b/>
        <sz val="9"/>
        <color indexed="8"/>
        <rFont val="Times New Roman"/>
        <family val="1"/>
      </rPr>
      <t>¹ În preţuri curente</t>
    </r>
  </si>
  <si>
    <t xml:space="preserve">Anexa 6. Balanţa comercială structurată pe grupe de mărfuri, </t>
  </si>
  <si>
    <t>Arabia Saudită</t>
  </si>
  <si>
    <t>Croaţia</t>
  </si>
  <si>
    <t>Elveţia</t>
  </si>
  <si>
    <t>Bosnia şi Herţegovina</t>
  </si>
  <si>
    <t>Regatul Unit al Marii Britanii şi Irlandei de Nord</t>
  </si>
  <si>
    <t>Hong Kong, RAS a Chinei</t>
  </si>
  <si>
    <t>Africa de Sud</t>
  </si>
  <si>
    <t>de 1,7 ori</t>
  </si>
  <si>
    <t>de 2,4 ori</t>
  </si>
  <si>
    <t>Franţa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</si>
  <si>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</si>
  <si>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</si>
  <si>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</si>
  <si>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</si>
  <si>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</si>
  <si>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</si>
  <si>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</si>
  <si>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</si>
  <si>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</si>
  <si>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</si>
  <si>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</si>
  <si>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</si>
  <si>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</si>
  <si>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</si>
  <si>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</si>
  <si>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</si>
  <si>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</si>
  <si>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</si>
  <si>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</si>
  <si>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</si>
  <si>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</si>
  <si>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</si>
  <si>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</si>
  <si>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Siria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</si>
  <si>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</si>
  <si>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</si>
  <si>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</si>
  <si>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</si>
  <si>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</si>
  <si>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</si>
  <si>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</si>
  <si>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</si>
  <si>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</si>
  <si>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</si>
  <si>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</si>
  <si>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</si>
  <si>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</si>
  <si>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</si>
  <si>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</si>
  <si>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</si>
  <si>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</si>
  <si>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</si>
  <si>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</si>
  <si>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</si>
  <si>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</si>
  <si>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</si>
  <si>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</si>
  <si>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</si>
  <si>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</si>
  <si>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</si>
  <si>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</si>
  <si>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</si>
  <si>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</si>
  <si>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</si>
  <si>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Sri Lanka</t>
  </si>
  <si>
    <t>ins.Faroe</t>
  </si>
  <si>
    <t>Uruguay</t>
  </si>
  <si>
    <t>Tunisia</t>
  </si>
  <si>
    <t>Columbia</t>
  </si>
  <si>
    <t>Australia</t>
  </si>
  <si>
    <t>Noua Zeelandă</t>
  </si>
  <si>
    <t>de 3,3 ori</t>
  </si>
  <si>
    <t>de 2,1 ori</t>
  </si>
  <si>
    <t>de 2,8 ori</t>
  </si>
  <si>
    <t>de 2,9 ori</t>
  </si>
  <si>
    <t>de 3,9 ori</t>
  </si>
  <si>
    <t>de 4,2 ori</t>
  </si>
  <si>
    <t>de 4,8 ori</t>
  </si>
  <si>
    <t>Ianuarie-februarie 2017</t>
  </si>
  <si>
    <t>ianuarie-februarie</t>
  </si>
  <si>
    <t>2017¹</t>
  </si>
  <si>
    <t>în % faţă de ianuarie-februarie 2016¹</t>
  </si>
  <si>
    <t>Ianuarie-februarie</t>
  </si>
  <si>
    <t>Ianuarie-februarie 2017 în % faţă de              ianuarie-februarie 2016</t>
  </si>
  <si>
    <t>Algeria</t>
  </si>
  <si>
    <t>Mongolia</t>
  </si>
  <si>
    <t>de 7,5 ori</t>
  </si>
  <si>
    <t>de 5,9 ori</t>
  </si>
  <si>
    <t>de 3,8 ori</t>
  </si>
  <si>
    <t>de 7,7 ori</t>
  </si>
  <si>
    <t>de 7,0 ori</t>
  </si>
  <si>
    <t>de 5,7 ori</t>
  </si>
  <si>
    <t>de 2,5 ori</t>
  </si>
  <si>
    <t>Noua Zeelanda</t>
  </si>
  <si>
    <t>Madagascar</t>
  </si>
  <si>
    <t>Peru</t>
  </si>
  <si>
    <t>Kenya</t>
  </si>
  <si>
    <t>de 2,2 ori</t>
  </si>
  <si>
    <t>de 7,9 ori</t>
  </si>
  <si>
    <t>de 16,8 ori</t>
  </si>
  <si>
    <t>Elvetia</t>
  </si>
  <si>
    <t>de 3,4 ori</t>
  </si>
  <si>
    <t>de 12,8 ori</t>
  </si>
  <si>
    <t>de 6,0 ori</t>
  </si>
  <si>
    <t>de 9,1 ori</t>
  </si>
  <si>
    <t>de 6,1 ori</t>
  </si>
  <si>
    <t>de 4,4 ori</t>
  </si>
  <si>
    <t>mii dolari        SUA</t>
  </si>
  <si>
    <t>mii dolari    SUA</t>
  </si>
  <si>
    <t>mii dolari         SUA</t>
  </si>
  <si>
    <t>EXPORT - total</t>
  </si>
  <si>
    <t xml:space="preserve">IMPORT - total </t>
  </si>
  <si>
    <t>mii dolari     SUA</t>
  </si>
  <si>
    <t>de 10,1 ori</t>
  </si>
  <si>
    <t>de 30,7 ori</t>
  </si>
  <si>
    <t>de 7,6 ori</t>
  </si>
  <si>
    <t>de 5,6 ori</t>
  </si>
  <si>
    <t>de 4,0 ori</t>
  </si>
  <si>
    <t>de 45,2 ori</t>
  </si>
  <si>
    <t>de 85,7 ori</t>
  </si>
  <si>
    <t>de 5,0 ori</t>
  </si>
  <si>
    <t>de 2,6 ori</t>
  </si>
  <si>
    <t>de 3,6 ori</t>
  </si>
  <si>
    <t>BALANŢA COMERCIALĂ – total, mii dolari SUA</t>
  </si>
  <si>
    <t xml:space="preserve">178,22
</t>
  </si>
  <si>
    <t xml:space="preserve">186,70
</t>
  </si>
  <si>
    <t>Gradul de influenţă a ţărilor, grupelor de ţări  la creşterea (+),  scăderea (-) importurilor, %</t>
  </si>
  <si>
    <t>Gradul de influenţă a grupelor de mărfuri la creşterea (+),  scăderea (-) exporturilor, %</t>
  </si>
  <si>
    <t>Gradul de influenţă a grupelor de mărfuri la creşterea (+),  scăderea (-) importurilor,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</si>
</sst>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</cellStyleXfs>
  <cellXfs count="84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justify"/>
    </xf>
    <xf numFmtId="0" fontId="9" fillId="0" borderId="0" xfId="0" applyFont="1" applyBorder="1" applyAlignment="1">
      <alignment vertical="top" wrapText="1"/>
    </xf>
    <xf numFmtId="38" fontId="11" fillId="0" borderId="0" xfId="0" applyNumberFormat="1" applyFont="1" applyFill="1" applyAlignment="1" applyProtection="1">
      <alignment horizontal="left" wrapText="1"/>
      <protection/>
    </xf>
    <xf numFmtId="165" fontId="14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 indent="3"/>
    </xf>
    <xf numFmtId="0" fontId="5" fillId="0" borderId="0" xfId="0" applyFont="1" applyBorder="1" applyAlignment="1">
      <alignment horizontal="right" vertical="top" wrapText="1" indent="3"/>
    </xf>
    <xf numFmtId="0" fontId="5" fillId="0" borderId="0" xfId="0" applyFont="1" applyAlignment="1">
      <alignment horizontal="right" vertical="top" wrapText="1" indent="3"/>
    </xf>
    <xf numFmtId="164" fontId="5" fillId="0" borderId="0" xfId="0" applyNumberFormat="1" applyFont="1" applyAlignment="1">
      <alignment horizontal="right" vertical="top" wrapText="1" indent="3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4" fillId="0" borderId="0" xfId="0" applyNumberFormat="1" applyFont="1" applyFill="1" applyAlignment="1" applyProtection="1">
      <alignment horizontal="right"/>
      <protection/>
    </xf>
    <xf numFmtId="164" fontId="14" fillId="0" borderId="0" xfId="0" applyNumberFormat="1" applyFont="1" applyFill="1" applyAlignment="1" applyProtection="1">
      <alignment horizontal="right"/>
      <protection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4" fontId="14" fillId="0" borderId="0" xfId="0" applyNumberFormat="1" applyFont="1" applyFill="1" applyAlignment="1" applyProtection="1">
      <alignment horizontal="right" indent="1"/>
      <protection/>
    </xf>
    <xf numFmtId="4" fontId="11" fillId="0" borderId="0" xfId="0" applyNumberFormat="1" applyFont="1" applyFill="1" applyAlignment="1" applyProtection="1">
      <alignment horizontal="right" indent="1"/>
      <protection/>
    </xf>
    <xf numFmtId="0" fontId="9" fillId="0" borderId="0" xfId="0" applyFont="1" applyBorder="1" applyAlignment="1">
      <alignment vertical="top" wrapText="1"/>
    </xf>
    <xf numFmtId="4" fontId="15" fillId="0" borderId="14" xfId="0" applyNumberFormat="1" applyFont="1" applyFill="1" applyBorder="1" applyAlignment="1" applyProtection="1">
      <alignment horizontal="right" indent="1"/>
      <protection/>
    </xf>
    <xf numFmtId="0" fontId="4" fillId="0" borderId="0" xfId="0" applyFont="1" applyAlignment="1">
      <alignment horizontal="right" vertical="top" wrapText="1" indent="2"/>
    </xf>
    <xf numFmtId="0" fontId="5" fillId="0" borderId="0" xfId="0" applyFont="1" applyAlignment="1">
      <alignment horizontal="right" vertical="top" wrapText="1" indent="2"/>
    </xf>
    <xf numFmtId="0" fontId="5" fillId="0" borderId="0" xfId="0" applyFont="1" applyAlignment="1">
      <alignment horizontal="right" vertical="top" wrapText="1" indent="2"/>
    </xf>
    <xf numFmtId="165" fontId="5" fillId="0" borderId="0" xfId="0" applyNumberFormat="1" applyFont="1" applyAlignment="1">
      <alignment horizontal="right" vertical="top" wrapText="1" indent="2"/>
    </xf>
    <xf numFmtId="4" fontId="5" fillId="0" borderId="0" xfId="0" applyNumberFormat="1" applyFont="1" applyAlignment="1">
      <alignment horizontal="right" vertical="top" wrapText="1" indent="2"/>
    </xf>
    <xf numFmtId="4" fontId="5" fillId="0" borderId="0" xfId="0" applyNumberFormat="1" applyFont="1" applyAlignment="1">
      <alignment horizontal="right" vertical="top" wrapText="1" indent="2"/>
    </xf>
    <xf numFmtId="38" fontId="11" fillId="0" borderId="10" xfId="0" applyNumberFormat="1" applyFont="1" applyFill="1" applyBorder="1" applyAlignment="1" applyProtection="1">
      <alignment horizontal="left" wrapText="1"/>
      <protection/>
    </xf>
    <xf numFmtId="4" fontId="11" fillId="0" borderId="10" xfId="0" applyNumberFormat="1" applyFont="1" applyFill="1" applyBorder="1" applyAlignment="1" applyProtection="1">
      <alignment horizontal="right" indent="1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38" fontId="11" fillId="0" borderId="10" xfId="0" applyNumberFormat="1" applyFont="1" applyFill="1" applyBorder="1" applyAlignment="1" applyProtection="1">
      <alignment horizontal="left" vertical="top" wrapText="1"/>
      <protection/>
    </xf>
    <xf numFmtId="4" fontId="15" fillId="0" borderId="14" xfId="0" applyNumberFormat="1" applyFont="1" applyFill="1" applyBorder="1" applyAlignment="1" applyProtection="1">
      <alignment horizontal="right" vertical="top" wrapText="1" indent="1"/>
      <protection/>
    </xf>
    <xf numFmtId="4" fontId="14" fillId="0" borderId="0" xfId="0" applyNumberFormat="1" applyFont="1" applyFill="1" applyAlignment="1" applyProtection="1">
      <alignment horizontal="right" vertical="top" wrapText="1" indent="1"/>
      <protection/>
    </xf>
    <xf numFmtId="4" fontId="11" fillId="0" borderId="0" xfId="0" applyNumberFormat="1" applyFont="1" applyFill="1" applyAlignment="1" applyProtection="1">
      <alignment horizontal="right" vertical="top" wrapText="1" indent="1"/>
      <protection/>
    </xf>
    <xf numFmtId="4" fontId="11" fillId="0" borderId="10" xfId="0" applyNumberFormat="1" applyFont="1" applyFill="1" applyBorder="1" applyAlignment="1" applyProtection="1">
      <alignment horizontal="right" vertical="top" wrapText="1" indent="1"/>
      <protection/>
    </xf>
    <xf numFmtId="4" fontId="14" fillId="0" borderId="0" xfId="0" applyNumberFormat="1" applyFont="1" applyFill="1" applyBorder="1" applyAlignment="1" applyProtection="1">
      <alignment horizontal="right" vertical="top" wrapText="1" indent="1"/>
      <protection/>
    </xf>
    <xf numFmtId="4" fontId="11" fillId="0" borderId="0" xfId="0" applyNumberFormat="1" applyFont="1" applyFill="1" applyBorder="1" applyAlignment="1" applyProtection="1">
      <alignment horizontal="right" vertical="top" wrapText="1" indent="1"/>
      <protection/>
    </xf>
    <xf numFmtId="4" fontId="14" fillId="0" borderId="0" xfId="0" applyNumberFormat="1" applyFont="1" applyFill="1" applyAlignment="1" applyProtection="1">
      <alignment horizontal="right" vertical="top" indent="1"/>
      <protection/>
    </xf>
    <xf numFmtId="4" fontId="11" fillId="0" borderId="0" xfId="0" applyNumberFormat="1" applyFont="1" applyFill="1" applyAlignment="1" applyProtection="1">
      <alignment horizontal="right" vertical="top" indent="1"/>
      <protection/>
    </xf>
    <xf numFmtId="4" fontId="11" fillId="0" borderId="10" xfId="0" applyNumberFormat="1" applyFont="1" applyFill="1" applyBorder="1" applyAlignment="1" applyProtection="1">
      <alignment horizontal="right" vertical="top" indent="1"/>
      <protection/>
    </xf>
    <xf numFmtId="2" fontId="14" fillId="0" borderId="0" xfId="0" applyNumberFormat="1" applyFont="1" applyFill="1" applyAlignment="1" applyProtection="1">
      <alignment horizontal="right" vertical="top" indent="1"/>
      <protection/>
    </xf>
    <xf numFmtId="2" fontId="11" fillId="0" borderId="0" xfId="0" applyNumberFormat="1" applyFont="1" applyFill="1" applyAlignment="1" applyProtection="1">
      <alignment horizontal="right" vertical="top" indent="1"/>
      <protection/>
    </xf>
    <xf numFmtId="2" fontId="11" fillId="0" borderId="10" xfId="0" applyNumberFormat="1" applyFont="1" applyFill="1" applyBorder="1" applyAlignment="1" applyProtection="1">
      <alignment horizontal="right" vertical="top" indent="1"/>
      <protection/>
    </xf>
    <xf numFmtId="164" fontId="11" fillId="0" borderId="0" xfId="61" applyNumberFormat="1" applyFont="1" applyFill="1" applyAlignment="1" applyProtection="1">
      <alignment horizontal="right" vertical="top" indent="1"/>
      <protection/>
    </xf>
    <xf numFmtId="2" fontId="11" fillId="0" borderId="0" xfId="62" applyNumberFormat="1" applyFont="1" applyFill="1" applyAlignment="1" applyProtection="1">
      <alignment horizontal="right" vertical="top" indent="1"/>
      <protection/>
    </xf>
    <xf numFmtId="2" fontId="11" fillId="0" borderId="0" xfId="61" applyNumberFormat="1" applyFont="1" applyFill="1" applyAlignment="1" applyProtection="1">
      <alignment horizontal="right" vertical="top" indent="1"/>
      <protection/>
    </xf>
    <xf numFmtId="0" fontId="9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9"/>
  <sheetViews>
    <sheetView tabSelected="1" zoomScalePageLayoutView="0" workbookViewId="0" topLeftCell="A1">
      <selection activeCell="C49" sqref="C49"/>
    </sheetView>
  </sheetViews>
  <sheetFormatPr defaultColWidth="9.00390625" defaultRowHeight="15.75"/>
  <cols>
    <col min="1" max="1" width="26.375" style="0" customWidth="1"/>
    <col min="2" max="2" width="11.75390625" style="0" customWidth="1"/>
    <col min="3" max="3" width="11.25390625" style="0" customWidth="1"/>
    <col min="4" max="5" width="9.75390625" style="0" customWidth="1"/>
    <col min="6" max="6" width="10.00390625" style="0" customWidth="1"/>
    <col min="7" max="7" width="9.875" style="0" customWidth="1"/>
  </cols>
  <sheetData>
    <row r="1" spans="1:7" ht="15.75">
      <c r="A1" s="68" t="s">
        <v>32</v>
      </c>
      <c r="B1" s="68"/>
      <c r="C1" s="68"/>
      <c r="D1" s="68"/>
      <c r="E1" s="68"/>
      <c r="F1" s="68"/>
      <c r="G1" s="68"/>
    </row>
    <row r="3" spans="1:7" ht="53.25" customHeight="1">
      <c r="A3" s="69"/>
      <c r="B3" s="72" t="s">
        <v>203</v>
      </c>
      <c r="C3" s="73"/>
      <c r="D3" s="72" t="s">
        <v>0</v>
      </c>
      <c r="E3" s="73"/>
      <c r="F3" s="74" t="s">
        <v>1</v>
      </c>
      <c r="G3" s="75"/>
    </row>
    <row r="4" spans="1:7" ht="23.25" customHeight="1">
      <c r="A4" s="70"/>
      <c r="B4" s="76" t="s">
        <v>232</v>
      </c>
      <c r="C4" s="78" t="s">
        <v>206</v>
      </c>
      <c r="D4" s="80" t="s">
        <v>204</v>
      </c>
      <c r="E4" s="80"/>
      <c r="F4" s="80" t="s">
        <v>204</v>
      </c>
      <c r="G4" s="72"/>
    </row>
    <row r="5" spans="1:7" ht="32.25" customHeight="1">
      <c r="A5" s="71"/>
      <c r="B5" s="77"/>
      <c r="C5" s="79"/>
      <c r="D5" s="31">
        <v>2016</v>
      </c>
      <c r="E5" s="31">
        <v>2017</v>
      </c>
      <c r="F5" s="31" t="s">
        <v>2</v>
      </c>
      <c r="G5" s="32" t="s">
        <v>205</v>
      </c>
    </row>
    <row r="6" spans="1:7" ht="15.75" customHeight="1">
      <c r="A6" s="13" t="s">
        <v>35</v>
      </c>
      <c r="B6" s="52">
        <f>IF(316175.78086="","-",316175.78086)</f>
        <v>316175.78086</v>
      </c>
      <c r="C6" s="52">
        <f>IF(255220.70381="","-",316175.78086/255220.70381*100)</f>
        <v>123.8832806821888</v>
      </c>
      <c r="D6" s="52">
        <v>100</v>
      </c>
      <c r="E6" s="52">
        <v>100</v>
      </c>
      <c r="F6" s="52">
        <f>IF(313138.53701="","-",(255220.70381-313138.53701)/313138.53701*100)</f>
        <v>-18.495913582859455</v>
      </c>
      <c r="G6" s="52">
        <f>IF(255220.70381="","-",(316175.78086-255220.70381)/255220.70381*100)</f>
        <v>23.883280682188786</v>
      </c>
    </row>
    <row r="7" spans="1:7" ht="13.5" customHeight="1">
      <c r="A7" s="14" t="s">
        <v>3</v>
      </c>
      <c r="B7" s="27"/>
      <c r="C7" s="28"/>
      <c r="D7" s="29"/>
      <c r="E7" s="29"/>
      <c r="F7" s="30"/>
      <c r="G7" s="30"/>
    </row>
    <row r="8" spans="1:7" ht="15">
      <c r="A8" s="15" t="s">
        <v>4</v>
      </c>
      <c r="B8" s="53">
        <f>IF(209311.49905="","-",209311.49905)</f>
        <v>209311.49905</v>
      </c>
      <c r="C8" s="53">
        <f>IF(167823.53998="","-",209311.49905/167823.53998*100)</f>
        <v>124.72117980287167</v>
      </c>
      <c r="D8" s="53">
        <f>IF(167823.53998="","-",167823.53998/255220.70381*100)</f>
        <v>65.75624056931402</v>
      </c>
      <c r="E8" s="53">
        <f>IF(209311.49905="","-",209311.49905/316175.78086*100)</f>
        <v>66.20099062637608</v>
      </c>
      <c r="F8" s="53">
        <f>IF(313138.53701="","-",(167823.53998-210651.91655)/313138.53701*100)</f>
        <v>-13.677133762885365</v>
      </c>
      <c r="G8" s="53">
        <f>IF(255220.70381="","-",(209311.49905-167823.53998)/255220.70381*100)</f>
        <v>16.255718462748963</v>
      </c>
    </row>
    <row r="9" spans="1:7" s="25" customFormat="1" ht="15">
      <c r="A9" s="50" t="s">
        <v>5</v>
      </c>
      <c r="B9" s="54">
        <f>IF(75937.27915="","-",75937.27915)</f>
        <v>75937.27915</v>
      </c>
      <c r="C9" s="54">
        <f>IF(OR(59447.27971="",75937.27915=""),"-",75937.27915/59447.27971*100)</f>
        <v>127.73886293946957</v>
      </c>
      <c r="D9" s="54">
        <f>IF(59447.27971="","-",59447.27971/255220.70381*100)</f>
        <v>23.292498932318495</v>
      </c>
      <c r="E9" s="54">
        <f>IF(75937.27915="","-",75937.27915/316175.78086*100)</f>
        <v>24.017424403428418</v>
      </c>
      <c r="F9" s="54">
        <f>IF(OR(313138.53701="",63605.96327="",59447.27971=""),"-",(59447.27971-63605.96327)/313138.53701*100)</f>
        <v>-1.3280650793444793</v>
      </c>
      <c r="G9" s="54">
        <f>IF(OR(255220.70381="",75937.27915="",59447.27971=""),"-",(75937.27915-59447.27971)/255220.70381*100)</f>
        <v>6.461074354013239</v>
      </c>
    </row>
    <row r="10" spans="1:7" s="25" customFormat="1" ht="15">
      <c r="A10" s="50" t="s">
        <v>6</v>
      </c>
      <c r="B10" s="54">
        <f>IF(32258.84468="","-",32258.84468)</f>
        <v>32258.84468</v>
      </c>
      <c r="C10" s="54">
        <f>IF(OR(27286.5957="",32258.84468=""),"-",32258.84468/27286.5957*100)</f>
        <v>118.22231338297726</v>
      </c>
      <c r="D10" s="54">
        <f>IF(27286.5957="","-",27286.5957/255220.70381*100)</f>
        <v>10.69137232703253</v>
      </c>
      <c r="E10" s="54">
        <f>IF(32258.84468="","-",32258.84468/316175.78086*100)</f>
        <v>10.202819644267423</v>
      </c>
      <c r="F10" s="54">
        <f>IF(OR(313138.53701="",39568.66882="",27286.5957=""),"-",(27286.5957-39568.66882)/313138.53701*100)</f>
        <v>-3.9222489947341654</v>
      </c>
      <c r="G10" s="54">
        <f>IF(OR(255220.70381="",32258.84468="",27286.5957=""),"-",(32258.84468-27286.5957)/255220.70381*100)</f>
        <v>1.9482153703727758</v>
      </c>
    </row>
    <row r="11" spans="1:7" s="25" customFormat="1" ht="15">
      <c r="A11" s="50" t="s">
        <v>7</v>
      </c>
      <c r="B11" s="54">
        <f>IF(23222.9787="","-",23222.9787)</f>
        <v>23222.9787</v>
      </c>
      <c r="C11" s="54">
        <f>IF(OR(19102.30256="",23222.9787=""),"-",23222.9787/19102.30256*100)</f>
        <v>121.57162010735108</v>
      </c>
      <c r="D11" s="54">
        <f>IF(19102.30256="","-",19102.30256/255220.70381*100)</f>
        <v>7.484621065154958</v>
      </c>
      <c r="E11" s="54">
        <f>IF(23222.9787="","-",23222.9787/316175.78086*100)</f>
        <v>7.3449581232418755</v>
      </c>
      <c r="F11" s="54">
        <f>IF(OR(313138.53701="",20896.42304="",19102.30256=""),"-",(19102.30256-20896.42304)/313138.53701*100)</f>
        <v>-0.5729478387205682</v>
      </c>
      <c r="G11" s="54">
        <f>IF(OR(255220.70381="",23222.9787="",19102.30256=""),"-",(23222.9787-19102.30256)/255220.70381*100)</f>
        <v>1.614554022650001</v>
      </c>
    </row>
    <row r="12" spans="1:7" s="25" customFormat="1" ht="24.75" customHeight="1">
      <c r="A12" s="50" t="s">
        <v>129</v>
      </c>
      <c r="B12" s="54">
        <f>IF(19743.98593="","-",19743.98593)</f>
        <v>19743.98593</v>
      </c>
      <c r="C12" s="54">
        <f>IF(OR(14880.28511="",19743.98593=""),"-",19743.98593/14880.28511*100)</f>
        <v>132.6855351496689</v>
      </c>
      <c r="D12" s="54">
        <f>IF(14880.28511="","-",14880.28511/255220.70381*100)</f>
        <v>5.830359719201184</v>
      </c>
      <c r="E12" s="54">
        <f>IF(19743.98593="","-",19743.98593/316175.78086*100)</f>
        <v>6.244623125875182</v>
      </c>
      <c r="F12" s="54">
        <f>IF(OR(313138.53701="",26742.25006="",14880.28511=""),"-",(14880.28511-26742.25006)/313138.53701*100)</f>
        <v>-3.788088512919504</v>
      </c>
      <c r="G12" s="54">
        <f>IF(OR(255220.70381="",19743.98593="",14880.28511=""),"-",(19743.98593-14880.28511)/255220.70381*100)</f>
        <v>1.9056842753716399</v>
      </c>
    </row>
    <row r="13" spans="1:7" s="25" customFormat="1" ht="15">
      <c r="A13" s="50" t="s">
        <v>8</v>
      </c>
      <c r="B13" s="54">
        <f>IF(9750.55717="","-",9750.55717)</f>
        <v>9750.55717</v>
      </c>
      <c r="C13" s="54">
        <f>IF(OR(10492.4195="",9750.55717=""),"-",9750.55717/10492.4195*100)</f>
        <v>92.92953994071624</v>
      </c>
      <c r="D13" s="54">
        <f>IF(10492.4195="","-",10492.4195/255220.70381*100)</f>
        <v>4.111116121602391</v>
      </c>
      <c r="E13" s="54">
        <f>IF(9750.55717="","-",9750.55717/316175.78086*100)</f>
        <v>3.0839038788734627</v>
      </c>
      <c r="F13" s="54">
        <f>IF(OR(313138.53701="",8910.56157="",10492.4195=""),"-",(10492.4195-8910.56157)/313138.53701*100)</f>
        <v>0.5051623300997552</v>
      </c>
      <c r="G13" s="54">
        <f>IF(OR(255220.70381="",9750.55717="",10492.4195=""),"-",(9750.55717-10492.4195)/255220.70381*100)</f>
        <v>-0.29067482336867234</v>
      </c>
    </row>
    <row r="14" spans="1:7" s="25" customFormat="1" ht="15">
      <c r="A14" s="50" t="s">
        <v>9</v>
      </c>
      <c r="B14" s="54">
        <f>IF(9191.56261="","-",9191.56261)</f>
        <v>9191.56261</v>
      </c>
      <c r="C14" s="54">
        <f>IF(OR(5400.0238="",9191.56261=""),"-",9191.56261/5400.0238*100)</f>
        <v>170.21337220772992</v>
      </c>
      <c r="D14" s="54">
        <f>IF(5400.0238="","-",5400.0238/255220.70381*100)</f>
        <v>2.1158251346333046</v>
      </c>
      <c r="E14" s="54">
        <f>IF(9191.56261="","-",9191.56261/316175.78086*100)</f>
        <v>2.9071052137513176</v>
      </c>
      <c r="F14" s="54">
        <f>IF(OR(313138.53701="",3316.89357="",5400.0238=""),"-",(5400.0238-3316.89357)/313138.53701*100)</f>
        <v>0.6652423716003616</v>
      </c>
      <c r="G14" s="54">
        <f>IF(OR(255220.70381="",9191.56261="",5400.0238=""),"-",(9191.56261-5400.0238)/255220.70381*100)</f>
        <v>1.4855921770447846</v>
      </c>
    </row>
    <row r="15" spans="1:7" s="25" customFormat="1" ht="15">
      <c r="A15" s="50" t="s">
        <v>134</v>
      </c>
      <c r="B15" s="54">
        <f>IF(7572.6442="","-",7572.6442)</f>
        <v>7572.6442</v>
      </c>
      <c r="C15" s="54">
        <f>IF(OR(9618.78414="",7572.6442=""),"-",7572.6442/9618.78414*100)</f>
        <v>78.72766546978566</v>
      </c>
      <c r="D15" s="54">
        <f>IF(9618.78414="","-",9618.78414/255220.70381*100)</f>
        <v>3.7688102870998814</v>
      </c>
      <c r="E15" s="54">
        <f>IF(7572.6442="","-",7572.6442/316175.78086*100)</f>
        <v>2.3950740880286157</v>
      </c>
      <c r="F15" s="54">
        <f>IF(OR(313138.53701="",11669.89725="",9618.78414=""),"-",(9618.78414-11669.89725)/313138.53701*100)</f>
        <v>-0.6550177852860374</v>
      </c>
      <c r="G15" s="54">
        <f>IF(OR(255220.70381="",7572.6442="",9618.78414=""),"-",(7572.6442-9618.78414)/255220.70381*100)</f>
        <v>-0.8017139320810182</v>
      </c>
    </row>
    <row r="16" spans="1:7" s="25" customFormat="1" ht="15">
      <c r="A16" s="50" t="s">
        <v>135</v>
      </c>
      <c r="B16" s="54">
        <f>IF(5696.82174="","-",5696.82174)</f>
        <v>5696.82174</v>
      </c>
      <c r="C16" s="54" t="s">
        <v>238</v>
      </c>
      <c r="D16" s="54">
        <f>IF(565.75532="","-",565.75532/255220.70381*100)</f>
        <v>0.22167297227625335</v>
      </c>
      <c r="E16" s="54">
        <f>IF(5696.82174="","-",5696.82174/316175.78086*100)</f>
        <v>1.8017894111005628</v>
      </c>
      <c r="F16" s="54">
        <f>IF(OR(313138.53701="",1630.14347="",565.75532=""),"-",(565.75532-1630.14347)/313138.53701*100)</f>
        <v>-0.33990966431768477</v>
      </c>
      <c r="G16" s="54">
        <f>IF(OR(255220.70381="",5696.82174="",565.75532=""),"-",(5696.82174-565.75532)/255220.70381*100)</f>
        <v>2.0104428611794134</v>
      </c>
    </row>
    <row r="17" spans="1:7" s="25" customFormat="1" ht="15">
      <c r="A17" s="50" t="s">
        <v>11</v>
      </c>
      <c r="B17" s="54">
        <f>IF(4795.28799="","-",4795.28799)</f>
        <v>4795.28799</v>
      </c>
      <c r="C17" s="54">
        <f>IF(OR(3337.91256="",4795.28799=""),"-",4795.28799/3337.91256*100)</f>
        <v>143.66128242736232</v>
      </c>
      <c r="D17" s="54">
        <f>IF(3337.91256="","-",3337.91256/255220.70381*100)</f>
        <v>1.3078533638418777</v>
      </c>
      <c r="E17" s="54">
        <f>IF(4795.28799="","-",4795.28799/316175.78086*100)</f>
        <v>1.5166525332701917</v>
      </c>
      <c r="F17" s="54">
        <f>IF(OR(313138.53701="",3454.49789="",3337.91256=""),"-",(3337.91256-3454.49789)/313138.53701*100)</f>
        <v>-0.037231230340798574</v>
      </c>
      <c r="G17" s="54">
        <f>IF(OR(255220.70381="",4795.28799="",3337.91256=""),"-",(4795.28799-3337.91256)/255220.70381*100)</f>
        <v>0.5710255509227606</v>
      </c>
    </row>
    <row r="18" spans="1:7" s="25" customFormat="1" ht="15">
      <c r="A18" s="50" t="s">
        <v>13</v>
      </c>
      <c r="B18" s="54">
        <f>IF(4363.2437="","-",4363.2437)</f>
        <v>4363.2437</v>
      </c>
      <c r="C18" s="54">
        <f>IF(OR(3385.14338="",4363.2437=""),"-",4363.2437/3385.14338*100)</f>
        <v>128.8939111347183</v>
      </c>
      <c r="D18" s="54">
        <f>IF(3385.14338="","-",3385.14338/255220.70381*100)</f>
        <v>1.3263592371095734</v>
      </c>
      <c r="E18" s="54">
        <f>IF(4363.2437="","-",4363.2437/316175.78086*100)</f>
        <v>1.380005669040162</v>
      </c>
      <c r="F18" s="54">
        <f>IF(OR(313138.53701="",7403.03924="",3385.14338=""),"-",(3385.14338-7403.03924)/313138.53701*100)</f>
        <v>-1.2831048833416787</v>
      </c>
      <c r="G18" s="54">
        <f>IF(OR(255220.70381="",4363.2437="",3385.14338=""),"-",(4363.2437-3385.14338)/255220.70381*100)</f>
        <v>0.38323705929756796</v>
      </c>
    </row>
    <row r="19" spans="1:7" s="25" customFormat="1" ht="15">
      <c r="A19" s="50" t="s">
        <v>10</v>
      </c>
      <c r="B19" s="54">
        <f>IF(4328.45071="","-",4328.45071)</f>
        <v>4328.45071</v>
      </c>
      <c r="C19" s="54">
        <f>IF(OR(4786.32381="",4328.45071=""),"-",4328.45071/4786.32381*100)</f>
        <v>90.43372078079273</v>
      </c>
      <c r="D19" s="54">
        <f>IF(4786.32381="","-",4786.32381/255220.70381*100)</f>
        <v>1.8753665899938887</v>
      </c>
      <c r="E19" s="54">
        <f>IF(4328.45071="","-",4328.45071/316175.78086*100)</f>
        <v>1.369001350522987</v>
      </c>
      <c r="F19" s="54">
        <f>IF(OR(313138.53701="",5206.24119="",4786.32381=""),"-",(4786.32381-5206.24119)/313138.53701*100)</f>
        <v>-0.13409955351058883</v>
      </c>
      <c r="G19" s="54">
        <f>IF(OR(255220.70381="",4328.45071="",4786.32381=""),"-",(4328.45071-4786.32381)/255220.70381*100)</f>
        <v>-0.17940280438254144</v>
      </c>
    </row>
    <row r="20" spans="1:7" s="25" customFormat="1" ht="15">
      <c r="A20" s="50" t="s">
        <v>12</v>
      </c>
      <c r="B20" s="54">
        <f>IF(3794.25994="","-",3794.25994)</f>
        <v>3794.25994</v>
      </c>
      <c r="C20" s="54">
        <f>IF(OR(3523.10125="",3794.25994=""),"-",3794.25994/3523.10125*100)</f>
        <v>107.69659089417314</v>
      </c>
      <c r="D20" s="54">
        <f>IF(3523.10125="","-",3523.10125/255220.70381*100)</f>
        <v>1.3804135782897873</v>
      </c>
      <c r="E20" s="54">
        <f>IF(3794.25994="","-",3794.25994/316175.78086*100)</f>
        <v>1.2000476221422116</v>
      </c>
      <c r="F20" s="54">
        <f>IF(OR(313138.53701="",5162.50288="",3523.10125=""),"-",(3523.10125-5162.50288)/313138.53701*100)</f>
        <v>-0.5235387651912182</v>
      </c>
      <c r="G20" s="54">
        <f>IF(OR(255220.70381="",3794.25994="",3523.10125=""),"-",(3794.25994-3523.10125)/255220.70381*100)</f>
        <v>0.10624478576858123</v>
      </c>
    </row>
    <row r="21" spans="1:7" s="25" customFormat="1" ht="15">
      <c r="A21" s="50" t="s">
        <v>136</v>
      </c>
      <c r="B21" s="54">
        <f>IF(2046.55692="","-",2046.55692)</f>
        <v>2046.55692</v>
      </c>
      <c r="C21" s="62">
        <f>IF(OR(1110.77562="",2046.55692=""),"-",2046.55692/1110.77562*100)</f>
        <v>184.2457543315544</v>
      </c>
      <c r="D21" s="54">
        <f>IF(1110.77562="","-",1110.77562/255220.70381*100)</f>
        <v>0.43522159582590947</v>
      </c>
      <c r="E21" s="54">
        <f>IF(2046.55692="","-",2046.55692/316175.78086*100)</f>
        <v>0.6472845309129475</v>
      </c>
      <c r="F21" s="54">
        <f>IF(OR(313138.53701="",1740.30797="",1110.77562=""),"-",(1110.77562-1740.30797)/313138.53701*100)</f>
        <v>-0.201039564153005</v>
      </c>
      <c r="G21" s="54">
        <f>IF(OR(255220.70381="",2046.55692="",1110.77562=""),"-",(2046.55692-1110.77562)/255220.70381*100)</f>
        <v>0.36665571641736633</v>
      </c>
    </row>
    <row r="22" spans="1:7" s="25" customFormat="1" ht="15">
      <c r="A22" s="50" t="s">
        <v>138</v>
      </c>
      <c r="B22" s="54">
        <f>IF(1856.8575="","-",1856.8575)</f>
        <v>1856.8575</v>
      </c>
      <c r="C22" s="54">
        <f>IF(OR(1164.35418="",1856.8575=""),"-",1856.8575/1164.35418*100)</f>
        <v>159.47531532029197</v>
      </c>
      <c r="D22" s="54">
        <f>IF(1164.35418="","-",1164.35418/255220.70381*100)</f>
        <v>0.4562146262502308</v>
      </c>
      <c r="E22" s="54">
        <f>IF(1856.8575="","-",1856.8575/316175.78086*100)</f>
        <v>0.5872864439361347</v>
      </c>
      <c r="F22" s="54">
        <f>IF(OR(313138.53701="",2105.55461="",1164.35418=""),"-",(1164.35418-2105.55461)/313138.53701*100)</f>
        <v>-0.30056997742502173</v>
      </c>
      <c r="G22" s="54">
        <f>IF(OR(255220.70381="",1856.8575="",1164.35418=""),"-",(1856.8575-1164.35418)/255220.70381*100)</f>
        <v>0.2713350874996163</v>
      </c>
    </row>
    <row r="23" spans="1:7" s="25" customFormat="1" ht="15">
      <c r="A23" s="50" t="s">
        <v>142</v>
      </c>
      <c r="B23" s="54">
        <f>IF(1094.57735="","-",1094.57735)</f>
        <v>1094.57735</v>
      </c>
      <c r="C23" s="54" t="s">
        <v>239</v>
      </c>
      <c r="D23" s="54">
        <f>IF(35.67962="","-",35.67962/255220.70381*100)</f>
        <v>0.013979908160805726</v>
      </c>
      <c r="E23" s="54">
        <f>IF(1094.57735="","-",1094.57735/316175.78086*100)</f>
        <v>0.34619266125404774</v>
      </c>
      <c r="F23" s="54">
        <f>IF(OR(313138.53701="",2478.67196="",35.67962=""),"-",(35.67962-2478.67196)/313138.53701*100)</f>
        <v>-0.7801634264906795</v>
      </c>
      <c r="G23" s="54">
        <f>IF(OR(255220.70381="",1094.57735="",35.67962=""),"-",(1094.57735-35.67962)/255220.70381*100)</f>
        <v>0.41489491808168527</v>
      </c>
    </row>
    <row r="24" spans="1:7" s="25" customFormat="1" ht="15">
      <c r="A24" s="50" t="s">
        <v>139</v>
      </c>
      <c r="B24" s="54">
        <f>IF(1012.53693="","-",1012.53693)</f>
        <v>1012.53693</v>
      </c>
      <c r="C24" s="54">
        <f>IF(OR(839.13601="",1012.53693=""),"-",1012.53693/839.13601*100)</f>
        <v>120.66422104802771</v>
      </c>
      <c r="D24" s="54">
        <f>IF(839.13601="","-",839.13601/255220.70381*100)</f>
        <v>0.32878837706861663</v>
      </c>
      <c r="E24" s="54">
        <f>IF(1012.53693="","-",1012.53693/316175.78086*100)</f>
        <v>0.3202449369290379</v>
      </c>
      <c r="F24" s="54">
        <f>IF(OR(313138.53701="",1362.40229="",839.13601=""),"-",(839.13601-1362.40229)/313138.53701*100)</f>
        <v>-0.16710376340018784</v>
      </c>
      <c r="G24" s="54">
        <f>IF(OR(255220.70381="",1012.53693="",839.13601=""),"-",(1012.53693-839.13601)/255220.70381*100)</f>
        <v>0.06794155701768179</v>
      </c>
    </row>
    <row r="25" spans="1:7" s="25" customFormat="1" ht="15">
      <c r="A25" s="50" t="s">
        <v>137</v>
      </c>
      <c r="B25" s="54">
        <f>IF(792.66167="","-",792.66167)</f>
        <v>792.66167</v>
      </c>
      <c r="C25" s="54">
        <f>IF(OR(644.27968="",792.66167=""),"-",792.66167/644.27968*100)</f>
        <v>123.03067978179911</v>
      </c>
      <c r="D25" s="54">
        <f>IF(644.27968="","-",644.27968/255220.70381*100)</f>
        <v>0.2524402097408353</v>
      </c>
      <c r="E25" s="54">
        <f>IF(792.66167="","-",792.66167/316175.78086*100)</f>
        <v>0.2507028425276457</v>
      </c>
      <c r="F25" s="54">
        <f>IF(OR(313138.53701="",1699.01548="",644.27968=""),"-",(644.27968-1699.01548)/313138.53701*100)</f>
        <v>-0.33682721075187155</v>
      </c>
      <c r="G25" s="54">
        <f>IF(OR(255220.70381="",792.66167="",644.27968=""),"-",(792.66167-644.27968)/255220.70381*100)</f>
        <v>0.0581386963459138</v>
      </c>
    </row>
    <row r="26" spans="1:7" s="25" customFormat="1" ht="15">
      <c r="A26" s="50" t="s">
        <v>140</v>
      </c>
      <c r="B26" s="54">
        <f>IF(582.64008="","-",582.64008)</f>
        <v>582.64008</v>
      </c>
      <c r="C26" s="54">
        <f>IF(OR(786.81312="",582.64008=""),"-",582.64008/786.81312*100)</f>
        <v>74.0506309808357</v>
      </c>
      <c r="D26" s="54">
        <f>IF(786.81312="","-",786.81312/255220.70381*100)</f>
        <v>0.3082873404289904</v>
      </c>
      <c r="E26" s="54">
        <f>IF(582.64008="","-",582.64008/316175.78086*100)</f>
        <v>0.18427726450622356</v>
      </c>
      <c r="F26" s="54">
        <f>IF(OR(313138.53701="",1355.7189="",786.81312=""),"-",(786.81312-1355.7189)/313138.53701*100)</f>
        <v>-0.1816786223223085</v>
      </c>
      <c r="G26" s="54">
        <f>IF(OR(255220.70381="",582.64008="",786.81312=""),"-",(582.64008-786.81312)/255220.70381*100)</f>
        <v>-0.07999861960728602</v>
      </c>
    </row>
    <row r="27" spans="1:7" s="25" customFormat="1" ht="15">
      <c r="A27" s="50" t="s">
        <v>143</v>
      </c>
      <c r="B27" s="54">
        <f>IF(358.60949="","-",358.60949)</f>
        <v>358.60949</v>
      </c>
      <c r="C27" s="54">
        <f>IF(OR(255.12513="",358.60949=""),"-",358.60949/255.12513*100)</f>
        <v>140.56219785169733</v>
      </c>
      <c r="D27" s="54">
        <f>IF(255.12513="","-",255.12513/255220.70381*100)</f>
        <v>0.09996255248552596</v>
      </c>
      <c r="E27" s="54">
        <f>IF(358.60949="","-",358.60949/316175.78086*100)</f>
        <v>0.11342092333086996</v>
      </c>
      <c r="F27" s="54">
        <f>IF(OR(313138.53701="",429.3747="",255.12513=""),"-",(255.12513-429.3747)/313138.53701*100)</f>
        <v>-0.0556461595764674</v>
      </c>
      <c r="G27" s="54">
        <f>IF(OR(255220.70381="",358.60949="",255.12513=""),"-",(358.60949-255.12513)/255220.70381*100)</f>
        <v>0.04054700831678581</v>
      </c>
    </row>
    <row r="28" spans="1:7" s="25" customFormat="1" ht="15">
      <c r="A28" s="50" t="s">
        <v>145</v>
      </c>
      <c r="B28" s="54">
        <f>IF(353.5012="","-",353.5012)</f>
        <v>353.5012</v>
      </c>
      <c r="C28" s="54" t="s">
        <v>29</v>
      </c>
      <c r="D28" s="54">
        <f>IF(132.82357="","-",132.82357/255220.70381*100)</f>
        <v>0.052042631345018533</v>
      </c>
      <c r="E28" s="54">
        <f>IF(353.5012="","-",353.5012/316175.78086*100)</f>
        <v>0.11180527459708477</v>
      </c>
      <c r="F28" s="54">
        <f>IF(OR(313138.53701="",699.75984="",132.82357=""),"-",(132.82357-699.75984)/313138.53701*100)</f>
        <v>-0.18104966428386138</v>
      </c>
      <c r="G28" s="54">
        <f>IF(OR(255220.70381="",353.5012="",132.82357=""),"-",(353.5012-132.82357)/255220.70381*100)</f>
        <v>0.0864654108015799</v>
      </c>
    </row>
    <row r="29" spans="1:7" s="25" customFormat="1" ht="15">
      <c r="A29" s="50" t="s">
        <v>141</v>
      </c>
      <c r="B29" s="54">
        <f>IF(336.14216="","-",336.14216)</f>
        <v>336.14216</v>
      </c>
      <c r="C29" s="54">
        <f>IF(OR(742.62631="",336.14216=""),"-",336.14216/742.62631*100)</f>
        <v>45.263971323612274</v>
      </c>
      <c r="D29" s="54">
        <f>IF(742.62631="","-",742.62631/255220.70381*100)</f>
        <v>0.2909741642875693</v>
      </c>
      <c r="E29" s="54">
        <f>IF(336.14216="","-",336.14216/316175.78086*100)</f>
        <v>0.10631496159689757</v>
      </c>
      <c r="F29" s="54">
        <f>IF(OR(313138.53701="",1013.57495="",742.62631=""),"-",(742.62631-1013.57495)/313138.53701*100)</f>
        <v>-0.08652676307015744</v>
      </c>
      <c r="G29" s="54">
        <f>IF(OR(255220.70381="",336.14216="",742.62631=""),"-",(336.14216-742.62631)/255220.70381*100)</f>
        <v>-0.15926770200532345</v>
      </c>
    </row>
    <row r="30" spans="1:7" s="25" customFormat="1" ht="15">
      <c r="A30" s="50" t="s">
        <v>148</v>
      </c>
      <c r="B30" s="54">
        <f>IF(118.65172="","-",118.65172)</f>
        <v>118.65172</v>
      </c>
      <c r="C30" s="54" t="s">
        <v>243</v>
      </c>
      <c r="D30" s="54">
        <f>IF(2.626="","-",2.626/255220.70381*100)</f>
        <v>0.001028913391742284</v>
      </c>
      <c r="E30" s="54">
        <f>IF(118.65172="","-",118.65172/316175.78086*100)</f>
        <v>0.03752713749208324</v>
      </c>
      <c r="F30" s="54" t="str">
        <f>IF(OR(313138.53701="",""="",2.626=""),"-",(2.626-"")/313138.53701*100)</f>
        <v>-</v>
      </c>
      <c r="G30" s="54">
        <f>IF(OR(255220.70381="",118.65172="",2.626=""),"-",(118.65172-2.626)/255220.70381*100)</f>
        <v>0.04546093567956609</v>
      </c>
    </row>
    <row r="31" spans="1:7" s="25" customFormat="1" ht="15">
      <c r="A31" s="50" t="s">
        <v>147</v>
      </c>
      <c r="B31" s="54">
        <f>IF(52.41783="","-",52.41783)</f>
        <v>52.41783</v>
      </c>
      <c r="C31" s="54" t="s">
        <v>240</v>
      </c>
      <c r="D31" s="54">
        <f>IF(6.94497="","-",6.94497/255220.70381*100)</f>
        <v>0.0027211624669643605</v>
      </c>
      <c r="E31" s="54">
        <f>IF(52.41783="","-",52.41783/316175.78086*100)</f>
        <v>0.016578698677496166</v>
      </c>
      <c r="F31" s="54">
        <f>IF(OR(313138.53701="",65.15542="",6.94497=""),"-",(6.94497-65.15542)/313138.53701*100)</f>
        <v>-0.01858936001803607</v>
      </c>
      <c r="G31" s="54">
        <f>IF(OR(255220.70381="",52.41783="",6.94497=""),"-",(52.41783-6.94497)/255220.70381*100)</f>
        <v>0.017817073349132538</v>
      </c>
    </row>
    <row r="32" spans="1:7" s="25" customFormat="1" ht="15">
      <c r="A32" s="50" t="s">
        <v>126</v>
      </c>
      <c r="B32" s="54">
        <f>IF(27.09488="","-",27.09488)</f>
        <v>27.09488</v>
      </c>
      <c r="C32" s="54">
        <f>IF(OR(55.63574="",27.09488=""),"-",27.09488/55.63574*100)</f>
        <v>48.70049360357209</v>
      </c>
      <c r="D32" s="54">
        <f>IF(55.63574="","-",55.63574/255220.70381*100)</f>
        <v>0.02179907004778822</v>
      </c>
      <c r="E32" s="54">
        <f>IF(27.09488="","-",27.09488/316175.78086*100)</f>
        <v>0.0085695621360693</v>
      </c>
      <c r="F32" s="54">
        <f>IF(OR(313138.53701="",30.58822="",55.63574=""),"-",(55.63574-30.58822)/313138.53701*100)</f>
        <v>0.007998862177477733</v>
      </c>
      <c r="G32" s="54">
        <f>IF(OR(255220.70381="",27.09488="",55.63574=""),"-",(27.09488-55.63574)/255220.70381*100)</f>
        <v>-0.011182815333526918</v>
      </c>
    </row>
    <row r="33" spans="1:7" s="25" customFormat="1" ht="15">
      <c r="A33" s="50" t="s">
        <v>144</v>
      </c>
      <c r="B33" s="54">
        <f>IF(21.23394="","-",21.23394)</f>
        <v>21.23394</v>
      </c>
      <c r="C33" s="54" t="s">
        <v>244</v>
      </c>
      <c r="D33" s="54">
        <f>IF(0.24769="","-",0.24769/255220.70381*100)</f>
        <v>9.70493366339095E-05</v>
      </c>
      <c r="E33" s="54">
        <f>IF(21.23394="","-",21.23394/316175.78086*100)</f>
        <v>0.006715865441130108</v>
      </c>
      <c r="F33" s="54">
        <f>IF(OR(313138.53701="",11.15108="",0.24769=""),"-",(0.24769-11.15108)/313138.53701*100)</f>
        <v>-0.0034819700264652523</v>
      </c>
      <c r="G33" s="54">
        <f>IF(OR(255220.70381="",21.23394="",0.24769=""),"-",(21.23394-0.24769)/255220.70381*100)</f>
        <v>0.008222785098039418</v>
      </c>
    </row>
    <row r="34" spans="1:7" s="25" customFormat="1" ht="15">
      <c r="A34" s="50" t="s">
        <v>149</v>
      </c>
      <c r="B34" s="54">
        <f>IF(1.1229="","-",1.1229)</f>
        <v>1.1229</v>
      </c>
      <c r="C34" s="54">
        <f>IF(OR(82.73317="",1.1229=""),"-",1.1229/82.73317*100)</f>
        <v>1.3572548954669572</v>
      </c>
      <c r="D34" s="54">
        <f>IF(82.73317="","-",82.73317/255220.70381*100)</f>
        <v>0.032416323897292834</v>
      </c>
      <c r="E34" s="54">
        <f>IF(1.1229="","-",1.1229/316175.78086*100)</f>
        <v>0.0003551505421907097</v>
      </c>
      <c r="F34" s="54" t="str">
        <f>IF(OR(313138.53701="",""="",82.73317=""),"-",(82.73317-"")/313138.53701*100)</f>
        <v>-</v>
      </c>
      <c r="G34" s="54">
        <f>IF(OR(255220.70381="",1.1229="",82.73317=""),"-",(1.1229-82.73317)/255220.70381*100)</f>
        <v>-0.031976351754266406</v>
      </c>
    </row>
    <row r="35" spans="1:7" s="25" customFormat="1" ht="15">
      <c r="A35" s="50" t="s">
        <v>146</v>
      </c>
      <c r="B35" s="54">
        <f>IF(0.97796="","-",0.97796)</f>
        <v>0.97796</v>
      </c>
      <c r="C35" s="54">
        <f>IF(OR(113.61962="",0.97796=""),"-",0.97796/113.61962*100)</f>
        <v>0.8607316236403537</v>
      </c>
      <c r="D35" s="54">
        <f>IF(113.61962="","-",113.61962/255220.70381*100)</f>
        <v>0.04451818300939431</v>
      </c>
      <c r="E35" s="54">
        <f>IF(0.97796="","-",0.97796/316175.78086*100)</f>
        <v>0.0003093089538167481</v>
      </c>
      <c r="F35" s="54">
        <f>IF(OR(313138.53701="",71.05819="",113.61962=""),"-",(113.61962-71.05819)/313138.53701*100)</f>
        <v>0.013591885050750178</v>
      </c>
      <c r="G35" s="54">
        <f>IF(OR(255220.70381="",0.97796="",113.61962=""),"-",(0.97796-113.61962)/255220.70381*100)</f>
        <v>-0.044135000929962365</v>
      </c>
    </row>
    <row r="36" spans="1:7" s="25" customFormat="1" ht="15">
      <c r="A36" s="24" t="s">
        <v>15</v>
      </c>
      <c r="B36" s="53">
        <f>IF(61132.32263="","-",61132.32263)</f>
        <v>61132.32263</v>
      </c>
      <c r="C36" s="53">
        <f>IF(48329.84584="","-",61132.32263/48329.84584*100)</f>
        <v>126.48979438582046</v>
      </c>
      <c r="D36" s="53">
        <f>IF(48329.84584="","-",48329.84584/255220.70381*100)</f>
        <v>18.93649109124757</v>
      </c>
      <c r="E36" s="53">
        <f>IF(61132.32263="","-",61132.32263/316175.78086*100)</f>
        <v>19.334916312602985</v>
      </c>
      <c r="F36" s="53">
        <f>IF(313138.53701="","-",(48329.84584-62434.2495)/313138.53701*100)</f>
        <v>-4.504205644784492</v>
      </c>
      <c r="G36" s="53">
        <f>IF(255220.70381="","-",(61132.32263-48329.84584)/255220.70381*100)</f>
        <v>5.016237553960689</v>
      </c>
    </row>
    <row r="37" spans="1:7" s="25" customFormat="1" ht="15">
      <c r="A37" s="50" t="s">
        <v>16</v>
      </c>
      <c r="B37" s="54">
        <f>IF(36261.10983="","-",36261.10983)</f>
        <v>36261.10983</v>
      </c>
      <c r="C37" s="54">
        <f>IF(OR(21626.54389="",36261.10983=""),"-",36261.10983/21626.54389*100)</f>
        <v>167.6694621870069</v>
      </c>
      <c r="D37" s="54">
        <f>IF(21626.54389="","-",21626.54389/255220.70381*100)</f>
        <v>8.473663604540468</v>
      </c>
      <c r="E37" s="54">
        <f>IF(36261.10983="","-",36261.10983/316175.78086*100)</f>
        <v>11.468655104249152</v>
      </c>
      <c r="F37" s="54">
        <f>IF(OR(313138.53701="",30696.41369="",21626.54389=""),"-",(21626.54389-30696.41369)/313138.53701*100)</f>
        <v>-2.896439986787815</v>
      </c>
      <c r="G37" s="54">
        <f>IF(OR(255220.70381="",36261.10983="",21626.54389=""),"-",(36261.10983-21626.54389)/255220.70381*100)</f>
        <v>5.734082588728678</v>
      </c>
    </row>
    <row r="38" spans="1:7" s="25" customFormat="1" ht="15">
      <c r="A38" s="50" t="s">
        <v>17</v>
      </c>
      <c r="B38" s="54">
        <f>IF(15283.7443="","-",15283.7443)</f>
        <v>15283.7443</v>
      </c>
      <c r="C38" s="54">
        <f>IF(OR(17603.77638="",15283.7443=""),"-",15283.7443/17603.77638*100)</f>
        <v>86.82082736158911</v>
      </c>
      <c r="D38" s="54">
        <f>IF(17603.77638="","-",17603.77638/255220.70381*100)</f>
        <v>6.897471920265996</v>
      </c>
      <c r="E38" s="54">
        <f>IF(15283.7443="","-",15283.7443/316175.78086*100)</f>
        <v>4.833938974841186</v>
      </c>
      <c r="F38" s="54">
        <f>IF(OR(313138.53701="",16327.22706="",17603.77638=""),"-",(17603.77638-16327.22706)/313138.53701*100)</f>
        <v>0.4076627974918443</v>
      </c>
      <c r="G38" s="54">
        <f>IF(OR(255220.70381="",15283.7443="",17603.77638=""),"-",(15283.7443-17603.77638)/255220.70381*100)</f>
        <v>-0.9090297320577704</v>
      </c>
    </row>
    <row r="39" spans="1:7" s="25" customFormat="1" ht="15">
      <c r="A39" s="50" t="s">
        <v>18</v>
      </c>
      <c r="B39" s="54">
        <f>IF(7091.42574="","-",7091.42574)</f>
        <v>7091.42574</v>
      </c>
      <c r="C39" s="54">
        <f>IF(OR(6760.78091="",7091.42574=""),"-",7091.42574/6760.78091*100)</f>
        <v>104.89063074815716</v>
      </c>
      <c r="D39" s="54">
        <f>IF(6760.78091="","-",6760.78091/255220.70381*100)</f>
        <v>2.64899391353183</v>
      </c>
      <c r="E39" s="54">
        <f>IF(7091.42574="","-",7091.42574/316175.78086*100)</f>
        <v>2.242874429126507</v>
      </c>
      <c r="F39" s="54">
        <f>IF(OR(313138.53701="",6451.64434="",6760.78091=""),"-",(6760.78091-6451.64434)/313138.53701*100)</f>
        <v>0.09872198195462872</v>
      </c>
      <c r="G39" s="54">
        <f>IF(OR(255220.70381="",7091.42574="",6760.78091=""),"-",(7091.42574-6760.78091)/255220.70381*100)</f>
        <v>0.12955251085199931</v>
      </c>
    </row>
    <row r="40" spans="1:7" s="25" customFormat="1" ht="15">
      <c r="A40" s="50" t="s">
        <v>19</v>
      </c>
      <c r="B40" s="54">
        <f>IF(1040.26171="","-",1040.26171)</f>
        <v>1040.26171</v>
      </c>
      <c r="C40" s="54">
        <f>IF(OR(1063.7435="",1040.26171=""),"-",1040.26171/1063.7435*100)</f>
        <v>97.79253269232667</v>
      </c>
      <c r="D40" s="54">
        <f>IF(1063.7435="","-",1063.7435/255220.70381*100)</f>
        <v>0.41679357674364376</v>
      </c>
      <c r="E40" s="54">
        <f>IF(1040.26171="","-",1040.26171/316175.78086*100)</f>
        <v>0.32901372368575543</v>
      </c>
      <c r="F40" s="54">
        <f>IF(OR(313138.53701="",6517.96364="",1063.7435=""),"-",(1063.7435-6517.96364)/313138.53701*100)</f>
        <v>-1.7417914103066212</v>
      </c>
      <c r="G40" s="54">
        <f>IF(OR(255220.70381="",1040.26171="",1063.7435=""),"-",(1040.26171-1063.7435)/255220.70381*100)</f>
        <v>-0.009200581947098285</v>
      </c>
    </row>
    <row r="41" spans="1:7" s="25" customFormat="1" ht="15">
      <c r="A41" s="50" t="s">
        <v>20</v>
      </c>
      <c r="B41" s="54">
        <f>IF(653.51646="","-",653.51646)</f>
        <v>653.51646</v>
      </c>
      <c r="C41" s="54">
        <f>IF(OR(426.73697="",653.51646=""),"-",653.51646/426.73697*100)</f>
        <v>153.14268646562311</v>
      </c>
      <c r="D41" s="54">
        <f>IF(426.73697="","-",426.73697/255220.70381*100)</f>
        <v>0.1672031162164986</v>
      </c>
      <c r="E41" s="54">
        <f>IF(653.51646="","-",653.51646/316175.78086*100)</f>
        <v>0.20669402894251782</v>
      </c>
      <c r="F41" s="54">
        <f>IF(OR(313138.53701="",443.39426="",426.73697=""),"-",(426.73697-443.39426)/313138.53701*100)</f>
        <v>-0.005319463442299995</v>
      </c>
      <c r="G41" s="54">
        <f>IF(OR(255220.70381="",653.51646="",426.73697=""),"-",(653.51646-426.73697)/255220.70381*100)</f>
        <v>0.08885622781168526</v>
      </c>
    </row>
    <row r="42" spans="1:7" s="25" customFormat="1" ht="15">
      <c r="A42" s="50" t="s">
        <v>21</v>
      </c>
      <c r="B42" s="54">
        <f>IF(483.08509="","-",483.08509)</f>
        <v>483.08509</v>
      </c>
      <c r="C42" s="54">
        <f>IF(OR(411.36488="",483.08509=""),"-",483.08509/411.36488*100)</f>
        <v>117.43469447367502</v>
      </c>
      <c r="D42" s="54">
        <f>IF(411.36488="","-",411.36488/255220.70381*100)</f>
        <v>0.16118005861555892</v>
      </c>
      <c r="E42" s="54">
        <f>IF(483.08509="","-",483.08509/316175.78086*100)</f>
        <v>0.15279003618999712</v>
      </c>
      <c r="F42" s="54">
        <f>IF(OR(313138.53701="",1635.90005="",411.36488=""),"-",(411.36488-1635.90005)/313138.53701*100)</f>
        <v>-0.39105221021100156</v>
      </c>
      <c r="G42" s="54">
        <f>IF(OR(255220.70381="",483.08509="",411.36488=""),"-",(483.08509-411.36488)/255220.70381*100)</f>
        <v>0.028101250772113034</v>
      </c>
    </row>
    <row r="43" spans="1:7" s="25" customFormat="1" ht="15">
      <c r="A43" s="50" t="s">
        <v>24</v>
      </c>
      <c r="B43" s="54">
        <f>IF(115.69592="","-",115.69592)</f>
        <v>115.69592</v>
      </c>
      <c r="C43" s="54">
        <f>IF(OR(131.68478="",115.69592=""),"-",115.69592/131.68478*100)</f>
        <v>87.85823236367939</v>
      </c>
      <c r="D43" s="54">
        <f>IF(131.68478="","-",131.68478/255220.70381*100)</f>
        <v>0.05159643321806417</v>
      </c>
      <c r="E43" s="54">
        <f>IF(115.69592="","-",115.69592/316175.78086*100)</f>
        <v>0.03659227777829991</v>
      </c>
      <c r="F43" s="54">
        <f>IF(OR(313138.53701="",217.03766="",131.68478=""),"-",(131.68478-217.03766)/313138.53701*100)</f>
        <v>-0.027257226406877635</v>
      </c>
      <c r="G43" s="54">
        <f>IF(OR(255220.70381="",115.69592="",131.68478=""),"-",(115.69592-131.68478)/255220.70381*100)</f>
        <v>-0.006264719029966689</v>
      </c>
    </row>
    <row r="44" spans="1:7" s="25" customFormat="1" ht="15">
      <c r="A44" s="50" t="s">
        <v>22</v>
      </c>
      <c r="B44" s="54">
        <f>IF(76.74051="","-",76.74051)</f>
        <v>76.74051</v>
      </c>
      <c r="C44" s="54">
        <f>IF(OR(146.06922="",76.74051=""),"-",76.74051/146.06922*100)</f>
        <v>52.537084814993875</v>
      </c>
      <c r="D44" s="54">
        <f>IF(146.06922="","-",146.06922/255220.70381*100)</f>
        <v>0.057232512025647324</v>
      </c>
      <c r="E44" s="54">
        <f>IF(76.74051="","-",76.74051/316175.78086*100)</f>
        <v>0.024271470063666912</v>
      </c>
      <c r="F44" s="54">
        <f>IF(OR(313138.53701="",36.42341="",146.06922=""),"-",(146.06922-36.42341)/313138.53701*100)</f>
        <v>0.03501511217589246</v>
      </c>
      <c r="G44" s="54">
        <f>IF(OR(255220.70381="",76.74051="",146.06922=""),"-",(76.74051-146.06922)/255220.70381*100)</f>
        <v>-0.027164218640981425</v>
      </c>
    </row>
    <row r="45" spans="1:7" s="25" customFormat="1" ht="15">
      <c r="A45" s="50" t="s">
        <v>23</v>
      </c>
      <c r="B45" s="54">
        <f>IF(67.60211="","-",67.60211)</f>
        <v>67.60211</v>
      </c>
      <c r="C45" s="54" t="s">
        <v>201</v>
      </c>
      <c r="D45" s="54">
        <f>IF(16.24322="","-",16.24322/255220.70381*100)</f>
        <v>0.006364381790942919</v>
      </c>
      <c r="E45" s="54">
        <f>IF(67.60211="","-",67.60211/316175.78086*100)</f>
        <v>0.021381179107432535</v>
      </c>
      <c r="F45" s="54">
        <f>IF(OR(313138.53701="",19.68635="",16.24322=""),"-",(16.24322-19.68635)/313138.53701*100)</f>
        <v>-0.0010995548592890197</v>
      </c>
      <c r="G45" s="54">
        <f>IF(OR(255220.70381="",67.60211="",16.24322=""),"-",(67.60211-16.24322)/255220.70381*100)</f>
        <v>0.020123324335879236</v>
      </c>
    </row>
    <row r="46" spans="1:7" s="25" customFormat="1" ht="15">
      <c r="A46" s="50" t="s">
        <v>25</v>
      </c>
      <c r="B46" s="54">
        <f>IF(59.14096="","-",59.14096)</f>
        <v>59.14096</v>
      </c>
      <c r="C46" s="54">
        <f>IF(OR(142.90209="",59.14096=""),"-",59.14096/142.90209*100)</f>
        <v>41.385650832678515</v>
      </c>
      <c r="D46" s="54">
        <f>IF(142.90209="","-",142.90209/255220.70381*100)</f>
        <v>0.05599157429891894</v>
      </c>
      <c r="E46" s="54">
        <f>IF(59.14096="","-",59.14096/316175.78086*100)</f>
        <v>0.018705088618469205</v>
      </c>
      <c r="F46" s="54">
        <f>IF(OR(313138.53701="",88.55904="",142.90209=""),"-",(142.90209-88.55904)/313138.53701*100)</f>
        <v>0.017354315607045378</v>
      </c>
      <c r="G46" s="54">
        <f>IF(OR(255220.70381="",59.14096="",142.90209=""),"-",(59.14096-142.90209)/255220.70381*100)</f>
        <v>-0.03281909686384858</v>
      </c>
    </row>
    <row r="47" spans="1:7" s="25" customFormat="1" ht="15">
      <c r="A47" s="24" t="s">
        <v>26</v>
      </c>
      <c r="B47" s="53">
        <f>IF(45731.95918="","-",45731.95918)</f>
        <v>45731.95918</v>
      </c>
      <c r="C47" s="53">
        <f>IF(39067.31799="","-",45731.95918/39067.31799*100)</f>
        <v>117.05937733351936</v>
      </c>
      <c r="D47" s="53">
        <f>IF(39067.31799="","-",39067.31799/255220.70381*100)</f>
        <v>15.307268339438407</v>
      </c>
      <c r="E47" s="53">
        <f>IF(45731.95918="","-",45731.95918/316175.78086*100)</f>
        <v>14.46409306102093</v>
      </c>
      <c r="F47" s="53">
        <f>IF(313138.53701="","-",(39067.31799-40052.37096)/313138.53701*100)</f>
        <v>-0.31457417518960296</v>
      </c>
      <c r="G47" s="53">
        <f>IF(255220.70381="","-",(45731.95918-39067.31799)/255220.70381*100)</f>
        <v>2.611324665479142</v>
      </c>
    </row>
    <row r="48" spans="1:7" s="25" customFormat="1" ht="15">
      <c r="A48" s="50" t="s">
        <v>151</v>
      </c>
      <c r="B48" s="54">
        <f>IF(14782.71369="","-",14782.71369)</f>
        <v>14782.71369</v>
      </c>
      <c r="C48" s="54" t="s">
        <v>28</v>
      </c>
      <c r="D48" s="54">
        <f>IF(6290.82386="","-",6290.82386/255220.70381*100)</f>
        <v>2.4648564031400944</v>
      </c>
      <c r="E48" s="54">
        <f>IF(14782.71369="","-",14782.71369/316175.78086*100)</f>
        <v>4.675473133897521</v>
      </c>
      <c r="F48" s="54">
        <f>IF(OR(313138.53701="",11560.60432="",6290.82386=""),"-",(6290.82386-11560.60432)/313138.53701*100)</f>
        <v>-1.682891064868107</v>
      </c>
      <c r="G48" s="54">
        <f>IF(OR(255220.70381="",14782.71369="",6290.82386=""),"-",(14782.71369-6290.82386)/255220.70381*100)</f>
        <v>3.3272731025464997</v>
      </c>
    </row>
    <row r="49" spans="1:7" s="25" customFormat="1" ht="15">
      <c r="A49" s="50" t="s">
        <v>127</v>
      </c>
      <c r="B49" s="54">
        <f>IF(4866.04872="","-",4866.04872)</f>
        <v>4866.04872</v>
      </c>
      <c r="C49" s="54" t="s">
        <v>197</v>
      </c>
      <c r="D49" s="54">
        <f>IF(2294.69536="","-",2294.69536/255220.70381*100)</f>
        <v>0.8991023556256214</v>
      </c>
      <c r="E49" s="54">
        <f>IF(4866.04872="","-",4866.04872/316175.78086*100)</f>
        <v>1.539032719952274</v>
      </c>
      <c r="F49" s="54">
        <f>IF(OR(313138.53701="",5075.12656="",2294.69536=""),"-",(2294.69536-5075.12656)/313138.53701*100)</f>
        <v>-0.8879236731923569</v>
      </c>
      <c r="G49" s="54">
        <f>IF(OR(255220.70381="",4866.04872="",2294.69536=""),"-",(4866.04872-2294.69536)/255220.70381*100)</f>
        <v>1.0075018686235788</v>
      </c>
    </row>
    <row r="50" spans="1:7" s="25" customFormat="1" ht="15">
      <c r="A50" s="50" t="s">
        <v>155</v>
      </c>
      <c r="B50" s="54">
        <f>IF(3432.53808="","-",3432.53808)</f>
        <v>3432.53808</v>
      </c>
      <c r="C50" s="54" t="s">
        <v>241</v>
      </c>
      <c r="D50" s="54">
        <f>IF(618.01051="","-",618.01051/255220.70381*100)</f>
        <v>0.2421474828547139</v>
      </c>
      <c r="E50" s="54">
        <f>IF(3432.53808="","-",3432.53808/316175.78086*100)</f>
        <v>1.0856423191755789</v>
      </c>
      <c r="F50" s="54">
        <f>IF(OR(313138.53701="",2797.49747="",618.01051=""),"-",(618.01051-2797.49747)/313138.53701*100)</f>
        <v>-0.6960136496806838</v>
      </c>
      <c r="G50" s="54">
        <f>IF(OR(255220.70381="",3432.53808="",618.01051=""),"-",(3432.53808-618.01051)/255220.70381*100)</f>
        <v>1.1027818386141923</v>
      </c>
    </row>
    <row r="51" spans="1:7" s="25" customFormat="1" ht="15">
      <c r="A51" s="50" t="s">
        <v>153</v>
      </c>
      <c r="B51" s="54">
        <f>IF(2706.56461="","-",2706.56461)</f>
        <v>2706.56461</v>
      </c>
      <c r="C51" s="62">
        <f>IF(OR(1388.45236="",2706.56461=""),"-",2706.56461/1388.45236*100)</f>
        <v>194.93391980694247</v>
      </c>
      <c r="D51" s="54">
        <f>IF(1388.45236="","-",1388.45236/255220.70381*100)</f>
        <v>0.5440202692308373</v>
      </c>
      <c r="E51" s="54">
        <f>IF(2706.56461="","-",2706.56461/316175.78086*100)</f>
        <v>0.856031604520159</v>
      </c>
      <c r="F51" s="54">
        <f>IF(OR(313138.53701="",2026.40447="",1388.45236=""),"-",(1388.45236-2026.40447)/313138.53701*100)</f>
        <v>-0.20372839321901384</v>
      </c>
      <c r="G51" s="54">
        <f>IF(OR(255220.70381="",2706.56461="",1388.45236=""),"-",(2706.56461-1388.45236)/255220.70381*100)</f>
        <v>0.5164597661251156</v>
      </c>
    </row>
    <row r="52" spans="1:7" s="25" customFormat="1" ht="15">
      <c r="A52" s="50" t="s">
        <v>27</v>
      </c>
      <c r="B52" s="54">
        <f>IF(2424.54437="","-",2424.54437)</f>
        <v>2424.54437</v>
      </c>
      <c r="C52" s="54">
        <f>IF(OR(2240.44784="",2424.54437=""),"-",2424.54437/2240.44784*100)</f>
        <v>108.21695228575375</v>
      </c>
      <c r="D52" s="54">
        <f>IF(2240.44784="","-",2240.44784/255220.70381*100)</f>
        <v>0.8778472148042933</v>
      </c>
      <c r="E52" s="54">
        <f>IF(2424.54437="","-",2424.54437/316175.78086*100)</f>
        <v>0.7668343107765007</v>
      </c>
      <c r="F52" s="54">
        <f>IF(OR(313138.53701="",4426.55223="",2240.44784=""),"-",(2240.44784-4426.55223)/313138.53701*100)</f>
        <v>-0.6981269092185188</v>
      </c>
      <c r="G52" s="54">
        <f>IF(OR(255220.70381="",2424.54437="",2240.44784=""),"-",(2424.54437-2240.44784)/255220.70381*100)</f>
        <v>0.0721322867822869</v>
      </c>
    </row>
    <row r="53" spans="1:7" s="25" customFormat="1" ht="15">
      <c r="A53" s="50" t="s">
        <v>152</v>
      </c>
      <c r="B53" s="54">
        <f>IF(1950.78246="","-",1950.78246)</f>
        <v>1950.78246</v>
      </c>
      <c r="C53" s="54">
        <f>IF(OR(11310.62143="",1950.78246=""),"-",1950.78246/11310.62143*100)</f>
        <v>17.247349953962697</v>
      </c>
      <c r="D53" s="54">
        <f>IF(11310.62143="","-",11310.62143/255220.70381*100)</f>
        <v>4.431702154704594</v>
      </c>
      <c r="E53" s="54">
        <f>IF(1950.78246="","-",1950.78246/316175.78086*100)</f>
        <v>0.6169930077167392</v>
      </c>
      <c r="F53" s="54">
        <f>IF(OR(313138.53701="",1601.52714="",11310.62143=""),"-",(11310.62143-1601.52714)/313138.53701*100)</f>
        <v>3.100574711342521</v>
      </c>
      <c r="G53" s="54">
        <f>IF(OR(255220.70381="",1950.78246="",11310.62143=""),"-",(1950.78246-11310.62143)/255220.70381*100)</f>
        <v>-3.667350975165387</v>
      </c>
    </row>
    <row r="54" spans="1:7" s="25" customFormat="1" ht="15">
      <c r="A54" s="50" t="s">
        <v>154</v>
      </c>
      <c r="B54" s="54">
        <f>IF(1398.45073="","-",1398.45073)</f>
        <v>1398.45073</v>
      </c>
      <c r="C54" s="54">
        <f>IF(OR(1218.43299="",1398.45073=""),"-",1398.45073/1218.43299*100)</f>
        <v>114.77452937317463</v>
      </c>
      <c r="D54" s="54">
        <f>IF(1218.43299="","-",1218.43299/255220.70381*100)</f>
        <v>0.4774036635002256</v>
      </c>
      <c r="E54" s="54">
        <f>IF(1398.45073="","-",1398.45073/316175.78086*100)</f>
        <v>0.44230166086605555</v>
      </c>
      <c r="F54" s="54">
        <f>IF(OR(313138.53701="",664.11767="",1218.43299=""),"-",(1218.43299-664.11767)/313138.53701*100)</f>
        <v>0.1770191958143747</v>
      </c>
      <c r="G54" s="54">
        <f>IF(OR(255220.70381="",1398.45073="",1218.43299=""),"-",(1398.45073-1218.43299)/255220.70381*100)</f>
        <v>0.07053414449245264</v>
      </c>
    </row>
    <row r="55" spans="1:7" s="25" customFormat="1" ht="15">
      <c r="A55" s="50" t="s">
        <v>163</v>
      </c>
      <c r="B55" s="54">
        <f>IF(1070.50986="","-",1070.50986)</f>
        <v>1070.50986</v>
      </c>
      <c r="C55" s="54" t="s">
        <v>242</v>
      </c>
      <c r="D55" s="54">
        <f>IF(270.67381="","-",270.67381/255220.70381*100)</f>
        <v>0.10605480118160951</v>
      </c>
      <c r="E55" s="54">
        <f>IF(1070.50986="","-",1070.50986/316175.78086*100)</f>
        <v>0.3385806012997601</v>
      </c>
      <c r="F55" s="54">
        <f>IF(OR(313138.53701="",285.19364="",270.67381=""),"-",(270.67381-285.19364)/313138.53701*100)</f>
        <v>-0.0046368709960270165</v>
      </c>
      <c r="G55" s="54">
        <f>IF(OR(255220.70381="",1070.50986="",270.67381=""),"-",(1070.50986-270.67381)/255220.70381*100)</f>
        <v>0.31338995546201487</v>
      </c>
    </row>
    <row r="56" spans="1:7" s="25" customFormat="1" ht="15">
      <c r="A56" s="50" t="s">
        <v>156</v>
      </c>
      <c r="B56" s="54">
        <f>IF(1056.00631="","-",1056.00631)</f>
        <v>1056.00631</v>
      </c>
      <c r="C56" s="54" t="s">
        <v>212</v>
      </c>
      <c r="D56" s="54">
        <f>IF(178.79276="","-",178.79276/255220.70381*100)</f>
        <v>0.07005417559427425</v>
      </c>
      <c r="E56" s="54">
        <f>IF(1056.00631="","-",1056.00631/316175.78086*100)</f>
        <v>0.3339934219906587</v>
      </c>
      <c r="F56" s="54">
        <f>IF(OR(313138.53701="",456.27529="",178.79276=""),"-",(178.79276-456.27529)/313138.53701*100)</f>
        <v>-0.08861334432022933</v>
      </c>
      <c r="G56" s="54">
        <f>IF(OR(255220.70381="",1056.00631="",178.79276=""),"-",(1056.00631-178.79276)/255220.70381*100)</f>
        <v>0.3437078328304607</v>
      </c>
    </row>
    <row r="57" spans="1:7" s="25" customFormat="1" ht="15">
      <c r="A57" s="50" t="s">
        <v>172</v>
      </c>
      <c r="B57" s="54">
        <f>IF(924.315="","-",924.315)</f>
        <v>924.315</v>
      </c>
      <c r="C57" s="54" t="s">
        <v>213</v>
      </c>
      <c r="D57" s="54">
        <f>IF(244.25818="","-",244.25818/255220.70381*100)</f>
        <v>0.09570468866892512</v>
      </c>
      <c r="E57" s="54">
        <f>IF(924.315="","-",924.315/316175.78086*100)</f>
        <v>0.2923421261065151</v>
      </c>
      <c r="F57" s="54">
        <f>IF(OR(313138.53701="",111.01354="",244.25818=""),"-",(244.25818-111.01354)/313138.53701*100)</f>
        <v>0.04255133886499089</v>
      </c>
      <c r="G57" s="54">
        <f>IF(OR(255220.70381="",924.315="",244.25818=""),"-",(924.315-244.25818)/255220.70381*100)</f>
        <v>0.26645832796788727</v>
      </c>
    </row>
    <row r="58" spans="1:7" s="25" customFormat="1" ht="15">
      <c r="A58" s="50" t="s">
        <v>165</v>
      </c>
      <c r="B58" s="54">
        <f>IF(857.82052="","-",857.82052)</f>
        <v>857.82052</v>
      </c>
      <c r="C58" s="54" t="s">
        <v>214</v>
      </c>
      <c r="D58" s="54">
        <f>IF(110.92691="","-",110.92691/255220.70381*100)</f>
        <v>0.04346313145605145</v>
      </c>
      <c r="E58" s="54">
        <f>IF(857.82052="","-",857.82052/316175.78086*100)</f>
        <v>0.2713112679493423</v>
      </c>
      <c r="F58" s="54">
        <f>IF(OR(313138.53701="",650.42611="",110.92691=""),"-",(110.92691-650.42611)/313138.53701*100)</f>
        <v>-0.17228770535603904</v>
      </c>
      <c r="G58" s="54">
        <f>IF(OR(255220.70381="",857.82052="",110.92691=""),"-",(857.82052-110.92691)/255220.70381*100)</f>
        <v>0.2926461681400376</v>
      </c>
    </row>
    <row r="59" spans="1:7" s="25" customFormat="1" ht="15">
      <c r="A59" s="50" t="s">
        <v>158</v>
      </c>
      <c r="B59" s="54">
        <f>IF(803.56221="","-",803.56221)</f>
        <v>803.56221</v>
      </c>
      <c r="C59" s="54">
        <f>IF(OR(2234.51287="",803.56221=""),"-",803.56221/2234.51287*100)</f>
        <v>35.96140442010522</v>
      </c>
      <c r="D59" s="54">
        <f>IF(2234.51287="","-",2234.51287/255220.70381*100)</f>
        <v>0.8755217882572299</v>
      </c>
      <c r="E59" s="54">
        <f>IF(803.56221="","-",803.56221/316175.78086*100)</f>
        <v>0.2541504626996749</v>
      </c>
      <c r="F59" s="54">
        <f>IF(OR(313138.53701="",1304.17865="",2234.51287=""),"-",(2234.51287-1304.17865)/313138.53701*100)</f>
        <v>0.297099880737544</v>
      </c>
      <c r="G59" s="54">
        <f>IF(OR(255220.70381="",803.56221="",2234.51287=""),"-",(803.56221-2234.51287)/255220.70381*100)</f>
        <v>-0.5606718571959101</v>
      </c>
    </row>
    <row r="60" spans="1:7" s="25" customFormat="1" ht="15">
      <c r="A60" s="50" t="s">
        <v>157</v>
      </c>
      <c r="B60" s="54">
        <f>IF(543.8774="","-",543.8774)</f>
        <v>543.8774</v>
      </c>
      <c r="C60" s="54">
        <f>IF(OR(355.57913="",543.8774=""),"-",543.8774/355.57913*100)</f>
        <v>152.9553773304974</v>
      </c>
      <c r="D60" s="54">
        <f>IF(355.57913="","-",355.57913/255220.70381*100)</f>
        <v>0.13932221198822184</v>
      </c>
      <c r="E60" s="54">
        <f>IF(543.8774="","-",543.8774/316175.78086*100)</f>
        <v>0.17201741338968157</v>
      </c>
      <c r="F60" s="54">
        <f>IF(OR(313138.53701="",399.5431="",355.57913=""),"-",(355.57913-399.5431)/313138.53701*100)</f>
        <v>-0.014039782653323181</v>
      </c>
      <c r="G60" s="54">
        <f>IF(OR(255220.70381="",543.8774="",355.57913=""),"-",(543.8774-355.57913)/255220.70381*100)</f>
        <v>0.07377860306355838</v>
      </c>
    </row>
    <row r="61" spans="1:7" s="25" customFormat="1" ht="15">
      <c r="A61" s="50" t="s">
        <v>162</v>
      </c>
      <c r="B61" s="54">
        <f>IF(432.20487="","-",432.20487)</f>
        <v>432.20487</v>
      </c>
      <c r="C61" s="54">
        <f>IF(OR(1492.90152="",432.20487=""),"-",432.20487/1492.90152*100)</f>
        <v>28.950661795829646</v>
      </c>
      <c r="D61" s="54">
        <f>IF(1492.90152="","-",1492.90152/255220.70381*100)</f>
        <v>0.584945303305564</v>
      </c>
      <c r="E61" s="54">
        <f>IF(432.20487="","-",432.20487/316175.78086*100)</f>
        <v>0.13669765243384557</v>
      </c>
      <c r="F61" s="54">
        <f>IF(OR(313138.53701="",1568.93976="",1492.90152=""),"-",(1492.90152-1568.93976)/313138.53701*100)</f>
        <v>-0.02428261967563955</v>
      </c>
      <c r="G61" s="54">
        <f>IF(OR(255220.70381="",432.20487="",1492.90152=""),"-",(432.20487-1492.90152)/255220.70381*100)</f>
        <v>-0.4155997668549803</v>
      </c>
    </row>
    <row r="62" spans="1:7" s="25" customFormat="1" ht="15">
      <c r="A62" s="50" t="s">
        <v>125</v>
      </c>
      <c r="B62" s="54">
        <f>IF(419.94741="","-",419.94741)</f>
        <v>419.94741</v>
      </c>
      <c r="C62" s="54" t="s">
        <v>39</v>
      </c>
      <c r="D62" s="54">
        <f>IF(130.58229="","-",130.58229/255220.70381*100)</f>
        <v>0.05116445807516167</v>
      </c>
      <c r="E62" s="54">
        <f>IF(419.94741="","-",419.94741/316175.78086*100)</f>
        <v>0.1328208659302558</v>
      </c>
      <c r="F62" s="54">
        <f>IF(OR(313138.53701="",239.64295="",130.58229=""),"-",(130.58229-239.64295)/313138.53701*100)</f>
        <v>-0.034828246002987874</v>
      </c>
      <c r="G62" s="54">
        <f>IF(OR(255220.70381="",419.94741="",130.58229=""),"-",(419.94741-130.58229)/255220.70381*100)</f>
        <v>0.11337838806973077</v>
      </c>
    </row>
    <row r="63" spans="1:7" s="25" customFormat="1" ht="15">
      <c r="A63" s="50" t="s">
        <v>161</v>
      </c>
      <c r="B63" s="54">
        <f>IF(396.49482="","-",396.49482)</f>
        <v>396.49482</v>
      </c>
      <c r="C63" s="54">
        <f>IF(OR(452.41043="",396.49482=""),"-",396.49482/452.41043*100)</f>
        <v>87.64051262036554</v>
      </c>
      <c r="D63" s="54">
        <f>IF(452.41043="","-",452.41043/255220.70381*100)</f>
        <v>0.1772624333552495</v>
      </c>
      <c r="E63" s="54">
        <f>IF(396.49482="","-",396.49482/316175.78086*100)</f>
        <v>0.1254032864002207</v>
      </c>
      <c r="F63" s="54">
        <f>IF(OR(313138.53701="",305.47322="",452.41043=""),"-",(452.41043-305.47322)/313138.53701*100)</f>
        <v>0.046924026471806504</v>
      </c>
      <c r="G63" s="54">
        <f>IF(OR(255220.70381="",396.49482="",452.41043=""),"-",(396.49482-452.41043)/255220.70381*100)</f>
        <v>-0.021908728079375016</v>
      </c>
    </row>
    <row r="64" spans="1:7" s="25" customFormat="1" ht="15">
      <c r="A64" s="50" t="s">
        <v>209</v>
      </c>
      <c r="B64" s="54">
        <f>IF(186.33116="","-",186.33116)</f>
        <v>186.33116</v>
      </c>
      <c r="C64" s="54" t="str">
        <f>IF(OR(""="",186.33116=""),"-",186.33116/""*100)</f>
        <v>-</v>
      </c>
      <c r="D64" s="54" t="str">
        <f>IF(""="","-",""/255220.70381*100)</f>
        <v>-</v>
      </c>
      <c r="E64" s="54">
        <f>IF(186.33116="","-",186.33116/316175.78086*100)</f>
        <v>0.05893277451333501</v>
      </c>
      <c r="F64" s="54" t="str">
        <f>IF(OR(313138.53701="",""="",""=""),"-",(""-"")/313138.53701*100)</f>
        <v>-</v>
      </c>
      <c r="G64" s="54" t="str">
        <f>IF(OR(255220.70381="",186.33116="",""=""),"-",(186.33116-"")/255220.70381*100)</f>
        <v>-</v>
      </c>
    </row>
    <row r="65" spans="1:7" s="25" customFormat="1" ht="15">
      <c r="A65" s="50" t="s">
        <v>173</v>
      </c>
      <c r="B65" s="54">
        <f>IF(174.01047="","-",174.01047)</f>
        <v>174.01047</v>
      </c>
      <c r="C65" s="54" t="s">
        <v>215</v>
      </c>
      <c r="D65" s="54">
        <f>IF(24.72813="","-",24.72813/255220.70381*100)</f>
        <v>0.009688920072255951</v>
      </c>
      <c r="E65" s="54">
        <f>IF(174.01047="","-",174.01047/316175.78086*100)</f>
        <v>0.05503598964053809</v>
      </c>
      <c r="F65" s="54">
        <f>IF(OR(313138.53701="",139.74071="",24.72813=""),"-",(24.72813-139.74071)/313138.53701*100)</f>
        <v>-0.03672897660511428</v>
      </c>
      <c r="G65" s="54">
        <f>IF(OR(255220.70381="",174.01047="",24.72813=""),"-",(174.01047-24.72813)/255220.70381*100)</f>
        <v>0.05849146945035219</v>
      </c>
    </row>
    <row r="66" spans="1:7" s="25" customFormat="1" ht="15">
      <c r="A66" s="50" t="s">
        <v>166</v>
      </c>
      <c r="B66" s="54">
        <f>IF(157.74487="","-",157.74487)</f>
        <v>157.74487</v>
      </c>
      <c r="C66" s="54" t="s">
        <v>216</v>
      </c>
      <c r="D66" s="54">
        <f>IF(27.74853="","-",27.74853/255220.70381*100)</f>
        <v>0.010872366381630815</v>
      </c>
      <c r="E66" s="54">
        <f>IF(157.74487="","-",157.74487/316175.78086*100)</f>
        <v>0.049891509580820205</v>
      </c>
      <c r="F66" s="54">
        <f>IF(OR(313138.53701="",18.198="",27.74853=""),"-",(27.74853-18.198)/313138.53701*100)</f>
        <v>0.003049937606272653</v>
      </c>
      <c r="G66" s="54">
        <f>IF(OR(255220.70381="",157.74487="",27.74853=""),"-",(157.74487-27.74853)/255220.70381*100)</f>
        <v>0.050934872468957795</v>
      </c>
    </row>
    <row r="67" spans="1:7" s="25" customFormat="1" ht="15">
      <c r="A67" s="50" t="s">
        <v>128</v>
      </c>
      <c r="B67" s="54">
        <f>IF(151.75757="","-",151.75757)</f>
        <v>151.75757</v>
      </c>
      <c r="C67" s="54">
        <f>IF(OR(105.57422="",151.75757=""),"-",151.75757/105.57422*100)</f>
        <v>143.74491234697257</v>
      </c>
      <c r="D67" s="54">
        <f>IF(105.57422="","-",105.57422/255220.70381*100)</f>
        <v>0.04136585254407695</v>
      </c>
      <c r="E67" s="54">
        <f>IF(151.75757="","-",151.75757/316175.78086*100)</f>
        <v>0.047997847775442665</v>
      </c>
      <c r="F67" s="54">
        <f>IF(OR(313138.53701="",184.4679="",105.57422=""),"-",(105.57422-184.4679)/313138.53701*100)</f>
        <v>-0.025194497219446534</v>
      </c>
      <c r="G67" s="54">
        <f>IF(OR(255220.70381="",151.75757="",105.57422=""),"-",(151.75757-105.57422)/255220.70381*100)</f>
        <v>0.01809545593698439</v>
      </c>
    </row>
    <row r="68" spans="1:7" s="25" customFormat="1" ht="15">
      <c r="A68" s="50" t="s">
        <v>169</v>
      </c>
      <c r="B68" s="54">
        <f>IF(142.992="","-",142.992)</f>
        <v>142.992</v>
      </c>
      <c r="C68" s="54">
        <f>IF(OR(109.39152="",142.992=""),"-",142.992/109.39152*100)</f>
        <v>130.7157995427799</v>
      </c>
      <c r="D68" s="54">
        <f>IF(109.39152="","-",109.39152/255220.70381*100)</f>
        <v>0.04286153841243104</v>
      </c>
      <c r="E68" s="54">
        <f>IF(142.992="","-",142.992/316175.78086*100)</f>
        <v>0.045225475402025074</v>
      </c>
      <c r="F68" s="54">
        <f>IF(OR(313138.53701="",55.844="",109.39152=""),"-",(109.39152-55.844)/313138.53701*100)</f>
        <v>0.017100265113102312</v>
      </c>
      <c r="G68" s="54">
        <f>IF(OR(255220.70381="",142.992="",109.39152=""),"-",(142.992-109.39152)/255220.70381*100)</f>
        <v>0.013165264219713927</v>
      </c>
    </row>
    <row r="69" spans="1:7" s="25" customFormat="1" ht="15">
      <c r="A69" s="50" t="s">
        <v>194</v>
      </c>
      <c r="B69" s="54">
        <f>IF(86.95309="","-",86.95309)</f>
        <v>86.95309</v>
      </c>
      <c r="C69" s="54" t="s">
        <v>39</v>
      </c>
      <c r="D69" s="54">
        <f>IF(27.15895="","-",27.15895/255220.70381*100)</f>
        <v>0.010641358477021749</v>
      </c>
      <c r="E69" s="54">
        <f>IF(86.95309="","-",86.95309/316175.78086*100)</f>
        <v>0.02750150241219839</v>
      </c>
      <c r="F69" s="54">
        <f>IF(OR(313138.53701="",4.1334="",27.15895=""),"-",(27.15895-4.1334)/313138.53701*100)</f>
        <v>0.00735315117067967</v>
      </c>
      <c r="G69" s="54">
        <f>IF(OR(255220.70381="",86.95309="",27.15895=""),"-",(86.95309-27.15895)/255220.70381*100)</f>
        <v>0.023428404948100903</v>
      </c>
    </row>
    <row r="70" spans="1:7" s="25" customFormat="1" ht="15">
      <c r="A70" s="50" t="s">
        <v>184</v>
      </c>
      <c r="B70" s="54">
        <f>IF(84.35065="","-",84.35065)</f>
        <v>84.35065</v>
      </c>
      <c r="C70" s="54" t="str">
        <f>IF(OR(""="",84.35065=""),"-",84.35065/""*100)</f>
        <v>-</v>
      </c>
      <c r="D70" s="54" t="str">
        <f>IF(""="","-",""/255220.70381*100)</f>
        <v>-</v>
      </c>
      <c r="E70" s="54">
        <f>IF(84.35065="","-",84.35065/316175.78086*100)</f>
        <v>0.026678403314310074</v>
      </c>
      <c r="F70" s="54" t="str">
        <f>IF(OR(313138.53701="",14.35551="",""=""),"-",(""-14.35551)/313138.53701*100)</f>
        <v>-</v>
      </c>
      <c r="G70" s="54" t="str">
        <f>IF(OR(255220.70381="",84.35065="",""=""),"-",(84.35065-"")/255220.70381*100)</f>
        <v>-</v>
      </c>
    </row>
    <row r="71" spans="1:7" s="25" customFormat="1" ht="15">
      <c r="A71" s="50" t="s">
        <v>167</v>
      </c>
      <c r="B71" s="54">
        <f>IF(71.28018="","-",71.28018)</f>
        <v>71.28018</v>
      </c>
      <c r="C71" s="54">
        <f>IF(OR(116.52312="",71.28018=""),"-",71.28018/116.52312*100)</f>
        <v>61.172563865437176</v>
      </c>
      <c r="D71" s="54">
        <f>IF(116.52312="","-",116.52312/255220.70381*100)</f>
        <v>0.045655825824673715</v>
      </c>
      <c r="E71" s="54">
        <f>IF(71.28018="","-",71.28018/316175.78086*100)</f>
        <v>0.02254447820326955</v>
      </c>
      <c r="F71" s="54">
        <f>IF(OR(313138.53701="",82.73174="",116.52312=""),"-",(116.52312-82.73174)/313138.53701*100)</f>
        <v>0.010791191758975641</v>
      </c>
      <c r="G71" s="54">
        <f>IF(OR(255220.70381="",71.28018="",116.52312=""),"-",(71.28018-116.52312)/255220.70381*100)</f>
        <v>-0.01772698661378243</v>
      </c>
    </row>
    <row r="72" spans="1:7" s="25" customFormat="1" ht="15">
      <c r="A72" s="50" t="s">
        <v>174</v>
      </c>
      <c r="B72" s="54">
        <f>IF(67.93243="","-",67.93243)</f>
        <v>67.93243</v>
      </c>
      <c r="C72" s="54" t="s">
        <v>30</v>
      </c>
      <c r="D72" s="54">
        <f>IF(33.74711="","-",33.74711/255220.70381*100)</f>
        <v>0.013222716455293203</v>
      </c>
      <c r="E72" s="54">
        <f>IF(67.93243="","-",67.93243/316175.78086*100)</f>
        <v>0.021485652637663576</v>
      </c>
      <c r="F72" s="54">
        <f>IF(OR(313138.53701="",91.75228="",33.74711=""),"-",(33.74711-91.75228)/313138.53701*100)</f>
        <v>-0.01852380436910185</v>
      </c>
      <c r="G72" s="54">
        <f>IF(OR(255220.70381="",67.93243="",33.74711=""),"-",(67.93243-33.74711)/255220.70381*100)</f>
        <v>0.013394414908223662</v>
      </c>
    </row>
    <row r="73" spans="1:7" s="25" customFormat="1" ht="15">
      <c r="A73" s="50" t="s">
        <v>181</v>
      </c>
      <c r="B73" s="54">
        <f>IF(67.82829="","-",67.82829)</f>
        <v>67.82829</v>
      </c>
      <c r="C73" s="54">
        <f>IF(OR(85.31325="",67.82829=""),"-",67.82829/85.31325*100)</f>
        <v>79.50498896712995</v>
      </c>
      <c r="D73" s="54">
        <f>IF(85.31325="","-",85.31325/255220.70381*100)</f>
        <v>0.03342724501830061</v>
      </c>
      <c r="E73" s="54">
        <f>IF(67.82829="","-",67.82829/316175.78086*100)</f>
        <v>0.02145271526348623</v>
      </c>
      <c r="F73" s="54" t="str">
        <f>IF(OR(313138.53701="",""="",85.31325=""),"-",(85.31325-"")/313138.53701*100)</f>
        <v>-</v>
      </c>
      <c r="G73" s="54">
        <f>IF(OR(255220.70381="",67.82829="",85.31325=""),"-",(67.82829-85.31325)/255220.70381*100)</f>
        <v>-0.006850917554485213</v>
      </c>
    </row>
    <row r="74" spans="1:7" s="25" customFormat="1" ht="15">
      <c r="A74" s="50" t="s">
        <v>176</v>
      </c>
      <c r="B74" s="54">
        <f>IF(65.56586="","-",65.56586)</f>
        <v>65.56586</v>
      </c>
      <c r="C74" s="54">
        <f>IF(OR(60.33721="",65.56586=""),"-",65.56586/60.33721*100)</f>
        <v>108.66571391020565</v>
      </c>
      <c r="D74" s="54">
        <f>IF(60.33721="","-",60.33721/255220.70381*100)</f>
        <v>0.02364118940950741</v>
      </c>
      <c r="E74" s="54">
        <f>IF(65.56586="","-",65.56586/316175.78086*100)</f>
        <v>0.020737154446700653</v>
      </c>
      <c r="F74" s="54">
        <f>IF(OR(313138.53701="",78.02768="",60.33721=""),"-",(60.33721-78.02768)/313138.53701*100)</f>
        <v>-0.005649406862827319</v>
      </c>
      <c r="G74" s="54">
        <f>IF(OR(255220.70381="",65.56586="",60.33721=""),"-",(65.56586-60.33721)/255220.70381*100)</f>
        <v>0.0020486778391977517</v>
      </c>
    </row>
    <row r="75" spans="1:7" s="25" customFormat="1" ht="15">
      <c r="A75" s="50" t="s">
        <v>120</v>
      </c>
      <c r="B75" s="54">
        <f>IF(60.46913="","-",60.46913)</f>
        <v>60.46913</v>
      </c>
      <c r="C75" s="54">
        <f>IF(OR(210.10473="",60.46913=""),"-",60.46913/210.10473*100)</f>
        <v>28.78047057769713</v>
      </c>
      <c r="D75" s="54">
        <f>IF(210.10473="","-",210.10473/255220.70381*100)</f>
        <v>0.08232276099215416</v>
      </c>
      <c r="E75" s="54">
        <f>IF(60.46913="","-",60.46913/316175.78086*100)</f>
        <v>0.019125161906937846</v>
      </c>
      <c r="F75" s="54" t="str">
        <f>IF(OR(313138.53701="",""="",210.10473=""),"-",(210.10473-"")/313138.53701*100)</f>
        <v>-</v>
      </c>
      <c r="G75" s="54">
        <f>IF(OR(255220.70381="",60.46913="",210.10473=""),"-",(60.46913-210.10473)/255220.70381*100)</f>
        <v>-0.0586298829860593</v>
      </c>
    </row>
    <row r="76" spans="1:7" ht="15">
      <c r="A76" s="50" t="s">
        <v>164</v>
      </c>
      <c r="B76" s="54">
        <f>IF(55.69866="","-",55.69866)</f>
        <v>55.69866</v>
      </c>
      <c r="C76" s="54">
        <f>IF(OR(42.65709="",55.69866=""),"-",55.69866/42.65709*100)</f>
        <v>130.57304190229573</v>
      </c>
      <c r="D76" s="54">
        <f>IF(42.65709="","-",42.65709/255220.70381*100)</f>
        <v>0.01671380470440056</v>
      </c>
      <c r="E76" s="54">
        <f>IF(55.69866="","-",55.69866/316175.78086*100)</f>
        <v>0.017616358801581612</v>
      </c>
      <c r="F76" s="54">
        <f>IF(OR(313138.53701="",406.27967="",42.65709=""),"-",(42.65709-406.27967)/313138.53701*100)</f>
        <v>-0.11612195147618892</v>
      </c>
      <c r="G76" s="54">
        <f>IF(OR(255220.70381="",55.69866="",42.65709=""),"-",(55.69866-42.65709)/255220.70381*100)</f>
        <v>0.005109918515744257</v>
      </c>
    </row>
    <row r="77" spans="1:7" ht="15">
      <c r="A77" s="50" t="s">
        <v>210</v>
      </c>
      <c r="B77" s="54">
        <f>IF(54.56142="","-",54.56142)</f>
        <v>54.56142</v>
      </c>
      <c r="C77" s="54" t="s">
        <v>217</v>
      </c>
      <c r="D77" s="54">
        <f>IF(21.9411="","-",21.9411/255220.70381*100)</f>
        <v>0.008596912269442737</v>
      </c>
      <c r="E77" s="54">
        <f>IF(54.56142="","-",54.56142/316175.78086*100)</f>
        <v>0.017256672807636503</v>
      </c>
      <c r="F77" s="54" t="str">
        <f>IF(OR(313138.53701="",""="",21.9411=""),"-",(21.9411-"")/313138.53701*100)</f>
        <v>-</v>
      </c>
      <c r="G77" s="54">
        <f>IF(OR(255220.70381="",54.56142="",21.9411=""),"-",(54.56142-21.9411)/255220.70381*100)</f>
        <v>0.01278122014124854</v>
      </c>
    </row>
    <row r="78" spans="1:7" ht="15">
      <c r="A78" s="51" t="s">
        <v>160</v>
      </c>
      <c r="B78" s="55">
        <f>IF(51.83895="","-",51.83895)</f>
        <v>51.83895</v>
      </c>
      <c r="C78" s="55">
        <f>IF(OR(112.25227="",51.83895=""),"-",51.83895/112.25227*100)</f>
        <v>46.18075874991214</v>
      </c>
      <c r="D78" s="55">
        <f>IF(112.25227="","-",112.25227/255220.70381*100)</f>
        <v>0.04398243101921959</v>
      </c>
      <c r="E78" s="55">
        <f>IF(51.83895="","-",51.83895/316175.78086*100)</f>
        <v>0.016395610650188876</v>
      </c>
      <c r="F78" s="55" t="str">
        <f>IF(OR(313138.53701="",""="",112.25227=""),"-",(112.25227-"")/313138.53701*100)</f>
        <v>-</v>
      </c>
      <c r="G78" s="55">
        <f>IF(OR(255220.70381="",51.83895="",112.25227=""),"-",(51.83895-112.25227)/255220.70381*100)</f>
        <v>-0.023671010657887268</v>
      </c>
    </row>
    <row r="79" spans="1:7" ht="15">
      <c r="A79" s="67" t="s">
        <v>31</v>
      </c>
      <c r="B79" s="67"/>
      <c r="C79" s="67"/>
      <c r="D79" s="67"/>
      <c r="E79" s="67"/>
      <c r="F79" s="67"/>
      <c r="G79" s="67"/>
    </row>
  </sheetData>
  <sheetProtection/>
  <mergeCells count="10">
    <mergeCell ref="A79:G79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97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27.00390625" style="0" customWidth="1"/>
    <col min="2" max="3" width="11.25390625" style="0" customWidth="1"/>
    <col min="4" max="4" width="9.75390625" style="0" customWidth="1"/>
    <col min="5" max="5" width="9.625" style="0" customWidth="1"/>
    <col min="6" max="6" width="10.00390625" style="0" customWidth="1"/>
    <col min="7" max="7" width="9.75390625" style="0" customWidth="1"/>
  </cols>
  <sheetData>
    <row r="1" spans="1:7" ht="15.75">
      <c r="A1" s="68" t="s">
        <v>34</v>
      </c>
      <c r="B1" s="68"/>
      <c r="C1" s="68"/>
      <c r="D1" s="68"/>
      <c r="E1" s="68"/>
      <c r="F1" s="68"/>
      <c r="G1" s="68"/>
    </row>
    <row r="2" ht="15">
      <c r="A2" s="3"/>
    </row>
    <row r="3" spans="1:7" ht="56.25" customHeight="1">
      <c r="A3" s="69"/>
      <c r="B3" s="72" t="s">
        <v>203</v>
      </c>
      <c r="C3" s="73"/>
      <c r="D3" s="72" t="s">
        <v>0</v>
      </c>
      <c r="E3" s="73"/>
      <c r="F3" s="74" t="s">
        <v>251</v>
      </c>
      <c r="G3" s="75"/>
    </row>
    <row r="4" spans="1:7" ht="27" customHeight="1">
      <c r="A4" s="70"/>
      <c r="B4" s="76" t="s">
        <v>233</v>
      </c>
      <c r="C4" s="78" t="s">
        <v>206</v>
      </c>
      <c r="D4" s="80" t="s">
        <v>204</v>
      </c>
      <c r="E4" s="80"/>
      <c r="F4" s="80" t="s">
        <v>204</v>
      </c>
      <c r="G4" s="72"/>
    </row>
    <row r="5" spans="1:7" ht="31.5" customHeight="1">
      <c r="A5" s="71"/>
      <c r="B5" s="77"/>
      <c r="C5" s="79"/>
      <c r="D5" s="31">
        <v>2016</v>
      </c>
      <c r="E5" s="31">
        <v>2017</v>
      </c>
      <c r="F5" s="31" t="s">
        <v>2</v>
      </c>
      <c r="G5" s="32" t="s">
        <v>205</v>
      </c>
    </row>
    <row r="6" spans="1:7" s="4" customFormat="1" ht="13.5">
      <c r="A6" s="13" t="s">
        <v>33</v>
      </c>
      <c r="B6" s="41">
        <f>IF(599518.01338="","-",599518.01338)</f>
        <v>599518.01338</v>
      </c>
      <c r="C6" s="41">
        <f>IF(494274.03793="","-",599518.01338/494274.03793*100)</f>
        <v>121.29263675081089</v>
      </c>
      <c r="D6" s="41">
        <v>100</v>
      </c>
      <c r="E6" s="41">
        <v>100</v>
      </c>
      <c r="F6" s="41">
        <f>IF(573555.85568="","-",(494274.03793-573555.85568)/573555.85568*100)</f>
        <v>-13.822859092948253</v>
      </c>
      <c r="G6" s="41">
        <f>IF(494274.03793="","-",(599518.01338-494274.03793)/494274.03793*100)</f>
        <v>21.292636750810868</v>
      </c>
    </row>
    <row r="7" spans="1:7" ht="12.75" customHeight="1">
      <c r="A7" s="14" t="s">
        <v>3</v>
      </c>
      <c r="B7" s="42"/>
      <c r="C7" s="43"/>
      <c r="D7" s="44"/>
      <c r="E7" s="44"/>
      <c r="F7" s="45"/>
      <c r="G7" s="45"/>
    </row>
    <row r="8" spans="1:7" ht="15">
      <c r="A8" s="15" t="s">
        <v>4</v>
      </c>
      <c r="B8" s="38">
        <f>IF(273419.30507="","-",273419.30507)</f>
        <v>273419.30507</v>
      </c>
      <c r="C8" s="38">
        <f>IF(217382.24985="","-",273419.30507/217382.24985*100)</f>
        <v>125.7781190776465</v>
      </c>
      <c r="D8" s="38">
        <f>IF(217382.24985="","-",217382.24985/494274.03793*100)</f>
        <v>43.980106816936654</v>
      </c>
      <c r="E8" s="38">
        <f>IF(273419.30507="","-",273419.30507/599518.01338*100)</f>
        <v>45.60652039936208</v>
      </c>
      <c r="F8" s="38">
        <f>IF(573555.85568="","-",(217382.24985-242160.794)/573555.85568*100)</f>
        <v>-4.320162352910319</v>
      </c>
      <c r="G8" s="38">
        <f>IF(494274.03793="","-",(273419.30507-217382.24985)/494274.03793*100)</f>
        <v>11.337244305746053</v>
      </c>
    </row>
    <row r="9" spans="1:7" s="25" customFormat="1" ht="15">
      <c r="A9" s="20" t="s">
        <v>5</v>
      </c>
      <c r="B9" s="39">
        <f>IF(85050.64145="","-",85050.64145)</f>
        <v>85050.64145</v>
      </c>
      <c r="C9" s="39">
        <f>IF(OR(53249.3418="",85050.64145=""),"-",85050.64145/53249.3418*100)</f>
        <v>159.72148870767825</v>
      </c>
      <c r="D9" s="39">
        <f>IF(53249.3418="","-",53249.3418/494274.03793*100)</f>
        <v>10.77324271835238</v>
      </c>
      <c r="E9" s="39">
        <f>IF(85050.64145="","-",85050.64145/599518.01338*100)</f>
        <v>14.18650308278415</v>
      </c>
      <c r="F9" s="39">
        <f>IF(OR(573555.85568="",71266.87889="",53249.3418=""),"-",(53249.3418-71266.87889)/573555.85568*100)</f>
        <v>-3.141374447069093</v>
      </c>
      <c r="G9" s="39">
        <f>IF(OR(494274.03793="",85050.64145="",53249.3418=""),"-",(85050.64145-53249.3418)/494274.03793*100)</f>
        <v>6.433940933491586</v>
      </c>
    </row>
    <row r="10" spans="1:7" s="25" customFormat="1" ht="15">
      <c r="A10" s="20" t="s">
        <v>7</v>
      </c>
      <c r="B10" s="39">
        <f>IF(42973.18912="","-",42973.18912)</f>
        <v>42973.18912</v>
      </c>
      <c r="C10" s="39">
        <f>IF(OR(35324.76145="",42973.18912=""),"-",42973.18912/35324.76145*100)</f>
        <v>121.65174612948448</v>
      </c>
      <c r="D10" s="39">
        <f>IF(35324.76145="","-",35324.76145/494274.03793*100)</f>
        <v>7.146796865548248</v>
      </c>
      <c r="E10" s="39">
        <f>IF(42973.18912="","-",42973.18912/599518.01338*100)</f>
        <v>7.167956285036888</v>
      </c>
      <c r="F10" s="39">
        <f>IF(OR(573555.85568="",44032.23761="",35324.76145=""),"-",(35324.76145-44032.23761)/573555.85568*100)</f>
        <v>-1.5181566143504075</v>
      </c>
      <c r="G10" s="39">
        <f>IF(OR(494274.03793="",42973.18912="",35324.76145=""),"-",(42973.18912-35324.76145)/494274.03793*100)</f>
        <v>1.5474063137184617</v>
      </c>
    </row>
    <row r="11" spans="1:7" s="25" customFormat="1" ht="15">
      <c r="A11" s="20" t="s">
        <v>6</v>
      </c>
      <c r="B11" s="39">
        <f>IF(36257.20791="","-",36257.20791)</f>
        <v>36257.20791</v>
      </c>
      <c r="C11" s="39">
        <f>IF(OR(31651.3669="",36257.20791=""),"-",36257.20791/31651.3669*100)</f>
        <v>114.55179179007273</v>
      </c>
      <c r="D11" s="39">
        <f>IF(31651.3669="","-",31651.3669/494274.03793*100)</f>
        <v>6.403607001604751</v>
      </c>
      <c r="E11" s="39">
        <f>IF(36257.20791="","-",36257.20791/599518.01338*100)</f>
        <v>6.047726190175147</v>
      </c>
      <c r="F11" s="39">
        <f>IF(OR(573555.85568="",29113.60043="",31651.3669=""),"-",(31651.3669-29113.60043)/573555.85568*100)</f>
        <v>0.44246195812808164</v>
      </c>
      <c r="G11" s="39">
        <f>IF(OR(494274.03793="",36257.20791="",31651.3669=""),"-",(36257.20791-31651.3669)/494274.03793*100)</f>
        <v>0.9318395579280424</v>
      </c>
    </row>
    <row r="12" spans="1:7" s="25" customFormat="1" ht="15">
      <c r="A12" s="20" t="s">
        <v>8</v>
      </c>
      <c r="B12" s="39">
        <f>IF(16466.63178="","-",16466.63178)</f>
        <v>16466.63178</v>
      </c>
      <c r="C12" s="39">
        <f>IF(OR(15621.08501="",16466.63178=""),"-",16466.63178/15621.08501*100)</f>
        <v>105.4128555696273</v>
      </c>
      <c r="D12" s="39">
        <f>IF(15621.08501="","-",15621.08501/494274.03793*100)</f>
        <v>3.160409774994552</v>
      </c>
      <c r="E12" s="39">
        <f>IF(16466.63178="","-",16466.63178/599518.01338*100)</f>
        <v>2.7466450402654954</v>
      </c>
      <c r="F12" s="39">
        <f>IF(OR(573555.85568="",14300.74957="",15621.08501=""),"-",(15621.08501-14300.74957)/573555.85568*100)</f>
        <v>0.23020171913939036</v>
      </c>
      <c r="G12" s="39">
        <f>IF(OR(494274.03793="",16466.63178="",15621.08501=""),"-",(16466.63178-15621.08501)/494274.03793*100)</f>
        <v>0.17106841652883797</v>
      </c>
    </row>
    <row r="13" spans="1:7" s="25" customFormat="1" ht="15">
      <c r="A13" s="20" t="s">
        <v>134</v>
      </c>
      <c r="B13" s="39">
        <f>IF(13520.12999="","-",13520.12999)</f>
        <v>13520.12999</v>
      </c>
      <c r="C13" s="39">
        <f>IF(OR(9067.45457="",13520.12999=""),"-",13520.12999/9067.45457*100)</f>
        <v>149.10612328549</v>
      </c>
      <c r="D13" s="39">
        <f>IF(9067.45457="","-",9067.45457/494274.03793*100)</f>
        <v>1.8344994626814992</v>
      </c>
      <c r="E13" s="39">
        <f>IF(13520.12999="","-",13520.12999/599518.01338*100)</f>
        <v>2.255166598543948</v>
      </c>
      <c r="F13" s="39">
        <f>IF(OR(573555.85568="",9002.92969="",9067.45457=""),"-",(9067.45457-9002.92969)/573555.85568*100)</f>
        <v>0.011249973191102583</v>
      </c>
      <c r="G13" s="39">
        <f>IF(OR(494274.03793="",13520.12999="",9067.45457=""),"-",(13520.12999-9067.45457)/494274.03793*100)</f>
        <v>0.9008515678160292</v>
      </c>
    </row>
    <row r="14" spans="1:7" s="25" customFormat="1" ht="15">
      <c r="A14" s="20" t="s">
        <v>137</v>
      </c>
      <c r="B14" s="39">
        <f>IF(12488.69121="","-",12488.69121)</f>
        <v>12488.69121</v>
      </c>
      <c r="C14" s="39">
        <f>IF(OR(8292.41083="",12488.69121=""),"-",12488.69121/8292.41083*100)</f>
        <v>150.60386497999883</v>
      </c>
      <c r="D14" s="39">
        <f>IF(8292.41083="","-",8292.41083/494274.03793*100)</f>
        <v>1.6776950018917214</v>
      </c>
      <c r="E14" s="39">
        <f>IF(12488.69121="","-",12488.69121/599518.01338*100)</f>
        <v>2.083121929830011</v>
      </c>
      <c r="F14" s="39">
        <f>IF(OR(573555.85568="",8619.71715="",8292.41083=""),"-",(8292.41083-8619.71715)/573555.85568*100)</f>
        <v>-0.05706616308745549</v>
      </c>
      <c r="G14" s="39">
        <f>IF(OR(494274.03793="",12488.69121="",8292.41083=""),"-",(12488.69121-8292.41083)/494274.03793*100)</f>
        <v>0.8489785135334753</v>
      </c>
    </row>
    <row r="15" spans="1:7" s="25" customFormat="1" ht="15">
      <c r="A15" s="20" t="s">
        <v>10</v>
      </c>
      <c r="B15" s="39">
        <f>IF(9551.92326="","-",9551.92326)</f>
        <v>9551.92326</v>
      </c>
      <c r="C15" s="39">
        <f>IF(OR(7191.83387="",9551.92326=""),"-",9551.92326/7191.83387*100)</f>
        <v>132.81623898245022</v>
      </c>
      <c r="D15" s="39">
        <f>IF(7191.83387="","-",7191.83387/494274.03793*100)</f>
        <v>1.4550296633258575</v>
      </c>
      <c r="E15" s="39">
        <f>IF(9551.92326="","-",9551.92326/599518.01338*100)</f>
        <v>1.5932670990397055</v>
      </c>
      <c r="F15" s="39">
        <f>IF(OR(573555.85568="",6236.26273="",7191.83387=""),"-",(7191.83387-6236.26273)/573555.85568*100)</f>
        <v>0.16660472219694938</v>
      </c>
      <c r="G15" s="39">
        <f>IF(OR(494274.03793="",9551.92326="",7191.83387=""),"-",(9551.92326-7191.83387)/494274.03793*100)</f>
        <v>0.47748601158255444</v>
      </c>
    </row>
    <row r="16" spans="1:7" s="25" customFormat="1" ht="15">
      <c r="A16" s="20" t="s">
        <v>11</v>
      </c>
      <c r="B16" s="39">
        <f>IF(8044.1312="","-",8044.1312)</f>
        <v>8044.1312</v>
      </c>
      <c r="C16" s="39">
        <f>IF(OR(10641.9946="",8044.1312=""),"-",8044.1312/10641.9946*100)</f>
        <v>75.58856682750054</v>
      </c>
      <c r="D16" s="39">
        <f>IF(10641.9946="","-",10641.9946/494274.03793*100)</f>
        <v>2.1530555488142267</v>
      </c>
      <c r="E16" s="39">
        <f>IF(8044.1312="","-",8044.1312/599518.01338*100)</f>
        <v>1.3417663890778353</v>
      </c>
      <c r="F16" s="39">
        <f>IF(OR(573555.85568="",11689.67728="",10641.9946=""),"-",(10641.9946-11689.67728)/573555.85568*100)</f>
        <v>-0.1826644553664057</v>
      </c>
      <c r="G16" s="39">
        <f>IF(OR(494274.03793="",8044.1312="",10641.9946=""),"-",(8044.1312-10641.9946)/494274.03793*100)</f>
        <v>-0.5255917164655762</v>
      </c>
    </row>
    <row r="17" spans="1:7" s="25" customFormat="1" ht="27">
      <c r="A17" s="20" t="s">
        <v>129</v>
      </c>
      <c r="B17" s="39">
        <f>IF(7746.35415="","-",7746.35415)</f>
        <v>7746.35415</v>
      </c>
      <c r="C17" s="39">
        <f>IF(OR(8538.76361="",7746.35415=""),"-",7746.35415/8538.76361*100)</f>
        <v>90.7198571573994</v>
      </c>
      <c r="D17" s="39">
        <f>IF(8538.76361="","-",8538.76361/494274.03793*100)</f>
        <v>1.727536337081349</v>
      </c>
      <c r="E17" s="39">
        <f>IF(7746.35415="","-",7746.35415/599518.01338*100)</f>
        <v>1.2920969807607818</v>
      </c>
      <c r="F17" s="39">
        <f>IF(OR(573555.85568="",7728.80156="",8538.76361=""),"-",(8538.76361-7728.80156)/573555.85568*100)</f>
        <v>0.14121764113797078</v>
      </c>
      <c r="G17" s="39">
        <f>IF(OR(494274.03793="",7746.35415="",8538.76361=""),"-",(7746.35415-8538.76361)/494274.03793*100)</f>
        <v>-0.16031783973897945</v>
      </c>
    </row>
    <row r="18" spans="1:7" s="25" customFormat="1" ht="15">
      <c r="A18" s="20" t="s">
        <v>135</v>
      </c>
      <c r="B18" s="39">
        <f>IF(6622.55364="","-",6622.55364)</f>
        <v>6622.55364</v>
      </c>
      <c r="C18" s="39">
        <f>IF(OR(6679.27153="",6622.55364=""),"-",6622.55364/6679.27153*100)</f>
        <v>99.15083718718051</v>
      </c>
      <c r="D18" s="39">
        <f>IF(6679.27153="","-",6679.27153/494274.03793*100)</f>
        <v>1.3513296304156543</v>
      </c>
      <c r="E18" s="39">
        <f>IF(6622.55364="","-",6622.55364/599518.01338*100)</f>
        <v>1.104646314572427</v>
      </c>
      <c r="F18" s="39">
        <f>IF(OR(573555.85568="",5972.83767="",6679.27153=""),"-",(6679.27153-5972.83767)/573555.85568*100)</f>
        <v>0.12316740436072468</v>
      </c>
      <c r="G18" s="39">
        <f>IF(OR(494274.03793="",6622.55364="",6679.27153=""),"-",(6622.55364-6679.27153)/494274.03793*100)</f>
        <v>-0.011474988700100892</v>
      </c>
    </row>
    <row r="19" spans="1:7" s="25" customFormat="1" ht="15">
      <c r="A19" s="20" t="s">
        <v>13</v>
      </c>
      <c r="B19" s="39">
        <f>IF(6278.47991="","-",6278.47991)</f>
        <v>6278.47991</v>
      </c>
      <c r="C19" s="39">
        <f>IF(OR(5079.2992="",6278.47991=""),"-",6278.47991/5079.2992*100)</f>
        <v>123.6091764391434</v>
      </c>
      <c r="D19" s="39">
        <f>IF(5079.2992="","-",5079.2992/494274.03793*100)</f>
        <v>1.0276281597293484</v>
      </c>
      <c r="E19" s="39">
        <f>IF(6278.47991="","-",6278.47991/599518.01338*100)</f>
        <v>1.0472545894997873</v>
      </c>
      <c r="F19" s="39">
        <f>IF(OR(573555.85568="",6743.7371="",5079.2992=""),"-",(5079.2992-6743.7371)/573555.85568*100)</f>
        <v>-0.2901963049486549</v>
      </c>
      <c r="G19" s="39">
        <f>IF(OR(494274.03793="",6278.47991="",5079.2992=""),"-",(6278.47991-5079.2992)/494274.03793*100)</f>
        <v>0.2426145453688243</v>
      </c>
    </row>
    <row r="20" spans="1:7" s="25" customFormat="1" ht="15">
      <c r="A20" s="20" t="s">
        <v>9</v>
      </c>
      <c r="B20" s="39">
        <f>IF(6133.5909="","-",6133.5909)</f>
        <v>6133.5909</v>
      </c>
      <c r="C20" s="39">
        <f>IF(OR(5402.05739="",6133.5909=""),"-",6133.5909/5402.05739*100)</f>
        <v>113.54175746733412</v>
      </c>
      <c r="D20" s="39">
        <f>IF(5402.05739="","-",5402.05739/494274.03793*100)</f>
        <v>1.0929276019884842</v>
      </c>
      <c r="E20" s="39">
        <f>IF(6133.5909="","-",6133.5909/599518.01338*100)</f>
        <v>1.023087007080848</v>
      </c>
      <c r="F20" s="39">
        <f>IF(OR(573555.85568="",6144.5233="",5402.05739=""),"-",(5402.05739-6144.5233)/573555.85568*100)</f>
        <v>-0.1294496259862507</v>
      </c>
      <c r="G20" s="39">
        <f>IF(OR(494274.03793="",6133.5909="",5402.05739=""),"-",(6133.5909-5402.05739)/494274.03793*100)</f>
        <v>0.1480016051548314</v>
      </c>
    </row>
    <row r="21" spans="1:7" s="25" customFormat="1" ht="15">
      <c r="A21" s="20" t="s">
        <v>136</v>
      </c>
      <c r="B21" s="39">
        <f>IF(4367.96241="","-",4367.96241)</f>
        <v>4367.96241</v>
      </c>
      <c r="C21" s="39">
        <f>IF(OR(3392.29087="",4367.96241=""),"-",4367.96241/3392.29087*100)</f>
        <v>128.76143518907622</v>
      </c>
      <c r="D21" s="39">
        <f>IF(3392.29087="","-",3392.29087/494274.03793*100)</f>
        <v>0.686317833768243</v>
      </c>
      <c r="E21" s="39">
        <f>IF(4367.96241="","-",4367.96241/599518.01338*100)</f>
        <v>0.7285790105578361</v>
      </c>
      <c r="F21" s="39">
        <f>IF(OR(573555.85568="",3685.96365="",3392.29087=""),"-",(3392.29087-3685.96365)/573555.85568*100)</f>
        <v>-0.051202123924238535</v>
      </c>
      <c r="G21" s="39">
        <f>IF(OR(494274.03793="",4367.96241="",3392.29087=""),"-",(4367.96241-3392.29087)/494274.03793*100)</f>
        <v>0.19739485895032519</v>
      </c>
    </row>
    <row r="22" spans="1:7" s="25" customFormat="1" ht="15">
      <c r="A22" s="20" t="s">
        <v>139</v>
      </c>
      <c r="B22" s="39">
        <f>IF(3201.66626="","-",3201.66626)</f>
        <v>3201.66626</v>
      </c>
      <c r="C22" s="39">
        <f>IF(OR(1893.36032="",3201.66626=""),"-",3201.66626/1893.36032*100)</f>
        <v>169.0996809313084</v>
      </c>
      <c r="D22" s="39">
        <f>IF(1893.36032="","-",1893.36032/494274.03793*100)</f>
        <v>0.3830588246004823</v>
      </c>
      <c r="E22" s="39">
        <f>IF(3201.66626="","-",3201.66626/599518.01338*100)</f>
        <v>0.534040043592593</v>
      </c>
      <c r="F22" s="39">
        <f>IF(OR(573555.85568="",1946.52997="",1893.36032=""),"-",(1893.36032-1946.52997)/573555.85568*100)</f>
        <v>-0.009270178217771456</v>
      </c>
      <c r="G22" s="39">
        <f>IF(OR(494274.03793="",3201.66626="",1893.36032=""),"-",(3201.66626-1893.36032)/494274.03793*100)</f>
        <v>0.26469242557815365</v>
      </c>
    </row>
    <row r="23" spans="1:7" s="25" customFormat="1" ht="15">
      <c r="A23" s="20" t="s">
        <v>12</v>
      </c>
      <c r="B23" s="39">
        <f>IF(2528.15862="","-",2528.15862)</f>
        <v>2528.15862</v>
      </c>
      <c r="C23" s="39">
        <f>IF(OR(2678.74656="",2528.15862=""),"-",2528.15862/2678.74656*100)</f>
        <v>94.37841779253652</v>
      </c>
      <c r="D23" s="39">
        <f>IF(2678.74656="","-",2678.74656/494274.03793*100)</f>
        <v>0.5419557481146459</v>
      </c>
      <c r="E23" s="39">
        <f>IF(2528.15862="","-",2528.15862/599518.01338*100)</f>
        <v>0.4216985250779355</v>
      </c>
      <c r="F23" s="39">
        <f>IF(OR(573555.85568="",2407.41633="",2678.74656=""),"-",(2678.74656-2407.41633)/573555.85568*100)</f>
        <v>0.04730667943025611</v>
      </c>
      <c r="G23" s="39">
        <f>IF(OR(494274.03793="",2528.15862="",2678.74656=""),"-",(2528.15862-2678.74656)/494274.03793*100)</f>
        <v>-0.0304664879083385</v>
      </c>
    </row>
    <row r="24" spans="1:7" s="25" customFormat="1" ht="15">
      <c r="A24" s="20" t="s">
        <v>145</v>
      </c>
      <c r="B24" s="39">
        <f>IF(2183.8126="","-",2183.8126)</f>
        <v>2183.8126</v>
      </c>
      <c r="C24" s="39">
        <f>IF(OR(1778.30031="",2183.8126=""),"-",2183.8126/1778.30031*100)</f>
        <v>122.80336384803307</v>
      </c>
      <c r="D24" s="39">
        <f>IF(1778.30031="","-",1778.30031/494274.03793*100)</f>
        <v>0.359780237992562</v>
      </c>
      <c r="E24" s="39">
        <f>IF(2183.8126="","-",2183.8126/599518.01338*100)</f>
        <v>0.36426138185372703</v>
      </c>
      <c r="F24" s="39">
        <f>IF(OR(573555.85568="",3010.33981="",1778.30031=""),"-",(1778.30031-3010.33981)/573555.85568*100)</f>
        <v>-0.21480723939943225</v>
      </c>
      <c r="G24" s="39">
        <f>IF(OR(494274.03793="",2183.8126="",1778.30031=""),"-",(2183.8126-1778.30031)/494274.03793*100)</f>
        <v>0.08204199672276324</v>
      </c>
    </row>
    <row r="25" spans="1:7" s="25" customFormat="1" ht="15">
      <c r="A25" s="20" t="s">
        <v>138</v>
      </c>
      <c r="B25" s="39">
        <f>IF(1775.32084="","-",1775.32084)</f>
        <v>1775.32084</v>
      </c>
      <c r="C25" s="39">
        <f>IF(OR(2970.74902="",1775.32084=""),"-",1775.32084/2970.74902*100)</f>
        <v>59.760041257204556</v>
      </c>
      <c r="D25" s="39">
        <f>IF(2970.74902="","-",2970.74902/494274.03793*100)</f>
        <v>0.6010327858694297</v>
      </c>
      <c r="E25" s="39">
        <f>IF(1775.32084="","-",1775.32084/599518.01338*100)</f>
        <v>0.2961246868948917</v>
      </c>
      <c r="F25" s="39">
        <f>IF(OR(573555.85568="",1025.98538="",2970.74902=""),"-",(2970.74902-1025.98538)/573555.85568*100)</f>
        <v>0.3390713599627215</v>
      </c>
      <c r="G25" s="39">
        <f>IF(OR(494274.03793="",1775.32084="",2970.74902=""),"-",(1775.32084-2970.74902)/494274.03793*100)</f>
        <v>-0.24185534506453257</v>
      </c>
    </row>
    <row r="26" spans="1:7" s="25" customFormat="1" ht="15">
      <c r="A26" s="20" t="s">
        <v>146</v>
      </c>
      <c r="B26" s="39">
        <f>IF(1708.54514="","-",1708.54514)</f>
        <v>1708.54514</v>
      </c>
      <c r="C26" s="39">
        <f>IF(OR(1803.79575="",1708.54514=""),"-",1708.54514/1803.79575*100)</f>
        <v>94.71943483623353</v>
      </c>
      <c r="D26" s="39">
        <f>IF(1803.79575="","-",1803.79575/494274.03793*100)</f>
        <v>0.364938396836343</v>
      </c>
      <c r="E26" s="39">
        <f>IF(1708.54514="","-",1708.54514/599518.01338*100)</f>
        <v>0.28498645609786727</v>
      </c>
      <c r="F26" s="39">
        <f>IF(OR(573555.85568="",521.94059="",1803.79575=""),"-",(1803.79575-521.94059)/573555.85568*100)</f>
        <v>0.22349264632304205</v>
      </c>
      <c r="G26" s="39">
        <f>IF(OR(494274.03793="",1708.54514="",1803.79575=""),"-",(1708.54514-1803.79575)/494274.03793*100)</f>
        <v>-0.019270809852547754</v>
      </c>
    </row>
    <row r="27" spans="1:7" s="25" customFormat="1" ht="15">
      <c r="A27" s="20" t="s">
        <v>143</v>
      </c>
      <c r="B27" s="39">
        <f>IF(1508.73079="","-",1508.73079)</f>
        <v>1508.73079</v>
      </c>
      <c r="C27" s="39">
        <f>IF(OR(1664.40107="",1508.73079=""),"-",1508.73079/1664.40107*100)</f>
        <v>90.64706921871904</v>
      </c>
      <c r="D27" s="39">
        <f>IF(1664.40107="","-",1664.40107/494274.03793*100)</f>
        <v>0.33673649479354517</v>
      </c>
      <c r="E27" s="39">
        <f>IF(1508.73079="","-",1508.73079/599518.01338*100)</f>
        <v>0.25165729074494086</v>
      </c>
      <c r="F27" s="39">
        <f>IF(OR(573555.85568="",1990.1253="",1664.40107=""),"-",(1664.40107-1990.1253)/573555.85568*100)</f>
        <v>-0.05679032421590846</v>
      </c>
      <c r="G27" s="39">
        <f>IF(OR(494274.03793="",1508.73079="",1664.40107=""),"-",(1508.73079-1664.40107)/494274.03793*100)</f>
        <v>-0.031494731273352075</v>
      </c>
    </row>
    <row r="28" spans="1:7" s="25" customFormat="1" ht="15">
      <c r="A28" s="20" t="s">
        <v>147</v>
      </c>
      <c r="B28" s="39">
        <f>IF(1418.25121="","-",1418.25121)</f>
        <v>1418.25121</v>
      </c>
      <c r="C28" s="64">
        <v>179.9350199469202</v>
      </c>
      <c r="D28" s="39">
        <f>IF(788.20188="","-",788.20188/494274.03793*100)</f>
        <v>0.15946657512115306</v>
      </c>
      <c r="E28" s="39">
        <f>IF(1418.25121="","-",1418.25121/599518.01338*100)</f>
        <v>0.23656523713175773</v>
      </c>
      <c r="F28" s="39">
        <f>IF(OR(573555.85568="",1547.84278="",788.20188=""),"-",(788.20188-1547.84278)/573555.85568*100)</f>
        <v>-0.1324441015599745</v>
      </c>
      <c r="G28" s="39">
        <f>IF(OR(494274.03793="",1418.25121="",788.20188=""),"-",(1418.25121-788.20188)/494274.03793*100)</f>
        <v>0.12746963863176416</v>
      </c>
    </row>
    <row r="29" spans="1:7" s="25" customFormat="1" ht="15">
      <c r="A29" s="20" t="s">
        <v>140</v>
      </c>
      <c r="B29" s="39">
        <f>IF(1046.85692="","-",1046.85692)</f>
        <v>1046.85692</v>
      </c>
      <c r="C29" s="39">
        <f>IF(OR(1288.55597="",1046.85692=""),"-",1046.85692/1288.55597*100)</f>
        <v>81.24264249072549</v>
      </c>
      <c r="D29" s="39">
        <f>IF(1288.55597="","-",1288.55597/494274.03793*100)</f>
        <v>0.26069667251721756</v>
      </c>
      <c r="E29" s="39">
        <f>IF(1046.85692="","-",1046.85692/599518.01338*100)</f>
        <v>0.1746164246338429</v>
      </c>
      <c r="F29" s="39">
        <f>IF(OR(573555.85568="",982.35221="",1288.55597=""),"-",(1288.55597-982.35221)/573555.85568*100)</f>
        <v>0.0533869120099853</v>
      </c>
      <c r="G29" s="39">
        <f>IF(OR(494274.03793="",1046.85692="",1288.55597=""),"-",(1046.85692-1288.55597)/494274.03793*100)</f>
        <v>-0.04889980687883709</v>
      </c>
    </row>
    <row r="30" spans="1:7" s="25" customFormat="1" ht="15">
      <c r="A30" s="20" t="s">
        <v>144</v>
      </c>
      <c r="B30" s="39">
        <f>IF(749.76532="","-",749.76532)</f>
        <v>749.76532</v>
      </c>
      <c r="C30" s="39">
        <f>IF(OR(925.67277="",749.76532=""),"-",749.76532/925.67277*100)</f>
        <v>80.99679976542899</v>
      </c>
      <c r="D30" s="39">
        <f>IF(925.67277="","-",925.67277/494274.03793*100)</f>
        <v>0.18727926190027716</v>
      </c>
      <c r="E30" s="39">
        <f>IF(749.76532="","-",749.76532/599518.01338*100)</f>
        <v>0.12506134982882772</v>
      </c>
      <c r="F30" s="39">
        <f>IF(OR(573555.85568="",892.1225="",925.67277=""),"-",(925.67277-892.1225)/573555.85568*100)</f>
        <v>0.0058495209608179005</v>
      </c>
      <c r="G30" s="39">
        <f>IF(OR(494274.03793="",749.76532="",925.67277=""),"-",(749.76532-925.67277)/494274.03793*100)</f>
        <v>-0.03558905313673634</v>
      </c>
    </row>
    <row r="31" spans="1:7" s="25" customFormat="1" ht="15">
      <c r="A31" s="20" t="s">
        <v>141</v>
      </c>
      <c r="B31" s="39">
        <f>IF(633.32336="","-",633.32336)</f>
        <v>633.32336</v>
      </c>
      <c r="C31" s="39">
        <f>IF(OR(511.7471="",633.32336=""),"-",633.32336/511.7471*100)</f>
        <v>123.75709798844</v>
      </c>
      <c r="D31" s="39">
        <f>IF(511.7471="","-",511.7471/494274.03793*100)</f>
        <v>0.10353509606597516</v>
      </c>
      <c r="E31" s="39">
        <f>IF(633.32336="","-",633.32336/599518.01338*100)</f>
        <v>0.10563875411005752</v>
      </c>
      <c r="F31" s="39">
        <f>IF(OR(573555.85568="",2237.24973="",511.7471=""),"-",(511.7471-2237.24973)/573555.85568*100)</f>
        <v>-0.30084299775028317</v>
      </c>
      <c r="G31" s="39">
        <f>IF(OR(494274.03793="",633.32336="",511.7471=""),"-",(633.32336-511.7471)/494274.03793*100)</f>
        <v>0.0245969342248192</v>
      </c>
    </row>
    <row r="32" spans="1:7" s="25" customFormat="1" ht="15">
      <c r="A32" s="20" t="s">
        <v>148</v>
      </c>
      <c r="B32" s="39">
        <f>IF(491.45024="","-",491.45024)</f>
        <v>491.45024</v>
      </c>
      <c r="C32" s="39">
        <f>IF(OR(665.2524="",491.45024=""),"-",491.45024/665.2524*100)</f>
        <v>73.87425283997473</v>
      </c>
      <c r="D32" s="39">
        <f>IF(665.2524="","-",665.2524/494274.03793*100)</f>
        <v>0.13459181525820182</v>
      </c>
      <c r="E32" s="39">
        <f>IF(491.45024="","-",491.45024/599518.01338*100)</f>
        <v>0.08197422413202753</v>
      </c>
      <c r="F32" s="39">
        <f>IF(OR(573555.85568="",691.12656="",665.2524=""),"-",(665.2524-691.12656)/573555.85568*100)</f>
        <v>-0.004511184001307776</v>
      </c>
      <c r="G32" s="39">
        <f>IF(OR(494274.03793="",491.45024="",665.2524=""),"-",(491.45024-665.2524)/494274.03793*100)</f>
        <v>-0.03516311735244612</v>
      </c>
    </row>
    <row r="33" spans="1:7" s="25" customFormat="1" ht="15">
      <c r="A33" s="20" t="s">
        <v>149</v>
      </c>
      <c r="B33" s="39">
        <f>IF(332.82604="","-",332.82604)</f>
        <v>332.82604</v>
      </c>
      <c r="C33" s="39" t="s">
        <v>245</v>
      </c>
      <c r="D33" s="39">
        <f>IF(66.143="","-",66.143/494274.03793*100)</f>
        <v>0.013381847907084955</v>
      </c>
      <c r="E33" s="39">
        <f>IF(332.82604="","-",332.82604/599518.01338*100)</f>
        <v>0.055515602963049034</v>
      </c>
      <c r="F33" s="39">
        <f>IF(OR(573555.85568="",83.29477="",66.143=""),"-",(66.143-83.29477)/573555.85568*100)</f>
        <v>-0.002990427145001439</v>
      </c>
      <c r="G33" s="39">
        <f>IF(OR(494274.03793="",332.82604="",66.143=""),"-",(332.82604-66.143)/494274.03793*100)</f>
        <v>0.0539544907349085</v>
      </c>
    </row>
    <row r="34" spans="1:7" s="25" customFormat="1" ht="15">
      <c r="A34" s="20" t="s">
        <v>126</v>
      </c>
      <c r="B34" s="39">
        <f>IF(157.21502="","-",157.21502)</f>
        <v>157.21502</v>
      </c>
      <c r="C34" s="39">
        <f>IF(OR(96.64042="",157.21502=""),"-",157.21502/96.64042*100)</f>
        <v>162.6803981191307</v>
      </c>
      <c r="D34" s="39">
        <f>IF(96.64042="","-",96.64042/494274.03793*100)</f>
        <v>0.01955199192834935</v>
      </c>
      <c r="E34" s="39">
        <f>IF(157.21502="","-",157.21502/599518.01338*100)</f>
        <v>0.02622356901565699</v>
      </c>
      <c r="F34" s="39">
        <f>IF(OR(573555.85568="",173.80209="",96.64042=""),"-",(96.64042-173.80209)/573555.85568*100)</f>
        <v>-0.013453209349334977</v>
      </c>
      <c r="G34" s="39">
        <f>IF(OR(494274.03793="",157.21502="",96.64042=""),"-",(157.21502-96.64042)/494274.03793*100)</f>
        <v>0.012255266380909673</v>
      </c>
    </row>
    <row r="35" spans="1:7" s="25" customFormat="1" ht="15">
      <c r="A35" s="20" t="s">
        <v>142</v>
      </c>
      <c r="B35" s="39">
        <f>IF(147.86859="","-",147.86859)</f>
        <v>147.86859</v>
      </c>
      <c r="C35" s="39">
        <f>IF(OR(99.24238="",147.86859=""),"-",147.86859/99.24238*100)</f>
        <v>148.99742428587467</v>
      </c>
      <c r="D35" s="39">
        <f>IF(99.24238="","-",99.24238/494274.03793*100)</f>
        <v>0.02007841245630119</v>
      </c>
      <c r="E35" s="39">
        <f>IF(147.86859="","-",147.86859/599518.01338*100)</f>
        <v>0.02466457832790332</v>
      </c>
      <c r="F35" s="39">
        <f>IF(OR(573555.85568="",110.39818="",99.24238=""),"-",(99.24238-110.39818)/573555.85568*100)</f>
        <v>-0.0019450241662643014</v>
      </c>
      <c r="G35" s="39">
        <f>IF(OR(494274.03793="",147.86859="",99.24238=""),"-",(147.86859-99.24238)/494274.03793*100)</f>
        <v>0.009837904941081804</v>
      </c>
    </row>
    <row r="36" spans="1:7" s="25" customFormat="1" ht="15">
      <c r="A36" s="20" t="s">
        <v>150</v>
      </c>
      <c r="B36" s="39">
        <f>IF(34.02719="","-",34.02719)</f>
        <v>34.02719</v>
      </c>
      <c r="C36" s="39">
        <f>IF(OR(19.50927="",34.02719=""),"-",34.02719/19.50927*100)</f>
        <v>174.41549581301607</v>
      </c>
      <c r="D36" s="39">
        <f>IF(19.50927="","-",19.50927/494274.03793*100)</f>
        <v>0.0039470553787741</v>
      </c>
      <c r="E36" s="39">
        <f>IF(34.02719="","-",34.02719/599518.01338*100)</f>
        <v>0.005675757732142089</v>
      </c>
      <c r="F36" s="39">
        <f>IF(OR(573555.85568="",2.35117="",19.50927=""),"-",(19.50927-2.35117)/573555.85568*100)</f>
        <v>0.002991530786423162</v>
      </c>
      <c r="G36" s="39">
        <f>IF(OR(494274.03793="",34.02719="",19.50927=""),"-",(34.02719-19.50927)/494274.03793*100)</f>
        <v>0.0029372208301290652</v>
      </c>
    </row>
    <row r="37" spans="1:7" s="25" customFormat="1" ht="15">
      <c r="A37" s="24" t="s">
        <v>15</v>
      </c>
      <c r="B37" s="38">
        <f>IF(167492.58353="","-",167492.58353)</f>
        <v>167492.58353</v>
      </c>
      <c r="C37" s="38">
        <f>IF(154467.18936="","-",167492.58353/154467.18936*100)</f>
        <v>108.43246661246819</v>
      </c>
      <c r="D37" s="38">
        <f>IF(154467.18936="","-",154467.18936/494274.03793*100)</f>
        <v>31.251325682996107</v>
      </c>
      <c r="E37" s="38">
        <f>IF(167492.58353="","-",167492.58353/599518.01338*100)</f>
        <v>27.937873390275612</v>
      </c>
      <c r="F37" s="38">
        <f>IF(573555.85568="","-",(154467.18936-184411.5465)/573555.85568*100)</f>
        <v>-5.220826680341077</v>
      </c>
      <c r="G37" s="38">
        <f>IF(494274.03793="","-",(167492.58353-154467.18936)/494274.03793*100)</f>
        <v>2.6352576041723426</v>
      </c>
    </row>
    <row r="38" spans="1:7" s="25" customFormat="1" ht="15">
      <c r="A38" s="20" t="s">
        <v>16</v>
      </c>
      <c r="B38" s="39">
        <f>IF(104675.23283="","-",104675.23283)</f>
        <v>104675.23283</v>
      </c>
      <c r="C38" s="39">
        <f>IF(OR(104095.87531="",104675.23283=""),"-",104675.23283/104095.87531*100)</f>
        <v>100.55656145670963</v>
      </c>
      <c r="D38" s="39">
        <f>IF(104095.87531="","-",104095.87531/494274.03793*100)</f>
        <v>21.060356668933977</v>
      </c>
      <c r="E38" s="39">
        <f>IF(104675.23283="","-",104675.23283/599518.01338*100)</f>
        <v>17.45989786693071</v>
      </c>
      <c r="F38" s="39">
        <f>IF(OR(573555.85568="",128171.107="",104095.87531=""),"-",(104095.87531-128171.107)/573555.85568*100)</f>
        <v>-4.197539167559667</v>
      </c>
      <c r="G38" s="39">
        <f>IF(OR(494274.03793="",104675.23283="",104095.87531=""),"-",(104675.23283-104095.87531)/494274.03793*100)</f>
        <v>0.11721382786486555</v>
      </c>
    </row>
    <row r="39" spans="1:7" s="25" customFormat="1" ht="15">
      <c r="A39" s="20" t="s">
        <v>18</v>
      </c>
      <c r="B39" s="39">
        <f>IF(44789.79626="","-",44789.79626)</f>
        <v>44789.79626</v>
      </c>
      <c r="C39" s="39">
        <f>IF(OR(37142.01645="",44789.79626=""),"-",44789.79626/37142.01645*100)</f>
        <v>120.59064246093187</v>
      </c>
      <c r="D39" s="39">
        <f>IF(37142.01645="","-",37142.01645/494274.03793*100)</f>
        <v>7.514458296363145</v>
      </c>
      <c r="E39" s="39">
        <f>IF(44789.79626="","-",44789.79626/599518.01338*100)</f>
        <v>7.470967553999136</v>
      </c>
      <c r="F39" s="39">
        <f>IF(OR(573555.85568="",42030.89145="",37142.01645=""),"-",(37142.01645-42030.89145)/573555.85568*100)</f>
        <v>-0.8523799297984355</v>
      </c>
      <c r="G39" s="39">
        <f>IF(OR(494274.03793="",44789.79626="",37142.01645=""),"-",(44789.79626-37142.01645)/494274.03793*100)</f>
        <v>1.5472752406799672</v>
      </c>
    </row>
    <row r="40" spans="1:7" s="25" customFormat="1" ht="15">
      <c r="A40" s="20" t="s">
        <v>17</v>
      </c>
      <c r="B40" s="39">
        <f>IF(16915.24902="","-",16915.24902)</f>
        <v>16915.24902</v>
      </c>
      <c r="C40" s="39">
        <f>IF(OR(11501.31999="",16915.24902=""),"-",16915.24902/11501.31999*100)</f>
        <v>147.0722407054775</v>
      </c>
      <c r="D40" s="39">
        <f>IF(11501.31999="","-",11501.31999/494274.03793*100)</f>
        <v>2.3269116132757186</v>
      </c>
      <c r="E40" s="39">
        <f>IF(16915.24902="","-",16915.24902/599518.01338*100)</f>
        <v>2.8214746917501534</v>
      </c>
      <c r="F40" s="39">
        <f>IF(OR(573555.85568="",8386.15808="",11501.31999=""),"-",(11501.31999-8386.15808)/573555.85568*100)</f>
        <v>0.5431313932462091</v>
      </c>
      <c r="G40" s="39">
        <f>IF(OR(494274.03793="",16915.24902="",11501.31999=""),"-",(16915.24902-11501.31999)/494274.03793*100)</f>
        <v>1.0953294356048557</v>
      </c>
    </row>
    <row r="41" spans="1:7" s="25" customFormat="1" ht="15">
      <c r="A41" s="20" t="s">
        <v>21</v>
      </c>
      <c r="B41" s="39">
        <f>IF(653.18921="","-",653.18921)</f>
        <v>653.18921</v>
      </c>
      <c r="C41" s="39">
        <f>IF(OR(579.48994="",653.18921=""),"-",653.18921/579.48994*100)</f>
        <v>112.71795503473278</v>
      </c>
      <c r="D41" s="39">
        <f>IF(579.48994="","-",579.48994/494274.03793*100)</f>
        <v>0.11724061867114867</v>
      </c>
      <c r="E41" s="39">
        <f>IF(653.18921="","-",653.18921/599518.01338*100)</f>
        <v>0.10895239099112455</v>
      </c>
      <c r="F41" s="39">
        <f>IF(OR(573555.85568="",4040.25508="",579.48994=""),"-",(579.48994-4040.25508)/573555.85568*100)</f>
        <v>-0.6033876397089458</v>
      </c>
      <c r="G41" s="39">
        <f>IF(OR(494274.03793="",653.18921="",579.48994=""),"-",(653.18921-579.48994)/494274.03793*100)</f>
        <v>0.014910609165039208</v>
      </c>
    </row>
    <row r="42" spans="1:7" s="25" customFormat="1" ht="15">
      <c r="A42" s="20" t="s">
        <v>19</v>
      </c>
      <c r="B42" s="39">
        <f>IF(378.53398="","-",378.53398)</f>
        <v>378.53398</v>
      </c>
      <c r="C42" s="39">
        <f>IF(OR(831.30046="",378.53398=""),"-",378.53398/831.30046*100)</f>
        <v>45.535158250724415</v>
      </c>
      <c r="D42" s="39">
        <f>IF(831.30046="","-",831.30046/494274.03793*100)</f>
        <v>0.16818614699680634</v>
      </c>
      <c r="E42" s="39">
        <f>IF(378.53398="","-",378.53398/599518.01338*100)</f>
        <v>0.06313971749837466</v>
      </c>
      <c r="F42" s="39">
        <f>IF(OR(573555.85568="",1584.02365="",831.30046=""),"-",(831.30046-1584.02365)/573555.85568*100)</f>
        <v>-0.13123799234994848</v>
      </c>
      <c r="G42" s="39">
        <f>IF(OR(494274.03793="",378.53398="",831.30046=""),"-",(378.53398-831.30046)/494274.03793*100)</f>
        <v>-0.09160231880601459</v>
      </c>
    </row>
    <row r="43" spans="1:7" s="25" customFormat="1" ht="15">
      <c r="A43" s="20" t="s">
        <v>24</v>
      </c>
      <c r="B43" s="39">
        <f>IF(44.01307="","-",44.01307)</f>
        <v>44.01307</v>
      </c>
      <c r="C43" s="39" t="s">
        <v>222</v>
      </c>
      <c r="D43" s="39">
        <f>IF(19.78983="","-",19.78983/494274.03793*100)</f>
        <v>0.004003817413287378</v>
      </c>
      <c r="E43" s="39">
        <f>IF(44.01307="","-",44.01307/599518.01338*100)</f>
        <v>0.007341409101598194</v>
      </c>
      <c r="F43" s="39">
        <f>IF(OR(573555.85568="",18.84315="",19.78983=""),"-",(19.78983-18.84315)/573555.85568*100)</f>
        <v>0.0001650545436202767</v>
      </c>
      <c r="G43" s="39">
        <f>IF(OR(494274.03793="",44.01307="",19.78983=""),"-",(44.01307-19.78983)/494274.03793*100)</f>
        <v>0.004900771260705087</v>
      </c>
    </row>
    <row r="44" spans="1:7" s="25" customFormat="1" ht="15">
      <c r="A44" s="20" t="s">
        <v>20</v>
      </c>
      <c r="B44" s="39">
        <f>IF(32.09394="","-",32.09394)</f>
        <v>32.09394</v>
      </c>
      <c r="C44" s="39">
        <f>IF(OR(232.07691="",32.09394=""),"-",32.09394/232.07691*100)</f>
        <v>13.829010391425845</v>
      </c>
      <c r="D44" s="39">
        <f>IF(232.07691="","-",232.07691/494274.03793*100)</f>
        <v>0.04695308516950007</v>
      </c>
      <c r="E44" s="39">
        <f>IF(32.09394="","-",32.09394/599518.01338*100)</f>
        <v>0.005353290357208583</v>
      </c>
      <c r="F44" s="39" t="str">
        <f>IF(OR(573555.85568="",""="",232.07691=""),"-",(232.07691-"")/573555.85568*100)</f>
        <v>-</v>
      </c>
      <c r="G44" s="39">
        <f>IF(OR(494274.03793="",32.09394="",232.07691=""),"-",(32.09394-232.07691)/494274.03793*100)</f>
        <v>-0.04045993814231488</v>
      </c>
    </row>
    <row r="45" spans="1:7" s="25" customFormat="1" ht="15">
      <c r="A45" s="20" t="s">
        <v>23</v>
      </c>
      <c r="B45" s="39">
        <f>IF(4.47522="","-",4.47522)</f>
        <v>4.47522</v>
      </c>
      <c r="C45" s="39" t="str">
        <f>IF(OR(""="",4.47522=""),"-",4.47522/""*100)</f>
        <v>-</v>
      </c>
      <c r="D45" s="39" t="str">
        <f>IF(""="","-",""/494274.03793*100)</f>
        <v>-</v>
      </c>
      <c r="E45" s="39">
        <f>IF(4.47522="","-",4.47522/599518.01338*100)</f>
        <v>0.0007464696473037276</v>
      </c>
      <c r="F45" s="39" t="str">
        <f>IF(OR(573555.85568="",""="",""=""),"-",(""-"")/573555.85568*100)</f>
        <v>-</v>
      </c>
      <c r="G45" s="39" t="str">
        <f>IF(OR(494274.03793="",4.47522="",""=""),"-",(4.47522-"")/494274.03793*100)</f>
        <v>-</v>
      </c>
    </row>
    <row r="46" spans="1:7" s="25" customFormat="1" ht="15">
      <c r="A46" s="24" t="s">
        <v>26</v>
      </c>
      <c r="B46" s="58">
        <f>IF(158606.12478="","-",158606.12478)</f>
        <v>158606.12478</v>
      </c>
      <c r="C46" s="61">
        <f>IF(122424.59872="","-",158606.12478/122424.59872*100)</f>
        <v>129.55413081871853</v>
      </c>
      <c r="D46" s="61">
        <f>IF(122424.59872="","-",122424.59872/494274.03793*100)</f>
        <v>24.768567500067242</v>
      </c>
      <c r="E46" s="61">
        <f>IF(158606.12478="","-",158606.12478/599518.01338*100)</f>
        <v>26.45560621036231</v>
      </c>
      <c r="F46" s="61">
        <f>IF(573555.85568="","-",(122424.59872-146983.51518)/573555.85568*100)</f>
        <v>-4.28187005969685</v>
      </c>
      <c r="G46" s="61">
        <f>IF(494274.03793="","-",(158606.12478-122424.59872)/494274.03793*100)</f>
        <v>7.320134840892475</v>
      </c>
    </row>
    <row r="47" spans="1:7" s="25" customFormat="1" ht="15">
      <c r="A47" s="20" t="s">
        <v>154</v>
      </c>
      <c r="B47" s="59">
        <f>IF(61290.11869="","-",61290.11869)</f>
        <v>61290.11869</v>
      </c>
      <c r="C47" s="62">
        <f>IF(OR(46145.22364="",61290.11869=""),"-",61290.11869/46145.22364*100)</f>
        <v>132.82007075781507</v>
      </c>
      <c r="D47" s="62">
        <f>IF(46145.22364="","-",46145.22364/494274.03793*100)</f>
        <v>9.335959427133652</v>
      </c>
      <c r="E47" s="62">
        <f>IF(61290.11869="","-",61290.11869/599518.01338*100)</f>
        <v>10.223232216902833</v>
      </c>
      <c r="F47" s="62">
        <f>IF(OR(573555.85568="",58121.34944="",46145.22364=""),"-",(46145.22364-58121.34944)/573555.85568*100)</f>
        <v>-2.088048736910073</v>
      </c>
      <c r="G47" s="62">
        <f>IF(OR(494274.03793="",61290.11869="",46145.22364=""),"-",(61290.11869-46145.22364)/494274.03793*100)</f>
        <v>3.064068489906171</v>
      </c>
    </row>
    <row r="48" spans="1:7" s="25" customFormat="1" ht="15">
      <c r="A48" s="20" t="s">
        <v>151</v>
      </c>
      <c r="B48" s="59">
        <f>IF(39451.1184="","-",39451.1184)</f>
        <v>39451.1184</v>
      </c>
      <c r="C48" s="62">
        <f>IF(OR(35662.80248="",39451.1184=""),"-",39451.1184/35662.80248*100)</f>
        <v>110.62259737474227</v>
      </c>
      <c r="D48" s="62">
        <f>IF(35662.80248="","-",35662.80248/494274.03793*100)</f>
        <v>7.2151882848944275</v>
      </c>
      <c r="E48" s="62">
        <f>IF(39451.1184="","-",39451.1184/599518.01338*100)</f>
        <v>6.58047256621699</v>
      </c>
      <c r="F48" s="62">
        <f>IF(OR(573555.85568="",35939.0236="",35662.80248=""),"-",(35662.80248-35939.0236)/573555.85568*100)</f>
        <v>-0.04815941067718993</v>
      </c>
      <c r="G48" s="62">
        <f>IF(OR(494274.03793="",39451.1184="",35662.80248=""),"-",(39451.1184-35662.80248)/494274.03793*100)</f>
        <v>0.7664404013339072</v>
      </c>
    </row>
    <row r="49" spans="1:7" s="25" customFormat="1" ht="15">
      <c r="A49" s="20" t="s">
        <v>27</v>
      </c>
      <c r="B49" s="59">
        <f>IF(15379.92177="","-",15379.92177)</f>
        <v>15379.92177</v>
      </c>
      <c r="C49" s="62" t="s">
        <v>217</v>
      </c>
      <c r="D49" s="62">
        <f>IF(6059.62027="","-",6059.62027/494274.03793*100)</f>
        <v>1.2259636972594088</v>
      </c>
      <c r="E49" s="62">
        <f>IF(15379.92177="","-",15379.92177/599518.01338*100)</f>
        <v>2.565381093937465</v>
      </c>
      <c r="F49" s="62">
        <f>IF(OR(573555.85568="",6637.92472="",6059.62027=""),"-",(6059.62027-6637.92472)/573555.85568*100)</f>
        <v>-0.10082792186200762</v>
      </c>
      <c r="G49" s="62">
        <f>IF(OR(494274.03793="",15379.92177="",6059.62027=""),"-",(15379.92177-6059.62027)/494274.03793*100)</f>
        <v>1.8856546742841387</v>
      </c>
    </row>
    <row r="50" spans="1:7" s="25" customFormat="1" ht="15">
      <c r="A50" s="20" t="s">
        <v>127</v>
      </c>
      <c r="B50" s="59">
        <f>IF(4572.84633="","-",4572.84633)</f>
        <v>4572.84633</v>
      </c>
      <c r="C50" s="62">
        <f>IF(OR(2588.09235="",4572.84633=""),"-",4572.84633/2588.09235*100)</f>
        <v>176.68791185136809</v>
      </c>
      <c r="D50" s="62">
        <f>IF(2588.09235="","-",2588.09235/494274.03793*100)</f>
        <v>0.5236148677439801</v>
      </c>
      <c r="E50" s="62">
        <f>IF(4572.84633="","-",4572.84633/599518.01338*100)</f>
        <v>0.7627537835300264</v>
      </c>
      <c r="F50" s="62">
        <f>IF(OR(573555.85568="",4182.55095="",2588.09235=""),"-",(2588.09235-4182.55095)/573555.85568*100)</f>
        <v>-0.2779953485279357</v>
      </c>
      <c r="G50" s="62">
        <f>IF(OR(494274.03793="",4572.84633="",2588.09235=""),"-",(4572.84633-2588.09235)/494274.03793*100)</f>
        <v>0.401549308216161</v>
      </c>
    </row>
    <row r="51" spans="1:7" s="25" customFormat="1" ht="15">
      <c r="A51" s="20" t="s">
        <v>169</v>
      </c>
      <c r="B51" s="59">
        <f>IF(4008.32982="","-",4008.32982)</f>
        <v>4008.32982</v>
      </c>
      <c r="C51" s="62" t="s">
        <v>39</v>
      </c>
      <c r="D51" s="62">
        <f>IF(1256.15958="","-",1256.15958/494274.03793*100)</f>
        <v>0.25414233473818415</v>
      </c>
      <c r="E51" s="62">
        <f>IF(4008.32982="","-",4008.32982/599518.01338*100)</f>
        <v>0.6685920573764895</v>
      </c>
      <c r="F51" s="62">
        <f>IF(OR(573555.85568="",1081.992="",1256.15958=""),"-",(1256.15958-1081.992)/573555.85568*100)</f>
        <v>0.03036628050698032</v>
      </c>
      <c r="G51" s="62">
        <f>IF(OR(494274.03793="",4008.32982="",1256.15958=""),"-",(4008.32982-1256.15958)/494274.03793*100)</f>
        <v>0.5568106007602542</v>
      </c>
    </row>
    <row r="52" spans="1:7" s="25" customFormat="1" ht="15">
      <c r="A52" s="20" t="s">
        <v>166</v>
      </c>
      <c r="B52" s="59">
        <f>IF(3928.24097="","-",3928.24097)</f>
        <v>3928.24097</v>
      </c>
      <c r="C52" s="62">
        <f>IF(OR(4176.28725="",3928.24097=""),"-",3928.24097/4176.28725*100)</f>
        <v>94.06060299132919</v>
      </c>
      <c r="D52" s="62">
        <f>IF(4176.28725="","-",4176.28725/494274.03793*100)</f>
        <v>0.8449335650907592</v>
      </c>
      <c r="E52" s="62">
        <f>IF(3928.24097="","-",3928.24097/599518.01338*100)</f>
        <v>0.6552331843797516</v>
      </c>
      <c r="F52" s="62">
        <f>IF(OR(573555.85568="",5140.95321="",4176.28725=""),"-",(4176.28725-5140.95321)/573555.85568*100)</f>
        <v>-0.1681904125721643</v>
      </c>
      <c r="G52" s="62">
        <f>IF(OR(494274.03793="",3928.24097="",4176.28725=""),"-",(3928.24097-4176.28725)/494274.03793*100)</f>
        <v>-0.050183958890256196</v>
      </c>
    </row>
    <row r="53" spans="1:7" s="25" customFormat="1" ht="15">
      <c r="A53" s="20" t="s">
        <v>120</v>
      </c>
      <c r="B53" s="59">
        <f>IF(3358.60136="","-",3358.60136)</f>
        <v>3358.60136</v>
      </c>
      <c r="C53" s="62">
        <f>IF(OR(2274.79348="",3358.60136=""),"-",3358.60136/2274.79348*100)</f>
        <v>147.64423186231394</v>
      </c>
      <c r="D53" s="62">
        <f>IF(2274.79348="","-",2274.79348/494274.03793*100)</f>
        <v>0.4602292059535929</v>
      </c>
      <c r="E53" s="62">
        <f>IF(3358.60136="","-",3358.60136/599518.01338*100)</f>
        <v>0.5602169217676493</v>
      </c>
      <c r="F53" s="62">
        <f>IF(OR(573555.85568="",5011.70734="",2274.79348=""),"-",(2274.79348-5011.70734)/573555.85568*100)</f>
        <v>-0.4771834918772038</v>
      </c>
      <c r="G53" s="62">
        <f>IF(OR(494274.03793="",3358.60136="",2274.79348=""),"-",(3358.60136-2274.79348)/494274.03793*100)</f>
        <v>0.21927266998261627</v>
      </c>
    </row>
    <row r="54" spans="1:7" s="25" customFormat="1" ht="15">
      <c r="A54" s="20" t="s">
        <v>173</v>
      </c>
      <c r="B54" s="59">
        <f>IF(2669.5529="","-",2669.5529)</f>
        <v>2669.5529</v>
      </c>
      <c r="C54" s="62">
        <f>IF(OR(3089.38505="",2669.5529=""),"-",2669.5529/3089.38505*100)</f>
        <v>86.41049454162408</v>
      </c>
      <c r="D54" s="62">
        <f>IF(3089.38505="","-",3089.38505/494274.03793*100)</f>
        <v>0.625034861822446</v>
      </c>
      <c r="E54" s="62">
        <f>IF(2669.5529="","-",2669.5529/599518.01338*100)</f>
        <v>0.44528318422818164</v>
      </c>
      <c r="F54" s="62">
        <f>IF(OR(573555.85568="",9033.95932="",3089.38505=""),"-",(3089.38505-9033.95932)/573555.85568*100)</f>
        <v>-1.0364420851308707</v>
      </c>
      <c r="G54" s="62">
        <f>IF(OR(494274.03793="",2669.5529="",3089.38505=""),"-",(2669.5529-3089.38505)/494274.03793*100)</f>
        <v>-0.08493914666411372</v>
      </c>
    </row>
    <row r="55" spans="1:7" s="25" customFormat="1" ht="15">
      <c r="A55" s="20" t="s">
        <v>167</v>
      </c>
      <c r="B55" s="59">
        <f>IF(2256.12632="","-",2256.12632)</f>
        <v>2256.12632</v>
      </c>
      <c r="C55" s="62">
        <f>IF(OR(1507.99513="",2256.12632=""),"-",2256.12632/1507.99513*100)</f>
        <v>149.6109818338737</v>
      </c>
      <c r="D55" s="62">
        <f>IF(1507.99513="","-",1507.99513/494274.03793*100)</f>
        <v>0.3050929270562993</v>
      </c>
      <c r="E55" s="62">
        <f>IF(2256.12632="","-",2256.12632/599518.01338*100)</f>
        <v>0.376323358038947</v>
      </c>
      <c r="F55" s="62">
        <f>IF(OR(573555.85568="",1780.28187="",1507.99513=""),"-",(1507.99513-1780.28187)/573555.85568*100)</f>
        <v>-0.04747344784357237</v>
      </c>
      <c r="G55" s="62">
        <f>IF(OR(494274.03793="",2256.12632="",1507.99513=""),"-",(2256.12632-1507.99513)/494274.03793*100)</f>
        <v>0.15135959661833415</v>
      </c>
    </row>
    <row r="56" spans="1:7" s="25" customFormat="1" ht="15">
      <c r="A56" s="20" t="s">
        <v>178</v>
      </c>
      <c r="B56" s="59">
        <f>IF(2028.61029="","-",2028.61029)</f>
        <v>2028.61029</v>
      </c>
      <c r="C56" s="62">
        <f>IF(OR(1743.51794="",2028.61029=""),"-",2028.61029/1743.51794*100)</f>
        <v>116.35155816062324</v>
      </c>
      <c r="D56" s="62">
        <f>IF(1743.51794="","-",1743.51794/494274.03793*100)</f>
        <v>0.35274317609352573</v>
      </c>
      <c r="E56" s="62">
        <f>IF(2028.61029="","-",2028.61029/599518.01338*100)</f>
        <v>0.33837353419340555</v>
      </c>
      <c r="F56" s="62">
        <f>IF(OR(573555.85568="",1268.2802="",1743.51794=""),"-",(1743.51794-1268.2802)/573555.85568*100)</f>
        <v>0.08285814455447668</v>
      </c>
      <c r="G56" s="62">
        <f>IF(OR(494274.03793="",2028.61029="",1743.51794=""),"-",(2028.61029-1743.51794)/494274.03793*100)</f>
        <v>0.05767900559656249</v>
      </c>
    </row>
    <row r="57" spans="1:7" s="25" customFormat="1" ht="15">
      <c r="A57" s="20" t="s">
        <v>163</v>
      </c>
      <c r="B57" s="59">
        <f>IF(1738.97098="","-",1738.97098)</f>
        <v>1738.97098</v>
      </c>
      <c r="C57" s="62">
        <f>IF(OR(1459.37337="",1738.97098=""),"-",1738.97098/1459.37337*100)</f>
        <v>119.15874413961657</v>
      </c>
      <c r="D57" s="62">
        <f>IF(1459.37337="","-",1459.37337/494274.03793*100)</f>
        <v>0.2952559224255026</v>
      </c>
      <c r="E57" s="62">
        <f>IF(1738.97098="","-",1738.97098/599518.01338*100)</f>
        <v>0.29006150627500266</v>
      </c>
      <c r="F57" s="62">
        <f>IF(OR(573555.85568="",1190.17273="",1459.37337=""),"-",(1459.37337-1190.17273)/573555.85568*100)</f>
        <v>0.046935383421522106</v>
      </c>
      <c r="G57" s="62">
        <f>IF(OR(494274.03793="",1738.97098="",1459.37337=""),"-",(1738.97098-1459.37337)/494274.03793*100)</f>
        <v>0.05656732673456687</v>
      </c>
    </row>
    <row r="58" spans="1:7" s="25" customFormat="1" ht="15">
      <c r="A58" s="20" t="s">
        <v>161</v>
      </c>
      <c r="B58" s="59">
        <f>IF(1526.66076="","-",1526.66076)</f>
        <v>1526.66076</v>
      </c>
      <c r="C58" s="62" t="s">
        <v>223</v>
      </c>
      <c r="D58" s="62">
        <f>IF(194.21351="","-",194.21351/494274.03793*100)</f>
        <v>0.039292678776607096</v>
      </c>
      <c r="E58" s="62">
        <f>IF(1526.66076="","-",1526.66076/599518.01338*100)</f>
        <v>0.25464802156533994</v>
      </c>
      <c r="F58" s="62">
        <f>IF(OR(573555.85568="",129.64527="",194.21351=""),"-",(194.21351-129.64527)/573555.85568*100)</f>
        <v>0.011257533047666086</v>
      </c>
      <c r="G58" s="62">
        <f>IF(OR(494274.03793="",1526.66076="",194.21351=""),"-",(1526.66076-194.21351)/494274.03793*100)</f>
        <v>0.26957662101376717</v>
      </c>
    </row>
    <row r="59" spans="1:7" s="25" customFormat="1" ht="15">
      <c r="A59" s="20" t="s">
        <v>168</v>
      </c>
      <c r="B59" s="59">
        <f>IF(1417.39577="","-",1417.39577)</f>
        <v>1417.39577</v>
      </c>
      <c r="C59" s="62">
        <f>IF(OR(897.81957="",1417.39577=""),"-",1417.39577/897.81957*100)</f>
        <v>157.87089270063473</v>
      </c>
      <c r="D59" s="62">
        <f>IF(897.81957="","-",897.81957/494274.03793*100)</f>
        <v>0.18164408831991918</v>
      </c>
      <c r="E59" s="62">
        <f>IF(1417.39577="","-",1417.39577/599518.01338*100)</f>
        <v>0.2364225491756149</v>
      </c>
      <c r="F59" s="62">
        <f>IF(OR(573555.85568="",770.26974="",897.81957=""),"-",(897.81957-770.26974)/573555.85568*100)</f>
        <v>0.022238432183519195</v>
      </c>
      <c r="G59" s="62">
        <f>IF(OR(494274.03793="",1417.39577="",897.81957=""),"-",(1417.39577-897.81957)/494274.03793*100)</f>
        <v>0.1051190554486666</v>
      </c>
    </row>
    <row r="60" spans="1:7" s="25" customFormat="1" ht="15">
      <c r="A60" s="20" t="s">
        <v>156</v>
      </c>
      <c r="B60" s="59">
        <f>IF(1333.09017="","-",1333.09017)</f>
        <v>1333.09017</v>
      </c>
      <c r="C60" s="62" t="s">
        <v>30</v>
      </c>
      <c r="D60" s="62">
        <f>IF(654.55039="","-",654.55039/494274.03793*100)</f>
        <v>0.13242661757862723</v>
      </c>
      <c r="E60" s="62">
        <f>IF(1333.09017="","-",1333.09017/599518.01338*100)</f>
        <v>0.22236031949802826</v>
      </c>
      <c r="F60" s="62">
        <f>IF(OR(573555.85568="",1408.032="",654.55039=""),"-",(654.55039-1408.032)/573555.85568*100)</f>
        <v>-0.13137022358645128</v>
      </c>
      <c r="G60" s="62">
        <f>IF(OR(494274.03793="",1333.09017="",654.55039=""),"-",(1333.09017-654.55039)/494274.03793*100)</f>
        <v>0.13728007702805867</v>
      </c>
    </row>
    <row r="61" spans="1:7" s="25" customFormat="1" ht="15">
      <c r="A61" s="20" t="s">
        <v>157</v>
      </c>
      <c r="B61" s="59">
        <f>IF(1083.35715="","-",1083.35715)</f>
        <v>1083.35715</v>
      </c>
      <c r="C61" s="62">
        <f>IF(OR(1799.28745="",1083.35715=""),"-",1083.35715/1799.28745*100)</f>
        <v>60.21034326671928</v>
      </c>
      <c r="D61" s="62">
        <f>IF(1799.28745="","-",1799.28745/494274.03793*100)</f>
        <v>0.36402629147493654</v>
      </c>
      <c r="E61" s="62">
        <f>IF(1083.35715="","-",1083.35715/599518.01338*100)</f>
        <v>0.1807046870688975</v>
      </c>
      <c r="F61" s="62">
        <f>IF(OR(573555.85568="",1500.67378="",1799.28745=""),"-",(1799.28745-1500.67378)/573555.85568*100)</f>
        <v>0.052063572717946996</v>
      </c>
      <c r="G61" s="62">
        <f>IF(OR(494274.03793="",1083.35715="",1799.28745=""),"-",(1083.35715-1799.28745)/494274.03793*100)</f>
        <v>-0.14484481179676917</v>
      </c>
    </row>
    <row r="62" spans="1:7" s="25" customFormat="1" ht="15">
      <c r="A62" s="20" t="s">
        <v>159</v>
      </c>
      <c r="B62" s="59">
        <f>IF(1001.77848="","-",1001.77848)</f>
        <v>1001.77848</v>
      </c>
      <c r="C62" s="62" t="s">
        <v>222</v>
      </c>
      <c r="D62" s="62">
        <f>IF(461.24891="","-",461.24891/494274.03793*100)</f>
        <v>0.09331845790074109</v>
      </c>
      <c r="E62" s="62">
        <f>IF(1001.77848="","-",1001.77848/599518.01338*100)</f>
        <v>0.16709731111365791</v>
      </c>
      <c r="F62" s="62">
        <f>IF(OR(573555.85568="",417.01147="",461.24891=""),"-",(461.24891-417.01147)/573555.85568*100)</f>
        <v>0.00771283904817827</v>
      </c>
      <c r="G62" s="62">
        <f>IF(OR(494274.03793="",1001.77848="",461.24891=""),"-",(1001.77848-461.24891)/494274.03793*100)</f>
        <v>0.10935827668872034</v>
      </c>
    </row>
    <row r="63" spans="1:7" s="25" customFormat="1" ht="15">
      <c r="A63" s="20" t="s">
        <v>162</v>
      </c>
      <c r="B63" s="59">
        <f>IF(923.14829="","-",923.14829)</f>
        <v>923.14829</v>
      </c>
      <c r="C63" s="62">
        <f>IF(OR(652.96674="",923.14829=""),"-",923.14829/652.96674*100)</f>
        <v>141.3775363198438</v>
      </c>
      <c r="D63" s="62">
        <f>IF(652.96674="","-",652.96674/494274.03793*100)</f>
        <v>0.13210621839144104</v>
      </c>
      <c r="E63" s="62">
        <f>IF(923.14829="","-",923.14829/599518.01338*100)</f>
        <v>0.1539817435668725</v>
      </c>
      <c r="F63" s="62">
        <f>IF(OR(573555.85568="",803.71626="",652.96674=""),"-",(652.96674-803.71626)/573555.85568*100)</f>
        <v>-0.026283319838357067</v>
      </c>
      <c r="G63" s="62">
        <f>IF(OR(494274.03793="",923.14829="",652.96674=""),"-",(923.14829-652.96674)/494274.03793*100)</f>
        <v>0.054662298495690695</v>
      </c>
    </row>
    <row r="64" spans="1:7" s="25" customFormat="1" ht="15">
      <c r="A64" s="20" t="s">
        <v>179</v>
      </c>
      <c r="B64" s="59">
        <f>IF(905.3933="","-",905.3933)</f>
        <v>905.3933</v>
      </c>
      <c r="C64" s="62">
        <f>IF(OR(865.82487="",905.3933=""),"-",905.3933/865.82487*100)</f>
        <v>104.57002696168797</v>
      </c>
      <c r="D64" s="62">
        <f>IF(865.82487="","-",865.82487/494274.03793*100)</f>
        <v>0.17517101922367603</v>
      </c>
      <c r="E64" s="62">
        <f>IF(905.3933="","-",905.3933/599518.01338*100)</f>
        <v>0.15102019952586865</v>
      </c>
      <c r="F64" s="62">
        <f>IF(OR(573555.85568="",379.90386="",865.82487=""),"-",(865.82487-379.90386)/573555.85568*100)</f>
        <v>0.08472078267318858</v>
      </c>
      <c r="G64" s="62">
        <f>IF(OR(494274.03793="",905.3933="",865.82487=""),"-",(905.3933-865.82487)/494274.03793*100)</f>
        <v>0.008005362807585632</v>
      </c>
    </row>
    <row r="65" spans="1:7" s="25" customFormat="1" ht="15">
      <c r="A65" s="20" t="s">
        <v>175</v>
      </c>
      <c r="B65" s="59">
        <f>IF(876.20542="","-",876.20542)</f>
        <v>876.20542</v>
      </c>
      <c r="C65" s="62">
        <f>IF(OR(776.89249="",876.20542=""),"-",876.20542/776.89249*100)</f>
        <v>112.78335564808974</v>
      </c>
      <c r="D65" s="62">
        <f>IF(776.89249="","-",776.89249/494274.03793*100)</f>
        <v>0.15717849419192534</v>
      </c>
      <c r="E65" s="62">
        <f>IF(876.20542="","-",876.20542/599518.01338*100)</f>
        <v>0.1461516418931392</v>
      </c>
      <c r="F65" s="62">
        <f>IF(OR(573555.85568="",740.72525="",776.89249=""),"-",(776.89249-740.72525)/573555.85568*100)</f>
        <v>0.006305792128496466</v>
      </c>
      <c r="G65" s="62">
        <f>IF(OR(494274.03793="",876.20542="",776.89249=""),"-",(876.20542-776.89249)/494274.03793*100)</f>
        <v>0.0200926859148659</v>
      </c>
    </row>
    <row r="66" spans="1:7" s="25" customFormat="1" ht="15">
      <c r="A66" s="20" t="s">
        <v>181</v>
      </c>
      <c r="B66" s="59">
        <f>IF(833.06585="","-",833.06585)</f>
        <v>833.06585</v>
      </c>
      <c r="C66" s="62">
        <f>IF(OR(550.03101="",833.06585=""),"-",833.06585/550.03101*100)</f>
        <v>151.4579787056006</v>
      </c>
      <c r="D66" s="62">
        <f>IF(550.03101="","-",550.03101/494274.03793*100)</f>
        <v>0.11128057874605513</v>
      </c>
      <c r="E66" s="62">
        <f>IF(833.06585="","-",833.06585/599518.01338*100)</f>
        <v>0.13895593316759397</v>
      </c>
      <c r="F66" s="62">
        <f>IF(OR(573555.85568="",725.78669="",550.03101=""),"-",(550.03101-725.78669)/573555.85568*100)</f>
        <v>-0.030643167227649766</v>
      </c>
      <c r="G66" s="62">
        <f>IF(OR(494274.03793="",833.06585="",550.03101=""),"-",(833.06585-550.03101)/494274.03793*100)</f>
        <v>0.05726273651461415</v>
      </c>
    </row>
    <row r="67" spans="1:7" s="25" customFormat="1" ht="15">
      <c r="A67" s="20" t="s">
        <v>182</v>
      </c>
      <c r="B67" s="59">
        <f>IF(613.37395="","-",613.37395)</f>
        <v>613.37395</v>
      </c>
      <c r="C67" s="62">
        <f>IF(OR(631.46836="",613.37395=""),"-",613.37395/631.46836*100)</f>
        <v>97.13455001925988</v>
      </c>
      <c r="D67" s="62">
        <f>IF(631.46836="","-",631.46836/494274.03793*100)</f>
        <v>0.12775673240790966</v>
      </c>
      <c r="E67" s="62">
        <f>IF(613.37395="","-",613.37395/599518.01338*100)</f>
        <v>0.10231117936588463</v>
      </c>
      <c r="F67" s="62">
        <f>IF(OR(573555.85568="",878.32694="",631.46836=""),"-",(631.46836-878.32694)/573555.85568*100)</f>
        <v>-0.04304002435949816</v>
      </c>
      <c r="G67" s="62">
        <f>IF(OR(494274.03793="",613.37395="",631.46836=""),"-",(613.37395-631.46836)/494274.03793*100)</f>
        <v>-0.003660805264176649</v>
      </c>
    </row>
    <row r="68" spans="1:7" s="25" customFormat="1" ht="15">
      <c r="A68" s="20" t="s">
        <v>184</v>
      </c>
      <c r="B68" s="59">
        <f>IF(567.92993="","-",567.92993)</f>
        <v>567.92993</v>
      </c>
      <c r="C68" s="62">
        <f>IF(OR(358.27335="",567.92993=""),"-",567.92993/358.27335*100)</f>
        <v>158.51860876618372</v>
      </c>
      <c r="D68" s="62">
        <f>IF(358.27335="","-",358.27335/494274.03793*100)</f>
        <v>0.0724847599725113</v>
      </c>
      <c r="E68" s="62">
        <f>IF(567.92993="","-",567.92993/599518.01338*100)</f>
        <v>0.09473108686060812</v>
      </c>
      <c r="F68" s="62">
        <f>IF(OR(573555.85568="",149.2825="",358.27335=""),"-",(358.27335-149.2825)/573555.85568*100)</f>
        <v>0.036437750208691236</v>
      </c>
      <c r="G68" s="62">
        <f>IF(OR(494274.03793="",567.92993="",358.27335=""),"-",(567.92993-358.27335)/494274.03793*100)</f>
        <v>0.04241707310342122</v>
      </c>
    </row>
    <row r="69" spans="1:7" s="25" customFormat="1" ht="15">
      <c r="A69" s="20" t="s">
        <v>180</v>
      </c>
      <c r="B69" s="59">
        <f>IF(505.20108="","-",505.20108)</f>
        <v>505.20108</v>
      </c>
      <c r="C69" s="62">
        <f>IF(OR(1159.38797="",505.20108=""),"-",505.20108/1159.38797*100)</f>
        <v>43.57480783589639</v>
      </c>
      <c r="D69" s="62">
        <f>IF(1159.38797="","-",1159.38797/494274.03793*100)</f>
        <v>0.23456380085336279</v>
      </c>
      <c r="E69" s="62">
        <f>IF(505.20108="","-",505.20108/599518.01338*100)</f>
        <v>0.08426787331238737</v>
      </c>
      <c r="F69" s="62">
        <f>IF(OR(573555.85568="",634.57038="",1159.38797=""),"-",(1159.38797-634.57038)/573555.85568*100)</f>
        <v>0.0915024377839859</v>
      </c>
      <c r="G69" s="62">
        <f>IF(OR(494274.03793="",505.20108="",1159.38797=""),"-",(505.20108-1159.38797)/494274.03793*100)</f>
        <v>-0.13235307537893526</v>
      </c>
    </row>
    <row r="70" spans="1:7" s="25" customFormat="1" ht="15">
      <c r="A70" s="20" t="s">
        <v>186</v>
      </c>
      <c r="B70" s="59">
        <f>IF(473.19752="","-",473.19752)</f>
        <v>473.19752</v>
      </c>
      <c r="C70" s="62" t="s">
        <v>246</v>
      </c>
      <c r="D70" s="62">
        <f>IF(185.22053="","-",185.22053/494274.03793*100)</f>
        <v>0.03747324677939715</v>
      </c>
      <c r="E70" s="62">
        <f>IF(473.19752="","-",473.19752/599518.01338*100)</f>
        <v>0.0789296583987823</v>
      </c>
      <c r="F70" s="62">
        <f>IF(OR(573555.85568="",191.42775="",185.22053=""),"-",(185.22053-191.42775)/573555.85568*100)</f>
        <v>-0.0010822346138617677</v>
      </c>
      <c r="G70" s="62">
        <f>IF(OR(494274.03793="",473.19752="",185.22053=""),"-",(473.19752-185.22053)/494274.03793*100)</f>
        <v>0.058262617070893745</v>
      </c>
    </row>
    <row r="71" spans="1:7" s="25" customFormat="1" ht="15">
      <c r="A71" s="20" t="s">
        <v>171</v>
      </c>
      <c r="B71" s="59">
        <f>IF(448.24582="","-",448.24582)</f>
        <v>448.24582</v>
      </c>
      <c r="C71" s="62">
        <f>IF(OR(454.73489="",448.24582=""),"-",448.24582/454.73489*100)</f>
        <v>98.57299931395191</v>
      </c>
      <c r="D71" s="62">
        <f>IF(454.73489="","-",454.73489/494274.03793*100)</f>
        <v>0.09200056145056933</v>
      </c>
      <c r="E71" s="62">
        <f>IF(448.24582="","-",448.24582/599518.01338*100)</f>
        <v>0.07476769838371523</v>
      </c>
      <c r="F71" s="62">
        <f>IF(OR(573555.85568="",603.03="",454.73489=""),"-",(454.73489-603.03)/573555.85568*100)</f>
        <v>-0.025855391158753547</v>
      </c>
      <c r="G71" s="62">
        <f>IF(OR(494274.03793="",448.24582="",454.73489=""),"-",(448.24582-454.73489)/494274.03793*100)</f>
        <v>-0.0013128486430677188</v>
      </c>
    </row>
    <row r="72" spans="1:7" s="25" customFormat="1" ht="15">
      <c r="A72" s="20" t="s">
        <v>183</v>
      </c>
      <c r="B72" s="59">
        <f>IF(400.42371="","-",400.42371)</f>
        <v>400.42371</v>
      </c>
      <c r="C72" s="62">
        <f>IF(OR(449.931="",400.42371=""),"-",400.42371/449.931*100)</f>
        <v>88.99669282623337</v>
      </c>
      <c r="D72" s="62">
        <f>IF(449.931="","-",449.931/494274.03793*100)</f>
        <v>0.09102865323137203</v>
      </c>
      <c r="E72" s="62">
        <f>IF(400.42371="","-",400.42371/599518.01338*100)</f>
        <v>0.06679093889814358</v>
      </c>
      <c r="F72" s="62">
        <f>IF(OR(573555.85568="",314.60333="",449.931=""),"-",(449.931-314.60333)/573555.85568*100)</f>
        <v>0.023594505863697844</v>
      </c>
      <c r="G72" s="62">
        <f>IF(OR(494274.03793="",400.42371="",449.931=""),"-",(400.42371-449.931)/494274.03793*100)</f>
        <v>-0.010016162331190712</v>
      </c>
    </row>
    <row r="73" spans="1:7" s="25" customFormat="1" ht="15">
      <c r="A73" s="20" t="s">
        <v>153</v>
      </c>
      <c r="B73" s="59">
        <f>IF(366.78725="","-",366.78725)</f>
        <v>366.78725</v>
      </c>
      <c r="C73" s="62" t="s">
        <v>213</v>
      </c>
      <c r="D73" s="62">
        <f>IF(97.46044="","-",97.46044/494274.03793*100)</f>
        <v>0.019717895847445367</v>
      </c>
      <c r="E73" s="62">
        <f>IF(366.78725="","-",366.78725/599518.01338*100)</f>
        <v>0.061180355187678837</v>
      </c>
      <c r="F73" s="62">
        <f>IF(OR(573555.85568="",401.41613="",97.46044=""),"-",(97.46044-401.41613)/573555.85568*100)</f>
        <v>-0.05299495890241314</v>
      </c>
      <c r="G73" s="62">
        <f>IF(OR(494274.03793="",366.78725="",97.46044=""),"-",(366.78725-97.46044)/494274.03793*100)</f>
        <v>0.054489370133201806</v>
      </c>
    </row>
    <row r="74" spans="1:7" s="25" customFormat="1" ht="15">
      <c r="A74" s="20" t="s">
        <v>165</v>
      </c>
      <c r="B74" s="59">
        <f>IF(326.21748="","-",326.21748)</f>
        <v>326.21748</v>
      </c>
      <c r="C74" s="62">
        <f>IF(OR(502.44347="",326.21748=""),"-",326.21748/502.44347*100)</f>
        <v>64.92620552915137</v>
      </c>
      <c r="D74" s="62">
        <f>IF(502.44347="","-",502.44347/494274.03793*100)</f>
        <v>0.10165281431818941</v>
      </c>
      <c r="E74" s="62">
        <f>IF(326.21748="","-",326.21748/599518.01338*100)</f>
        <v>0.05441329079685709</v>
      </c>
      <c r="F74" s="62">
        <f>IF(OR(573555.85568="",483.51539="",502.44347=""),"-",(502.44347-483.51539)/573555.85568*100)</f>
        <v>0.003300128455241572</v>
      </c>
      <c r="G74" s="62">
        <f>IF(OR(494274.03793="",326.21748="",502.44347=""),"-",(326.21748-502.44347)/494274.03793*100)</f>
        <v>-0.03565349916779514</v>
      </c>
    </row>
    <row r="75" spans="1:7" s="25" customFormat="1" ht="15">
      <c r="A75" s="20" t="s">
        <v>192</v>
      </c>
      <c r="B75" s="59">
        <f>IF(257.76943="","-",257.76943)</f>
        <v>257.76943</v>
      </c>
      <c r="C75" s="62" t="s">
        <v>28</v>
      </c>
      <c r="D75" s="62">
        <f>IF(112.05527="","-",112.05527/494274.03793*100)</f>
        <v>0.022670676871737593</v>
      </c>
      <c r="E75" s="62">
        <f>IF(257.76943="","-",257.76943/599518.01338*100)</f>
        <v>0.04299611091695668</v>
      </c>
      <c r="F75" s="62">
        <f>IF(OR(573555.85568="",300.52665="",112.05527=""),"-",(112.05527-300.52665)/573555.85568*100)</f>
        <v>-0.0328601614182024</v>
      </c>
      <c r="G75" s="62">
        <f>IF(OR(494274.03793="",257.76943="",112.05527=""),"-",(257.76943-112.05527)/494274.03793*100)</f>
        <v>0.02948043975974241</v>
      </c>
    </row>
    <row r="76" spans="1:7" s="25" customFormat="1" ht="15">
      <c r="A76" s="20" t="s">
        <v>170</v>
      </c>
      <c r="B76" s="59">
        <f>IF(243.86993="","-",243.86993)</f>
        <v>243.86993</v>
      </c>
      <c r="C76" s="62">
        <f>IF(OR(331.02169="",243.86993=""),"-",243.86993/331.02169*100)</f>
        <v>73.67188838894515</v>
      </c>
      <c r="D76" s="62">
        <f>IF(331.02169="","-",331.02169/494274.03793*100)</f>
        <v>0.0669712881110053</v>
      </c>
      <c r="E76" s="62">
        <f>IF(243.86993="","-",243.86993/599518.01338*100)</f>
        <v>0.04067766515055902</v>
      </c>
      <c r="F76" s="62">
        <f>IF(OR(573555.85568="",173.63237="",331.02169=""),"-",(331.02169-173.63237)/573555.85568*100)</f>
        <v>0.027440975179897922</v>
      </c>
      <c r="G76" s="62">
        <f>IF(OR(494274.03793="",243.86993="",331.02169=""),"-",(243.86993-331.02169)/494274.03793*100)</f>
        <v>-0.017632275481226582</v>
      </c>
    </row>
    <row r="77" spans="1:7" s="25" customFormat="1" ht="15">
      <c r="A77" s="20" t="s">
        <v>172</v>
      </c>
      <c r="B77" s="59">
        <f>IF(241.59269="","-",241.59269)</f>
        <v>241.59269</v>
      </c>
      <c r="C77" s="62">
        <f>IF(OR(191.06097="",241.59269=""),"-",241.59269/191.06097*100)</f>
        <v>126.44795533069887</v>
      </c>
      <c r="D77" s="62">
        <f>IF(191.06097="","-",191.06097/494274.03793*100)</f>
        <v>0.03865486659994438</v>
      </c>
      <c r="E77" s="62">
        <f>IF(241.59269="","-",241.59269/599518.01338*100)</f>
        <v>0.04029782001677208</v>
      </c>
      <c r="F77" s="62">
        <f>IF(OR(573555.85568="",119.15918="",191.06097=""),"-",(191.06097-119.15918)/573555.85568*100)</f>
        <v>0.012536144350710918</v>
      </c>
      <c r="G77" s="62">
        <f>IF(OR(494274.03793="",241.59269="",191.06097=""),"-",(241.59269-191.06097)/494274.03793*100)</f>
        <v>0.010223421851494535</v>
      </c>
    </row>
    <row r="78" spans="1:7" s="25" customFormat="1" ht="15">
      <c r="A78" s="20" t="s">
        <v>193</v>
      </c>
      <c r="B78" s="59">
        <f>IF(233.75986="","-",233.75986)</f>
        <v>233.75986</v>
      </c>
      <c r="C78" s="62">
        <f>IF(OR(173.8462="",233.75986=""),"-",233.75986/173.8462*100)</f>
        <v>134.4636005848848</v>
      </c>
      <c r="D78" s="62">
        <f>IF(173.8462="","-",173.8462/494274.03793*100)</f>
        <v>0.03517202738951473</v>
      </c>
      <c r="E78" s="62">
        <f>IF(233.75986="","-",233.75986/599518.01338*100)</f>
        <v>0.038991298807202486</v>
      </c>
      <c r="F78" s="62">
        <f>IF(OR(573555.85568="",69.02151="",173.8462=""),"-",(173.8462-69.02151)/573555.85568*100)</f>
        <v>0.01827628276512342</v>
      </c>
      <c r="G78" s="62">
        <f>IF(OR(494274.03793="",233.75986="",173.8462=""),"-",(233.75986-173.8462)/494274.03793*100)</f>
        <v>0.012121547037128639</v>
      </c>
    </row>
    <row r="79" spans="1:7" s="25" customFormat="1" ht="15">
      <c r="A79" s="20" t="s">
        <v>185</v>
      </c>
      <c r="B79" s="59">
        <f>IF(215.70495="","-",215.70495)</f>
        <v>215.70495</v>
      </c>
      <c r="C79" s="62" t="s">
        <v>217</v>
      </c>
      <c r="D79" s="62">
        <f>IF(86.91661="","-",86.91661/494274.03793*100)</f>
        <v>0.017584700657959564</v>
      </c>
      <c r="E79" s="62">
        <f>IF(215.70495="","-",215.70495/599518.01338*100)</f>
        <v>0.03597972791240837</v>
      </c>
      <c r="F79" s="62">
        <f>IF(OR(573555.85568="",453.14256="",86.91661=""),"-",(86.91661-453.14256)/573555.85568*100)</f>
        <v>-0.06385183698731617</v>
      </c>
      <c r="G79" s="62">
        <f>IF(OR(494274.03793="",215.70495="",86.91661=""),"-",(215.70495-86.91661)/494274.03793*100)</f>
        <v>0.02605606002276803</v>
      </c>
    </row>
    <row r="80" spans="1:7" s="25" customFormat="1" ht="15">
      <c r="A80" s="20" t="s">
        <v>189</v>
      </c>
      <c r="B80" s="59">
        <f>IF(163.66214="","-",163.66214)</f>
        <v>163.66214</v>
      </c>
      <c r="C80" s="62">
        <f>IF(OR(153.67603="",163.66214=""),"-",163.66214/153.67603*100)</f>
        <v>106.4981571947167</v>
      </c>
      <c r="D80" s="62">
        <f>IF(153.67603="","-",153.67603/494274.03793*100)</f>
        <v>0.031091260759636315</v>
      </c>
      <c r="E80" s="62">
        <f>IF(163.66214="","-",163.66214/599518.01338*100)</f>
        <v>0.027298952883383</v>
      </c>
      <c r="F80" s="62">
        <f>IF(OR(573555.85568="",357.7878="",153.67603=""),"-",(153.67603-357.7878)/573555.85568*100)</f>
        <v>-0.03558707804630603</v>
      </c>
      <c r="G80" s="62">
        <f>IF(OR(494274.03793="",163.66214="",153.67603=""),"-",(163.66214-153.67603)/494274.03793*100)</f>
        <v>0.0020203589979804377</v>
      </c>
    </row>
    <row r="81" spans="1:7" s="25" customFormat="1" ht="15">
      <c r="A81" s="20" t="s">
        <v>190</v>
      </c>
      <c r="B81" s="59">
        <f>IF(158.76093="","-",158.76093)</f>
        <v>158.76093</v>
      </c>
      <c r="C81" s="62">
        <f>IF(OR(184.06919="",158.76093=""),"-",158.76093/184.06919*100)</f>
        <v>86.25068106183333</v>
      </c>
      <c r="D81" s="62">
        <f>IF(184.06919="","-",184.06919/494274.03793*100)</f>
        <v>0.03724031121903033</v>
      </c>
      <c r="E81" s="62">
        <f>IF(158.76093="","-",158.76093/599518.01338*100)</f>
        <v>0.026481427823148752</v>
      </c>
      <c r="F81" s="62">
        <f>IF(OR(573555.85568="",335.83255="",184.06919=""),"-",(184.06919-335.83255)/573555.85568*100)</f>
        <v>-0.026460083790805597</v>
      </c>
      <c r="G81" s="62">
        <f>IF(OR(494274.03793="",158.76093="",184.06919=""),"-",(158.76093-184.06919)/494274.03793*100)</f>
        <v>-0.005120289163070344</v>
      </c>
    </row>
    <row r="82" spans="1:7" s="25" customFormat="1" ht="15">
      <c r="A82" s="20" t="s">
        <v>130</v>
      </c>
      <c r="B82" s="59">
        <f>IF(153.69763="","-",153.69763)</f>
        <v>153.69763</v>
      </c>
      <c r="C82" s="62">
        <f>IF(OR(545.91118="",153.69763=""),"-",153.69763/545.91118*100)</f>
        <v>28.15432906136856</v>
      </c>
      <c r="D82" s="62">
        <f>IF(545.91118="","-",545.91118/494274.03793*100)</f>
        <v>0.11044706743778293</v>
      </c>
      <c r="E82" s="62">
        <f>IF(153.69763="","-",153.69763/599518.01338*100)</f>
        <v>0.025636866044019914</v>
      </c>
      <c r="F82" s="62">
        <f>IF(OR(573555.85568="",636.57404="",545.91118=""),"-",(545.91118-636.57404)/573555.85568*100)</f>
        <v>-0.015807154456214445</v>
      </c>
      <c r="G82" s="62">
        <f>IF(OR(494274.03793="",153.69763="",545.91118=""),"-",(153.69763-545.91118)/494274.03793*100)</f>
        <v>-0.07935143663271789</v>
      </c>
    </row>
    <row r="83" spans="1:7" s="25" customFormat="1" ht="15">
      <c r="A83" s="20" t="s">
        <v>218</v>
      </c>
      <c r="B83" s="59">
        <f>IF(149.09477="","-",149.09477)</f>
        <v>149.09477</v>
      </c>
      <c r="C83" s="62" t="s">
        <v>246</v>
      </c>
      <c r="D83" s="62">
        <f>IF(58.32178="","-",58.32178/494274.03793*100)</f>
        <v>0.011799482781707348</v>
      </c>
      <c r="E83" s="62">
        <f>IF(149.09477="","-",149.09477/599518.01338*100)</f>
        <v>0.024869105960540573</v>
      </c>
      <c r="F83" s="62">
        <f>IF(OR(573555.85568="",207.9548="",58.32178=""),"-",(58.32178-207.9548)/573555.85568*100)</f>
        <v>-0.026088657018869962</v>
      </c>
      <c r="G83" s="62">
        <f>IF(OR(494274.03793="",149.09477="",58.32178=""),"-",(149.09477-58.32178)/494274.03793*100)</f>
        <v>0.018364911574185384</v>
      </c>
    </row>
    <row r="84" spans="1:7" s="25" customFormat="1" ht="15">
      <c r="A84" s="20" t="s">
        <v>177</v>
      </c>
      <c r="B84" s="59">
        <f>IF(126.79723="","-",126.79723)</f>
        <v>126.79723</v>
      </c>
      <c r="C84" s="62">
        <f>IF(OR(280.31162="",126.79723=""),"-",126.79723/280.31162*100)</f>
        <v>45.23438236345678</v>
      </c>
      <c r="D84" s="62">
        <f>IF(280.31162="","-",280.31162/494274.03793*100)</f>
        <v>0.05671178303718599</v>
      </c>
      <c r="E84" s="62">
        <f>IF(126.79723="","-",126.79723/599518.01338*100)</f>
        <v>0.02114986158383043</v>
      </c>
      <c r="F84" s="62">
        <f>IF(OR(573555.85568="",71.72105="",280.31162=""),"-",(280.31162-71.72105)/573555.85568*100)</f>
        <v>0.036367961016228814</v>
      </c>
      <c r="G84" s="62">
        <f>IF(OR(494274.03793="",126.79723="",280.31162=""),"-",(126.79723-280.31162)/494274.03793*100)</f>
        <v>-0.03105855825301125</v>
      </c>
    </row>
    <row r="85" spans="1:7" s="25" customFormat="1" ht="15">
      <c r="A85" s="20" t="s">
        <v>188</v>
      </c>
      <c r="B85" s="59">
        <f>IF(116.45473="","-",116.45473)</f>
        <v>116.45473</v>
      </c>
      <c r="C85" s="62">
        <f>IF(OR(189.21413="",116.45473=""),"-",116.45473/189.21413*100)</f>
        <v>61.5465293210396</v>
      </c>
      <c r="D85" s="62">
        <f>IF(189.21413="","-",189.21413/494274.03793*100)</f>
        <v>0.03828121962311054</v>
      </c>
      <c r="E85" s="62">
        <f>IF(116.45473="","-",116.45473/599518.01338*100)</f>
        <v>0.01942472576319171</v>
      </c>
      <c r="F85" s="62">
        <f>IF(OR(573555.85568="",195.75354="",189.21413=""),"-",(189.21413-195.75354)/573555.85568*100)</f>
        <v>-0.0011401522511259065</v>
      </c>
      <c r="G85" s="62">
        <f>IF(OR(494274.03793="",116.45473="",189.21413=""),"-",(116.45473-189.21413)/494274.03793*100)</f>
        <v>-0.014720457563321247</v>
      </c>
    </row>
    <row r="86" spans="1:7" s="25" customFormat="1" ht="15">
      <c r="A86" s="20" t="s">
        <v>131</v>
      </c>
      <c r="B86" s="59">
        <f>IF(114.11799="","-",114.11799)</f>
        <v>114.11799</v>
      </c>
      <c r="C86" s="62">
        <f>IF(OR(557.24143="",114.11799=""),"-",114.11799/557.24143*100)</f>
        <v>20.47909287721123</v>
      </c>
      <c r="D86" s="62">
        <f>IF(557.24143="","-",557.24143/494274.03793*100)</f>
        <v>0.11273936869792008</v>
      </c>
      <c r="E86" s="62">
        <f>IF(114.11799="","-",114.11799/599518.01338*100)</f>
        <v>0.019034955990165914</v>
      </c>
      <c r="F86" s="62">
        <f>IF(OR(573555.85568="",508.55248="",557.24143=""),"-",(557.24143-508.55248)/573555.85568*100)</f>
        <v>0.00848896398107122</v>
      </c>
      <c r="G86" s="62">
        <f>IF(OR(494274.03793="",114.11799="",557.24143=""),"-",(114.11799-557.24143)/494274.03793*100)</f>
        <v>-0.08965136867309142</v>
      </c>
    </row>
    <row r="87" spans="1:7" s="25" customFormat="1" ht="15">
      <c r="A87" s="20" t="s">
        <v>219</v>
      </c>
      <c r="B87" s="59">
        <f>IF(111.87551="","-",111.87551)</f>
        <v>111.87551</v>
      </c>
      <c r="C87" s="62" t="s">
        <v>222</v>
      </c>
      <c r="D87" s="62">
        <f>IF(51.59963="","-",51.59963/494274.03793*100)</f>
        <v>0.010439478111392862</v>
      </c>
      <c r="E87" s="62">
        <f>IF(111.87551="","-",111.87551/599518.01338*100)</f>
        <v>0.0186609088473024</v>
      </c>
      <c r="F87" s="62">
        <f>IF(OR(573555.85568="",7.85972="",51.59963=""),"-",(51.59963-7.85972)/573555.85568*100)</f>
        <v>0.007626094227238349</v>
      </c>
      <c r="G87" s="62">
        <f>IF(OR(494274.03793="",111.87551="",51.59963=""),"-",(111.87551-51.59963)/494274.03793*100)</f>
        <v>0.012194830271165566</v>
      </c>
    </row>
    <row r="88" spans="1:7" s="25" customFormat="1" ht="15">
      <c r="A88" s="20" t="s">
        <v>155</v>
      </c>
      <c r="B88" s="59">
        <f>IF(90.01633="","-",90.01633)</f>
        <v>90.01633</v>
      </c>
      <c r="C88" s="62">
        <f>IF(OR(60.39="",90.01633=""),"-",90.01633/60.39*100)</f>
        <v>149.05833747309157</v>
      </c>
      <c r="D88" s="62">
        <f>IF(60.39="","-",60.39/494274.03793*100)</f>
        <v>0.0122179186778474</v>
      </c>
      <c r="E88" s="62">
        <f>IF(90.01633="","-",90.01633/599518.01338*100)</f>
        <v>0.015014783207680502</v>
      </c>
      <c r="F88" s="62">
        <f>IF(OR(573555.85568="",105.00761="",60.39=""),"-",(60.39-105.00761)/573555.85568*100)</f>
        <v>-0.007779122043327753</v>
      </c>
      <c r="G88" s="62">
        <f>IF(OR(494274.03793="",90.01633="",60.39=""),"-",(90.01633-60.39)/494274.03793*100)</f>
        <v>0.005993907777166263</v>
      </c>
    </row>
    <row r="89" spans="1:7" s="25" customFormat="1" ht="15">
      <c r="A89" s="20" t="s">
        <v>187</v>
      </c>
      <c r="B89" s="59">
        <f>IF(88.28459="","-",88.28459)</f>
        <v>88.28459</v>
      </c>
      <c r="C89" s="62">
        <f>IF(OR(223.52201="",88.28459=""),"-",88.28459/223.52201*100)</f>
        <v>39.49704550348308</v>
      </c>
      <c r="D89" s="62">
        <f>IF(223.52201="","-",223.52201/494274.03793*100)</f>
        <v>0.04522228416772633</v>
      </c>
      <c r="E89" s="62">
        <f>IF(88.28459="","-",88.28459/599518.01338*100)</f>
        <v>0.014725927833638165</v>
      </c>
      <c r="F89" s="62">
        <f>IF(OR(573555.85568="",100.78192="",223.52201=""),"-",(223.52201-100.78192)/573555.85568*100)</f>
        <v>0.02139984951500164</v>
      </c>
      <c r="G89" s="62">
        <f>IF(OR(494274.03793="",88.28459="",223.52201=""),"-",(88.28459-223.52201)/494274.03793*100)</f>
        <v>-0.027360818012285033</v>
      </c>
    </row>
    <row r="90" spans="1:7" s="25" customFormat="1" ht="15">
      <c r="A90" s="20" t="s">
        <v>164</v>
      </c>
      <c r="B90" s="59">
        <f>IF(85.78572="","-",85.78572)</f>
        <v>85.78572</v>
      </c>
      <c r="C90" s="62">
        <f>IF(OR(52.84897="",85.78572=""),"-",85.78572/52.84897*100)</f>
        <v>162.32240666185166</v>
      </c>
      <c r="D90" s="62">
        <f>IF(52.84897="","-",52.84897/494274.03793*100)</f>
        <v>0.01069224072972341</v>
      </c>
      <c r="E90" s="62">
        <f>IF(85.78572="","-",85.78572/599518.01338*100)</f>
        <v>0.014309114669691396</v>
      </c>
      <c r="F90" s="62">
        <f>IF(OR(573555.85568="",3.8636="",52.84897=""),"-",(52.84897-3.8636)/573555.85568*100)</f>
        <v>0.008540645085372481</v>
      </c>
      <c r="G90" s="62">
        <f>IF(OR(494274.03793="",85.78572="",52.84897=""),"-",(85.78572-52.84897)/494274.03793*100)</f>
        <v>0.006663661748842363</v>
      </c>
    </row>
    <row r="91" spans="1:7" s="25" customFormat="1" ht="15">
      <c r="A91" s="20" t="s">
        <v>220</v>
      </c>
      <c r="B91" s="59">
        <f>IF(83.51715="","-",83.51715)</f>
        <v>83.51715</v>
      </c>
      <c r="C91" s="62">
        <f>IF(OR(60.52466="",83.51715=""),"-",83.51715/60.52466*100)</f>
        <v>137.9886314107341</v>
      </c>
      <c r="D91" s="62">
        <f>IF(60.52466="","-",60.52466/494274.03793*100)</f>
        <v>0.012245162674024894</v>
      </c>
      <c r="E91" s="62">
        <f>IF(83.51715="","-",83.51715/599518.01338*100)</f>
        <v>0.01393071569762213</v>
      </c>
      <c r="F91" s="62">
        <f>IF(OR(573555.85568="",42.32662="",60.52466=""),"-",(60.52466-42.32662)/573555.85568*100)</f>
        <v>0.003172845298288281</v>
      </c>
      <c r="G91" s="62">
        <f>IF(OR(494274.03793="",83.51715="",60.52466=""),"-",(83.51715-60.52466)/494274.03793*100)</f>
        <v>0.004651769713880105</v>
      </c>
    </row>
    <row r="92" spans="1:7" s="25" customFormat="1" ht="15">
      <c r="A92" s="20" t="s">
        <v>194</v>
      </c>
      <c r="B92" s="59">
        <f>IF(80.05636="","-",80.05636)</f>
        <v>80.05636</v>
      </c>
      <c r="C92" s="62" t="s">
        <v>198</v>
      </c>
      <c r="D92" s="62">
        <f>IF(28.72018="","-",28.72018/494274.03793*100)</f>
        <v>0.005810578301923154</v>
      </c>
      <c r="E92" s="62">
        <f>IF(80.05636="","-",80.05636/599518.01338*100)</f>
        <v>0.013353453643311444</v>
      </c>
      <c r="F92" s="62">
        <f>IF(OR(573555.85568="",261.6108="",28.72018=""),"-",(28.72018-261.6108)/573555.85568*100)</f>
        <v>-0.04060469746645478</v>
      </c>
      <c r="G92" s="62">
        <f>IF(OR(494274.03793="",80.05636="",28.72018=""),"-",(80.05636-28.72018)/494274.03793*100)</f>
        <v>0.010386177719346515</v>
      </c>
    </row>
    <row r="93" spans="1:7" s="25" customFormat="1" ht="15">
      <c r="A93" s="20" t="s">
        <v>191</v>
      </c>
      <c r="B93" s="59">
        <f>IF(75.65095="","-",75.65095)</f>
        <v>75.65095</v>
      </c>
      <c r="C93" s="62">
        <f>IF(OR(133.27723="",75.65095=""),"-",75.65095/133.27723*100)</f>
        <v>56.76209657118474</v>
      </c>
      <c r="D93" s="62">
        <f>IF(133.27723="","-",133.27723/494274.03793*100)</f>
        <v>0.02696423841279622</v>
      </c>
      <c r="E93" s="62">
        <f>IF(75.65095="","-",75.65095/599518.01338*100)</f>
        <v>0.012618628350045789</v>
      </c>
      <c r="F93" s="62">
        <f>IF(OR(573555.85568="",361.43715="",133.27723=""),"-",(133.27723-361.43715)/573555.85568*100)</f>
        <v>-0.03977989549587924</v>
      </c>
      <c r="G93" s="62">
        <f>IF(OR(494274.03793="",75.65095="",133.27723=""),"-",(75.65095-133.27723)/494274.03793*100)</f>
        <v>-0.011658771365240338</v>
      </c>
    </row>
    <row r="94" spans="1:7" ht="15">
      <c r="A94" s="20" t="s">
        <v>125</v>
      </c>
      <c r="B94" s="59">
        <f>IF(59.21034="","-",59.21034)</f>
        <v>59.21034</v>
      </c>
      <c r="C94" s="62" t="s">
        <v>224</v>
      </c>
      <c r="D94" s="62">
        <f>IF(3.53043="","-",3.53043/494274.03793*100)</f>
        <v>0.0007142657168046497</v>
      </c>
      <c r="E94" s="62">
        <f>IF(59.21034="","-",59.21034/599518.01338*100)</f>
        <v>0.009876323759845056</v>
      </c>
      <c r="F94" s="62">
        <f>IF(OR(573555.85568="",5.18739="",3.53043=""),"-",(3.53043-5.18739)/573555.85568*100)</f>
        <v>-0.0002888925260880704</v>
      </c>
      <c r="G94" s="62">
        <f>IF(OR(494274.03793="",59.21034="",3.53043=""),"-",(59.21034-3.53043)/494274.03793*100)</f>
        <v>0.01126498778555824</v>
      </c>
    </row>
    <row r="95" spans="1:7" ht="15">
      <c r="A95" s="20" t="s">
        <v>221</v>
      </c>
      <c r="B95" s="59">
        <f>IF(53.12264="","-",53.12264)</f>
        <v>53.12264</v>
      </c>
      <c r="C95" s="62" t="s">
        <v>196</v>
      </c>
      <c r="D95" s="62">
        <f>IF(16.08228="","-",16.08228/494274.03793*100)</f>
        <v>0.0032537173239670747</v>
      </c>
      <c r="E95" s="62">
        <f>IF(53.12264="","-",53.12264/599518.01338*100)</f>
        <v>0.00886089138514819</v>
      </c>
      <c r="F95" s="62">
        <f>IF(OR(573555.85568="",35.73629="",16.08228=""),"-",(16.08228-35.73629)/573555.85568*100)</f>
        <v>-0.003426695029849964</v>
      </c>
      <c r="G95" s="62">
        <f>IF(OR(494274.03793="",53.12264="",16.08228=""),"-",(53.12264-16.08228)/494274.03793*100)</f>
        <v>0.007493891476704612</v>
      </c>
    </row>
    <row r="96" spans="1:7" ht="15">
      <c r="A96" s="48" t="s">
        <v>128</v>
      </c>
      <c r="B96" s="60">
        <f>IF(49.58243="","-",49.58243)</f>
        <v>49.58243</v>
      </c>
      <c r="C96" s="63">
        <f>IF(OR(52.29439="",49.58243=""),"-",49.58243/52.29439*100)</f>
        <v>94.81405175583845</v>
      </c>
      <c r="D96" s="63">
        <f>IF(52.29439="","-",52.29439/494274.03793*100)</f>
        <v>0.010580039813340556</v>
      </c>
      <c r="E96" s="63">
        <f>IF(49.58243="","-",49.58243/599518.01338*100)</f>
        <v>0.008270382022461858</v>
      </c>
      <c r="F96" s="63">
        <f>IF(OR(573555.85568="",20.46025="",52.29439=""),"-",(52.29439-20.46025)/573555.85568*100)</f>
        <v>0.0055503120898762115</v>
      </c>
      <c r="G96" s="63">
        <f>IF(OR(494274.03793="",49.58243="",52.29439=""),"-",(49.58243-52.29439)/494274.03793*100)</f>
        <v>-0.0005486753889315284</v>
      </c>
    </row>
    <row r="97" spans="1:7" ht="15">
      <c r="A97" s="67" t="s">
        <v>31</v>
      </c>
      <c r="B97" s="67"/>
      <c r="C97" s="67"/>
      <c r="D97" s="67"/>
      <c r="E97" s="67"/>
      <c r="F97" s="67"/>
      <c r="G97" s="67"/>
    </row>
  </sheetData>
  <sheetProtection/>
  <mergeCells count="10">
    <mergeCell ref="A97:G97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5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43.375" style="0" customWidth="1"/>
    <col min="2" max="2" width="14.125" style="0" customWidth="1"/>
    <col min="3" max="3" width="13.625" style="0" customWidth="1"/>
    <col min="4" max="4" width="17.875" style="0" customWidth="1"/>
  </cols>
  <sheetData>
    <row r="1" spans="1:4" ht="15.75">
      <c r="A1" s="68" t="s">
        <v>38</v>
      </c>
      <c r="B1" s="68"/>
      <c r="C1" s="68"/>
      <c r="D1" s="68"/>
    </row>
    <row r="2" ht="15">
      <c r="A2" s="5"/>
    </row>
    <row r="3" spans="1:5" ht="21.75" customHeight="1">
      <c r="A3" s="78"/>
      <c r="B3" s="82" t="s">
        <v>207</v>
      </c>
      <c r="C3" s="73"/>
      <c r="D3" s="74" t="s">
        <v>208</v>
      </c>
      <c r="E3" s="2"/>
    </row>
    <row r="4" spans="1:5" ht="23.25" customHeight="1">
      <c r="A4" s="79"/>
      <c r="B4" s="33">
        <v>2016</v>
      </c>
      <c r="C4" s="32">
        <v>2017</v>
      </c>
      <c r="D4" s="83"/>
      <c r="E4" s="2"/>
    </row>
    <row r="5" spans="1:4" ht="17.25" customHeight="1">
      <c r="A5" s="6" t="s">
        <v>248</v>
      </c>
      <c r="B5" s="41">
        <f>IF(-239053.33412="","-",-239053.33412)</f>
        <v>-239053.33412</v>
      </c>
      <c r="C5" s="41">
        <f>IF(-283342.23252="","-",-283342.23252)</f>
        <v>-283342.23252</v>
      </c>
      <c r="D5" s="41">
        <f>IF(-239053.33412="","-",-283342.23252/-239053.33412*100)</f>
        <v>118.5267854820079</v>
      </c>
    </row>
    <row r="6" spans="1:4" ht="15">
      <c r="A6" s="7" t="s">
        <v>36</v>
      </c>
      <c r="B6" s="46"/>
      <c r="C6" s="47"/>
      <c r="D6" s="47"/>
    </row>
    <row r="7" spans="1:4" ht="15">
      <c r="A7" s="8" t="s">
        <v>4</v>
      </c>
      <c r="B7" s="38">
        <f>IF(-49558.70987="","-",-49558.70987)</f>
        <v>-49558.70987</v>
      </c>
      <c r="C7" s="38">
        <f>IF(-64107.80602="","-",-64107.80602)</f>
        <v>-64107.80602</v>
      </c>
      <c r="D7" s="38">
        <f>IF(-49558.70987="","-",-64107.80602/-49558.70987*100)</f>
        <v>129.35729398155135</v>
      </c>
    </row>
    <row r="8" spans="1:4" ht="15">
      <c r="A8" s="20" t="s">
        <v>7</v>
      </c>
      <c r="B8" s="39">
        <f>IF(-16222.45889="","-",-16222.45889)</f>
        <v>-16222.45889</v>
      </c>
      <c r="C8" s="39">
        <f>IF(-19750.21042="","-",-19750.21042)</f>
        <v>-19750.21042</v>
      </c>
      <c r="D8" s="39">
        <f>IF(OR(-16222.45889="",-19750.21042="",-16222.45889=0),"-",-19750.21042/-16222.45889*100)</f>
        <v>121.74609628491406</v>
      </c>
    </row>
    <row r="9" spans="1:4" ht="15">
      <c r="A9" s="20" t="s">
        <v>137</v>
      </c>
      <c r="B9" s="39">
        <f>IF(-7648.13115="","-",-7648.13115)</f>
        <v>-7648.13115</v>
      </c>
      <c r="C9" s="39">
        <f>IF(-11696.02954="","-",-11696.02954)</f>
        <v>-11696.02954</v>
      </c>
      <c r="D9" s="39">
        <f>IF(OR(-7648.13115="",-11696.02954="",-7648.13115=0),"-",-11696.02954/-7648.13115*100)</f>
        <v>152.92663410982433</v>
      </c>
    </row>
    <row r="10" spans="1:4" ht="15">
      <c r="A10" s="20" t="s">
        <v>5</v>
      </c>
      <c r="B10" s="39">
        <f>IF(6197.93791="","-",6197.93791)</f>
        <v>6197.93791</v>
      </c>
      <c r="C10" s="39">
        <f>IF(-9113.3623="","-",-9113.3623)</f>
        <v>-9113.3623</v>
      </c>
      <c r="D10" s="39" t="s">
        <v>37</v>
      </c>
    </row>
    <row r="11" spans="1:4" ht="15">
      <c r="A11" s="20" t="s">
        <v>8</v>
      </c>
      <c r="B11" s="39">
        <f>IF(-5128.66551="","-",-5128.66551)</f>
        <v>-5128.66551</v>
      </c>
      <c r="C11" s="39">
        <f>IF(-6716.07461="","-",-6716.07461)</f>
        <v>-6716.07461</v>
      </c>
      <c r="D11" s="39">
        <f>IF(OR(-5128.66551="",-6716.07461="",-5128.66551=0),"-",-6716.07461/-5128.66551*100)</f>
        <v>130.95169877826564</v>
      </c>
    </row>
    <row r="12" spans="1:4" ht="15">
      <c r="A12" s="20" t="s">
        <v>134</v>
      </c>
      <c r="B12" s="39">
        <f>IF(551.32957="","-",551.32957)</f>
        <v>551.32957</v>
      </c>
      <c r="C12" s="39">
        <f>IF(-5947.48579="","-",-5947.48579)</f>
        <v>-5947.48579</v>
      </c>
      <c r="D12" s="39" t="s">
        <v>37</v>
      </c>
    </row>
    <row r="13" spans="1:4" ht="15">
      <c r="A13" s="20" t="s">
        <v>10</v>
      </c>
      <c r="B13" s="39">
        <f>IF(-2405.51006="","-",-2405.51006)</f>
        <v>-2405.51006</v>
      </c>
      <c r="C13" s="39">
        <f>IF(-5223.47255="","-",-5223.47255)</f>
        <v>-5223.47255</v>
      </c>
      <c r="D13" s="39" t="s">
        <v>222</v>
      </c>
    </row>
    <row r="14" spans="1:4" ht="15">
      <c r="A14" s="20" t="s">
        <v>6</v>
      </c>
      <c r="B14" s="39">
        <f>IF(-4364.7712="","-",-4364.7712)</f>
        <v>-4364.7712</v>
      </c>
      <c r="C14" s="39">
        <f>IF(-3998.36323="","-",-3998.36323)</f>
        <v>-3998.36323</v>
      </c>
      <c r="D14" s="39">
        <f>IF(OR(-4364.7712="",-3998.36323="",-4364.7712=0),"-",-3998.36323/-4364.7712*100)</f>
        <v>91.60533386034072</v>
      </c>
    </row>
    <row r="15" spans="1:4" ht="15">
      <c r="A15" s="20" t="s">
        <v>11</v>
      </c>
      <c r="B15" s="39">
        <f>IF(-7304.08204="","-",-7304.08204)</f>
        <v>-7304.08204</v>
      </c>
      <c r="C15" s="39">
        <f>IF(-3248.84321="","-",-3248.84321)</f>
        <v>-3248.84321</v>
      </c>
      <c r="D15" s="39">
        <f>IF(OR(-7304.08204="",-3248.84321="",-7304.08204=0),"-",-3248.84321/-7304.08204*100)</f>
        <v>44.479829117582035</v>
      </c>
    </row>
    <row r="16" spans="1:4" ht="15">
      <c r="A16" s="20" t="s">
        <v>136</v>
      </c>
      <c r="B16" s="39">
        <f>IF(-2281.51525="","-",-2281.51525)</f>
        <v>-2281.51525</v>
      </c>
      <c r="C16" s="39">
        <f>IF(-2321.40549="","-",-2321.40549)</f>
        <v>-2321.40549</v>
      </c>
      <c r="D16" s="39">
        <f>IF(OR(-2281.51525="",-2321.40549="",-2281.51525=0),"-",-2321.40549/-2281.51525*100)</f>
        <v>101.74840996570154</v>
      </c>
    </row>
    <row r="17" spans="1:4" ht="15">
      <c r="A17" s="20" t="s">
        <v>139</v>
      </c>
      <c r="B17" s="39">
        <f>IF(-1054.22431="","-",-1054.22431)</f>
        <v>-1054.22431</v>
      </c>
      <c r="C17" s="39">
        <f>IF(-2189.12933="","-",-2189.12933)</f>
        <v>-2189.12933</v>
      </c>
      <c r="D17" s="39" t="s">
        <v>197</v>
      </c>
    </row>
    <row r="18" spans="1:4" ht="15">
      <c r="A18" s="20" t="s">
        <v>13</v>
      </c>
      <c r="B18" s="39">
        <f>IF(-1694.15582="","-",-1694.15582)</f>
        <v>-1694.15582</v>
      </c>
      <c r="C18" s="39">
        <f>IF(-1915.23621="","-",-1915.23621)</f>
        <v>-1915.23621</v>
      </c>
      <c r="D18" s="39">
        <f>IF(OR(-1694.15582="",-1915.23621="",-1694.15582=0),"-",-1915.23621/-1694.15582*100)</f>
        <v>113.04959009024329</v>
      </c>
    </row>
    <row r="19" spans="1:4" ht="15">
      <c r="A19" s="20" t="s">
        <v>145</v>
      </c>
      <c r="B19" s="39">
        <f>IF(-1645.47674="","-",-1645.47674)</f>
        <v>-1645.47674</v>
      </c>
      <c r="C19" s="39">
        <f>IF(-1830.3114="","-",-1830.3114)</f>
        <v>-1830.3114</v>
      </c>
      <c r="D19" s="39">
        <f>IF(OR(-1645.47674="",-1830.3114="",-1645.47674=0),"-",-1830.3114/-1645.47674*100)</f>
        <v>111.23289412161488</v>
      </c>
    </row>
    <row r="20" spans="1:4" ht="15">
      <c r="A20" s="20" t="s">
        <v>146</v>
      </c>
      <c r="B20" s="39">
        <f>IF(-1690.17613="","-",-1690.17613)</f>
        <v>-1690.17613</v>
      </c>
      <c r="C20" s="39">
        <f>IF(-1707.56718="","-",-1707.56718)</f>
        <v>-1707.56718</v>
      </c>
      <c r="D20" s="39">
        <f>IF(OR(-1690.17613="",-1707.56718="",-1690.17613=0),"-",-1707.56718/-1690.17613*100)</f>
        <v>101.02894897705129</v>
      </c>
    </row>
    <row r="21" spans="1:4" ht="15">
      <c r="A21" s="20" t="s">
        <v>147</v>
      </c>
      <c r="B21" s="39">
        <f>IF(-781.25691="","-",-781.25691)</f>
        <v>-781.25691</v>
      </c>
      <c r="C21" s="39">
        <f>IF(-1365.83338="","-",-1365.83338)</f>
        <v>-1365.83338</v>
      </c>
      <c r="D21" s="39" t="s">
        <v>132</v>
      </c>
    </row>
    <row r="22" spans="1:4" ht="15">
      <c r="A22" s="20" t="s">
        <v>143</v>
      </c>
      <c r="B22" s="39">
        <f>IF(-1409.27594="","-",-1409.27594)</f>
        <v>-1409.27594</v>
      </c>
      <c r="C22" s="39">
        <f>IF(-1150.1213="","-",-1150.1213)</f>
        <v>-1150.1213</v>
      </c>
      <c r="D22" s="39">
        <f>IF(OR(-1409.27594="",-1150.1213="",-1409.27594=0),"-",-1150.1213/-1409.27594*100)</f>
        <v>81.61079511511421</v>
      </c>
    </row>
    <row r="23" spans="1:4" ht="15">
      <c r="A23" s="20" t="s">
        <v>135</v>
      </c>
      <c r="B23" s="39">
        <f>IF(-6113.51621="","-",-6113.51621)</f>
        <v>-6113.51621</v>
      </c>
      <c r="C23" s="39">
        <f>IF(-925.7319="","-",-925.7319)</f>
        <v>-925.7319</v>
      </c>
      <c r="D23" s="39">
        <f>IF(OR(-6113.51621="",-925.7319="",-6113.51621=0),"-",-925.7319/-6113.51621*100)</f>
        <v>15.142380721682915</v>
      </c>
    </row>
    <row r="24" spans="1:4" ht="15">
      <c r="A24" s="20" t="s">
        <v>144</v>
      </c>
      <c r="B24" s="39">
        <f>IF(-925.42508="","-",-925.42508)</f>
        <v>-925.42508</v>
      </c>
      <c r="C24" s="39">
        <f>IF(-728.53138="","-",-728.53138)</f>
        <v>-728.53138</v>
      </c>
      <c r="D24" s="39">
        <f>IF(OR(-925.42508="",-728.53138="",-925.42508=0),"-",-728.53138/-925.42508*100)</f>
        <v>78.72397190705055</v>
      </c>
    </row>
    <row r="25" spans="1:4" ht="15">
      <c r="A25" s="20" t="s">
        <v>140</v>
      </c>
      <c r="B25" s="39">
        <f>IF(-501.74285="","-",-501.74285)</f>
        <v>-501.74285</v>
      </c>
      <c r="C25" s="39">
        <f>IF(-464.21684="","-",-464.21684)</f>
        <v>-464.21684</v>
      </c>
      <c r="D25" s="39">
        <f>IF(OR(-501.74285="",-464.21684="",-501.74285=0),"-",-464.21684/-501.74285*100)</f>
        <v>92.52086801037623</v>
      </c>
    </row>
    <row r="26" spans="1:4" ht="15">
      <c r="A26" s="20" t="s">
        <v>148</v>
      </c>
      <c r="B26" s="39">
        <f>IF(-662.6264="","-",-662.6264)</f>
        <v>-662.6264</v>
      </c>
      <c r="C26" s="39">
        <f>IF(-372.79852="","-",-372.79852)</f>
        <v>-372.79852</v>
      </c>
      <c r="D26" s="39">
        <f>IF(OR(-662.6264="",-372.79852="",-662.6264=0),"-",-372.79852/-662.6264*100)</f>
        <v>56.26074059228549</v>
      </c>
    </row>
    <row r="27" spans="1:4" ht="15">
      <c r="A27" s="20" t="s">
        <v>149</v>
      </c>
      <c r="B27" s="39">
        <f>IF(16.59017="","-",16.59017)</f>
        <v>16.59017</v>
      </c>
      <c r="C27" s="39">
        <f>IF(-331.70314="","-",-331.70314)</f>
        <v>-331.70314</v>
      </c>
      <c r="D27" s="39" t="s">
        <v>37</v>
      </c>
    </row>
    <row r="28" spans="1:4" ht="15">
      <c r="A28" s="20" t="s">
        <v>141</v>
      </c>
      <c r="B28" s="39">
        <f>IF(230.87921="","-",230.87921)</f>
        <v>230.87921</v>
      </c>
      <c r="C28" s="39">
        <f>IF(-297.1812="","-",-297.1812)</f>
        <v>-297.1812</v>
      </c>
      <c r="D28" s="39" t="s">
        <v>37</v>
      </c>
    </row>
    <row r="29" spans="1:4" ht="15">
      <c r="A29" s="20" t="s">
        <v>126</v>
      </c>
      <c r="B29" s="39">
        <f>IF(-41.00468="","-",-41.00468)</f>
        <v>-41.00468</v>
      </c>
      <c r="C29" s="39">
        <f>IF(-130.12014="","-",-130.12014)</f>
        <v>-130.12014</v>
      </c>
      <c r="D29" s="39" t="s">
        <v>39</v>
      </c>
    </row>
    <row r="30" spans="1:4" ht="15">
      <c r="A30" s="20" t="s">
        <v>150</v>
      </c>
      <c r="B30" s="39">
        <f>IF(4.68344="","-",4.68344)</f>
        <v>4.68344</v>
      </c>
      <c r="C30" s="39">
        <f>IF(-34.02719="","-",-34.02719)</f>
        <v>-34.02719</v>
      </c>
      <c r="D30" s="39" t="s">
        <v>37</v>
      </c>
    </row>
    <row r="31" spans="1:4" ht="15">
      <c r="A31" s="20" t="s">
        <v>138</v>
      </c>
      <c r="B31" s="39">
        <f>IF(-1806.39484="","-",-1806.39484)</f>
        <v>-1806.39484</v>
      </c>
      <c r="C31" s="39">
        <f>IF(81.53666="","-",81.53666)</f>
        <v>81.53666</v>
      </c>
      <c r="D31" s="39" t="s">
        <v>37</v>
      </c>
    </row>
    <row r="32" spans="1:4" ht="15">
      <c r="A32" s="20" t="s">
        <v>142</v>
      </c>
      <c r="B32" s="39">
        <f>IF(-63.56276="","-",-63.56276)</f>
        <v>-63.56276</v>
      </c>
      <c r="C32" s="39">
        <f>IF(946.70876="","-",946.70876)</f>
        <v>946.70876</v>
      </c>
      <c r="D32" s="39" t="s">
        <v>37</v>
      </c>
    </row>
    <row r="33" spans="1:4" ht="15">
      <c r="A33" s="20" t="s">
        <v>12</v>
      </c>
      <c r="B33" s="39">
        <f>IF(844.35469="","-",844.35469)</f>
        <v>844.35469</v>
      </c>
      <c r="C33" s="39">
        <f>IF(1266.10132="","-",1266.10132)</f>
        <v>1266.10132</v>
      </c>
      <c r="D33" s="39">
        <f>IF(OR(844.35469="",1266.10132="",844.35469=0),"-",1266.10132/844.35469*100)</f>
        <v>149.94898885443507</v>
      </c>
    </row>
    <row r="34" spans="1:4" ht="15">
      <c r="A34" s="20" t="s">
        <v>9</v>
      </c>
      <c r="B34" s="39">
        <f>IF(-2.03359="","-",-2.03359)</f>
        <v>-2.03359</v>
      </c>
      <c r="C34" s="39">
        <f>IF(3057.97171="","-",3057.97171)</f>
        <v>3057.97171</v>
      </c>
      <c r="D34" s="39" t="s">
        <v>37</v>
      </c>
    </row>
    <row r="35" spans="1:4" ht="15">
      <c r="A35" s="20" t="s">
        <v>129</v>
      </c>
      <c r="B35" s="39">
        <f>IF(6341.5215="","-",6341.5215)</f>
        <v>6341.5215</v>
      </c>
      <c r="C35" s="39">
        <f>IF(11997.63178="","-",11997.63178)</f>
        <v>11997.63178</v>
      </c>
      <c r="D35" s="39">
        <f>IF(OR(6341.5215="",11997.63178="",6341.5215=0),"-",11997.63178/6341.5215*100)</f>
        <v>189.19169129995066</v>
      </c>
    </row>
    <row r="36" spans="1:4" ht="15">
      <c r="A36" s="8" t="s">
        <v>15</v>
      </c>
      <c r="B36" s="38">
        <f>IF(-106137.34352="","-",-106137.34352)</f>
        <v>-106137.34352</v>
      </c>
      <c r="C36" s="38">
        <f>IF(-106360.2609="","-",-106360.2609)</f>
        <v>-106360.2609</v>
      </c>
      <c r="D36" s="38">
        <f>IF(-106137.34352="","-",-106360.2609/-106137.34352*100)</f>
        <v>100.2100272840897</v>
      </c>
    </row>
    <row r="37" spans="1:4" ht="15">
      <c r="A37" s="20" t="s">
        <v>16</v>
      </c>
      <c r="B37" s="39">
        <f>IF(-82469.33142="","-",-82469.33142)</f>
        <v>-82469.33142</v>
      </c>
      <c r="C37" s="39">
        <f>IF(-68414.123="","-",-68414.123)</f>
        <v>-68414.123</v>
      </c>
      <c r="D37" s="39">
        <f>IF(OR(-82469.33142="",-68414.123="",-82469.33142=0),"-",-68414.123/-82469.33142*100)</f>
        <v>82.95704818022642</v>
      </c>
    </row>
    <row r="38" spans="1:4" ht="15">
      <c r="A38" s="20" t="s">
        <v>18</v>
      </c>
      <c r="B38" s="39">
        <f>IF(-30381.23554="","-",-30381.23554)</f>
        <v>-30381.23554</v>
      </c>
      <c r="C38" s="39">
        <f>IF(-37698.37052="","-",-37698.37052)</f>
        <v>-37698.37052</v>
      </c>
      <c r="D38" s="39">
        <f>IF(OR(-30381.23554="",-37698.37052="",-30381.23554=0),"-",-37698.37052/-30381.23554*100)</f>
        <v>124.08438909723154</v>
      </c>
    </row>
    <row r="39" spans="1:4" ht="15">
      <c r="A39" s="20" t="s">
        <v>17</v>
      </c>
      <c r="B39" s="39">
        <f>IF(6102.45639="","-",6102.45639)</f>
        <v>6102.45639</v>
      </c>
      <c r="C39" s="39">
        <f>IF(-1631.50472="","-",-1631.50472)</f>
        <v>-1631.50472</v>
      </c>
      <c r="D39" s="39" t="s">
        <v>37</v>
      </c>
    </row>
    <row r="40" spans="1:4" ht="15">
      <c r="A40" s="20" t="s">
        <v>21</v>
      </c>
      <c r="B40" s="39">
        <f>IF(-168.12506="","-",-168.12506)</f>
        <v>-168.12506</v>
      </c>
      <c r="C40" s="39">
        <f>IF(-170.10412="","-",-170.10412)</f>
        <v>-170.10412</v>
      </c>
      <c r="D40" s="39">
        <f>IF(OR(-168.12506="",-170.10412="",-168.12506=0),"-",-170.10412/-168.12506*100)</f>
        <v>101.17713563938655</v>
      </c>
    </row>
    <row r="41" spans="1:4" ht="15">
      <c r="A41" s="20" t="s">
        <v>25</v>
      </c>
      <c r="B41" s="39">
        <f>IF(142.81268="","-",142.81268)</f>
        <v>142.81268</v>
      </c>
      <c r="C41" s="39">
        <f>IF(59.14096="","-",59.14096)</f>
        <v>59.14096</v>
      </c>
      <c r="D41" s="39">
        <f>IF(OR(142.81268="",59.14096="",142.81268=0),"-",59.14096/142.81268*100)</f>
        <v>41.411560934225164</v>
      </c>
    </row>
    <row r="42" spans="1:4" ht="15">
      <c r="A42" s="20" t="s">
        <v>23</v>
      </c>
      <c r="B42" s="39">
        <f>IF(16.24322="","-",16.24322)</f>
        <v>16.24322</v>
      </c>
      <c r="C42" s="39">
        <f>IF(63.12689="","-",63.12689)</f>
        <v>63.12689</v>
      </c>
      <c r="D42" s="39" t="s">
        <v>200</v>
      </c>
    </row>
    <row r="43" spans="1:4" ht="15">
      <c r="A43" s="20" t="s">
        <v>24</v>
      </c>
      <c r="B43" s="39">
        <f>IF(111.89495="","-",111.89495)</f>
        <v>111.89495</v>
      </c>
      <c r="C43" s="39">
        <f>IF(71.68285="","-",71.68285)</f>
        <v>71.68285</v>
      </c>
      <c r="D43" s="39">
        <f>IF(OR(111.89495="",71.68285="",111.89495=0),"-",71.68285/111.89495*100)</f>
        <v>64.06263195970864</v>
      </c>
    </row>
    <row r="44" spans="1:4" ht="15">
      <c r="A44" s="20" t="s">
        <v>22</v>
      </c>
      <c r="B44" s="39">
        <f>IF(80.83816="","-",80.83816)</f>
        <v>80.83816</v>
      </c>
      <c r="C44" s="39">
        <f>IF(76.74051="","-",76.74051)</f>
        <v>76.74051</v>
      </c>
      <c r="D44" s="39">
        <f>IF(OR(80.83816="",76.74051="",80.83816=0),"-",76.74051/80.83816*100)</f>
        <v>94.93104494214118</v>
      </c>
    </row>
    <row r="45" spans="1:4" ht="15">
      <c r="A45" s="20" t="s">
        <v>20</v>
      </c>
      <c r="B45" s="39">
        <f>IF(194.66006="","-",194.66006)</f>
        <v>194.66006</v>
      </c>
      <c r="C45" s="39">
        <f>IF(621.42252="","-",621.42252)</f>
        <v>621.42252</v>
      </c>
      <c r="D45" s="39" t="s">
        <v>39</v>
      </c>
    </row>
    <row r="46" spans="1:4" ht="15">
      <c r="A46" s="20" t="s">
        <v>19</v>
      </c>
      <c r="B46" s="39">
        <f>IF(232.44304="","-",232.44304)</f>
        <v>232.44304</v>
      </c>
      <c r="C46" s="39">
        <f>IF(661.72773="","-",661.72773)</f>
        <v>661.72773</v>
      </c>
      <c r="D46" s="39" t="s">
        <v>198</v>
      </c>
    </row>
    <row r="47" spans="1:4" ht="15">
      <c r="A47" s="1" t="s">
        <v>26</v>
      </c>
      <c r="B47" s="38">
        <f>IF(-83357.28073="","-",-83357.28073)</f>
        <v>-83357.28073</v>
      </c>
      <c r="C47" s="38">
        <f>IF(-112874.1656="","-",-112874.1656)</f>
        <v>-112874.1656</v>
      </c>
      <c r="D47" s="38">
        <f>IF(-83357.28073="","-",-112874.1656/-83357.28073*100)</f>
        <v>135.41008609146837</v>
      </c>
    </row>
    <row r="48" spans="1:4" ht="15">
      <c r="A48" s="20" t="s">
        <v>154</v>
      </c>
      <c r="B48" s="39">
        <f>IF(-44926.79065="","-",-44926.79065)</f>
        <v>-44926.79065</v>
      </c>
      <c r="C48" s="39">
        <f>IF(-59891.66796="","-",-59891.66796)</f>
        <v>-59891.66796</v>
      </c>
      <c r="D48" s="39">
        <f>IF(OR(-44926.79065="",-59891.66796="",-44926.79065=0),"-",-59891.66796/-44926.79065*100)</f>
        <v>133.30947324188622</v>
      </c>
    </row>
    <row r="49" spans="1:4" ht="15">
      <c r="A49" s="20" t="s">
        <v>151</v>
      </c>
      <c r="B49" s="39">
        <f>IF(-29371.97862="","-",-29371.97862)</f>
        <v>-29371.97862</v>
      </c>
      <c r="C49" s="39">
        <f>IF(-24668.40471="","-",-24668.40471)</f>
        <v>-24668.40471</v>
      </c>
      <c r="D49" s="39">
        <f>IF(OR(-29371.97862="",-24668.40471="",-29371.97862=0),"-",-24668.40471/-29371.97862*100)</f>
        <v>83.98618638923685</v>
      </c>
    </row>
    <row r="50" spans="1:4" ht="15">
      <c r="A50" s="20" t="s">
        <v>27</v>
      </c>
      <c r="B50" s="39">
        <f>IF(-3819.17243="","-",-3819.17243)</f>
        <v>-3819.17243</v>
      </c>
      <c r="C50" s="39">
        <f>IF(-12955.3774="","-",-12955.3774)</f>
        <v>-12955.3774</v>
      </c>
      <c r="D50" s="39" t="s">
        <v>226</v>
      </c>
    </row>
    <row r="51" spans="1:4" ht="15">
      <c r="A51" s="20" t="s">
        <v>169</v>
      </c>
      <c r="B51" s="39">
        <f>IF(-1146.76806="","-",-1146.76806)</f>
        <v>-1146.76806</v>
      </c>
      <c r="C51" s="39">
        <f>IF(-3865.33782="","-",-3865.33782)</f>
        <v>-3865.33782</v>
      </c>
      <c r="D51" s="39" t="s">
        <v>226</v>
      </c>
    </row>
    <row r="52" spans="1:4" ht="15">
      <c r="A52" s="20" t="s">
        <v>166</v>
      </c>
      <c r="B52" s="39">
        <f>IF(-4148.53872="","-",-4148.53872)</f>
        <v>-4148.53872</v>
      </c>
      <c r="C52" s="39">
        <f>IF(-3770.4961="","-",-3770.4961)</f>
        <v>-3770.4961</v>
      </c>
      <c r="D52" s="39">
        <f>IF(OR(-4148.53872="",-3770.4961="",-4148.53872=0),"-",-3770.4961/-4148.53872*100)</f>
        <v>90.88733056347128</v>
      </c>
    </row>
    <row r="53" spans="1:4" ht="15">
      <c r="A53" s="20" t="s">
        <v>120</v>
      </c>
      <c r="B53" s="39">
        <f>IF(-2064.68875="","-",-2064.68875)</f>
        <v>-2064.68875</v>
      </c>
      <c r="C53" s="39">
        <f>IF(-3298.13223="","-",-3298.13223)</f>
        <v>-3298.13223</v>
      </c>
      <c r="D53" s="39">
        <f>IF(OR(-2064.68875="",-3298.13223="",-2064.68875=0),"-",-3298.13223/-2064.68875*100)</f>
        <v>159.73992351147362</v>
      </c>
    </row>
    <row r="54" spans="1:4" ht="15">
      <c r="A54" s="20" t="s">
        <v>173</v>
      </c>
      <c r="B54" s="39">
        <f>IF(-3064.65692="","-",-3064.65692)</f>
        <v>-3064.65692</v>
      </c>
      <c r="C54" s="39">
        <f>IF(-2495.54243="","-",-2495.54243)</f>
        <v>-2495.54243</v>
      </c>
      <c r="D54" s="39">
        <f>IF(OR(-3064.65692="",-2495.54243="",-3064.65692=0),"-",-2495.54243/-3064.65692*100)</f>
        <v>81.4297487498209</v>
      </c>
    </row>
    <row r="55" spans="1:4" ht="15">
      <c r="A55" s="20" t="s">
        <v>167</v>
      </c>
      <c r="B55" s="39">
        <f>IF(-1391.47201="","-",-1391.47201)</f>
        <v>-1391.47201</v>
      </c>
      <c r="C55" s="39">
        <f>IF(-2184.84614="","-",-2184.84614)</f>
        <v>-2184.84614</v>
      </c>
      <c r="D55" s="39">
        <f>IF(OR(-1391.47201="",-2184.84614="",-1391.47201=0),"-",-2184.84614/-1391.47201*100)</f>
        <v>157.01689464813597</v>
      </c>
    </row>
    <row r="56" spans="1:4" ht="15">
      <c r="A56" s="20" t="s">
        <v>178</v>
      </c>
      <c r="B56" s="39">
        <f>IF(-1743.51794="","-",-1743.51794)</f>
        <v>-1743.51794</v>
      </c>
      <c r="C56" s="39">
        <f>IF(-2028.61029="","-",-2028.61029)</f>
        <v>-2028.61029</v>
      </c>
      <c r="D56" s="39">
        <f>IF(OR(-1743.51794="",-2028.61029="",-1743.51794=0),"-",-2028.61029/-1743.51794*100)</f>
        <v>116.35155816062324</v>
      </c>
    </row>
    <row r="57" spans="1:4" ht="15">
      <c r="A57" s="20" t="s">
        <v>168</v>
      </c>
      <c r="B57" s="39">
        <f>IF(-897.81957="","-",-897.81957)</f>
        <v>-897.81957</v>
      </c>
      <c r="C57" s="39">
        <f>IF(-1417.39577="","-",-1417.39577)</f>
        <v>-1417.39577</v>
      </c>
      <c r="D57" s="39">
        <f>IF(OR(-897.81957="",-1417.39577="",-897.81957=0),"-",-1417.39577/-897.81957*100)</f>
        <v>157.87089270063473</v>
      </c>
    </row>
    <row r="58" spans="1:4" ht="15">
      <c r="A58" s="20" t="s">
        <v>161</v>
      </c>
      <c r="B58" s="39">
        <f>IF(258.19692="","-",258.19692)</f>
        <v>258.19692</v>
      </c>
      <c r="C58" s="39">
        <f>IF(-1130.16594="","-",-1130.16594)</f>
        <v>-1130.16594</v>
      </c>
      <c r="D58" s="39" t="s">
        <v>37</v>
      </c>
    </row>
    <row r="59" spans="1:4" ht="15">
      <c r="A59" s="20" t="s">
        <v>159</v>
      </c>
      <c r="B59" s="39">
        <f>IF(567.11033="","-",567.11033)</f>
        <v>567.11033</v>
      </c>
      <c r="C59" s="39">
        <f>IF(-976.64771="","-",-976.64771)</f>
        <v>-976.64771</v>
      </c>
      <c r="D59" s="39" t="s">
        <v>37</v>
      </c>
    </row>
    <row r="60" spans="1:4" ht="15">
      <c r="A60" s="20" t="s">
        <v>179</v>
      </c>
      <c r="B60" s="39">
        <f>IF(-852.47167="","-",-852.47167)</f>
        <v>-852.47167</v>
      </c>
      <c r="C60" s="39">
        <f>IF(-905.3933="","-",-905.3933)</f>
        <v>-905.3933</v>
      </c>
      <c r="D60" s="39">
        <f>IF(OR(-852.47167="",-905.3933="",-852.47167=0),"-",-905.3933/-852.47167*100)</f>
        <v>106.20802213872985</v>
      </c>
    </row>
    <row r="61" spans="1:4" ht="15">
      <c r="A61" s="20" t="s">
        <v>175</v>
      </c>
      <c r="B61" s="39">
        <f>IF(-767.27751="","-",-767.27751)</f>
        <v>-767.27751</v>
      </c>
      <c r="C61" s="39">
        <f>IF(-875.42161="","-",-875.42161)</f>
        <v>-875.42161</v>
      </c>
      <c r="D61" s="39">
        <f>IF(OR(-767.27751="",-875.42161="",-767.27751=0),"-",-875.42161/-767.27751*100)</f>
        <v>114.09452233260427</v>
      </c>
    </row>
    <row r="62" spans="1:4" ht="15">
      <c r="A62" s="20" t="s">
        <v>181</v>
      </c>
      <c r="B62" s="39">
        <f>IF(-464.71776="","-",-464.71776)</f>
        <v>-464.71776</v>
      </c>
      <c r="C62" s="39">
        <f>IF(-765.23756="","-",-765.23756)</f>
        <v>-765.23756</v>
      </c>
      <c r="D62" s="39">
        <f>IF(OR(-464.71776="",-765.23756="",-464.71776=0),"-",-765.23756/-464.71776*100)</f>
        <v>164.667164861528</v>
      </c>
    </row>
    <row r="63" spans="1:4" ht="15">
      <c r="A63" s="20" t="s">
        <v>163</v>
      </c>
      <c r="B63" s="39">
        <f>IF(-1188.69956="","-",-1188.69956)</f>
        <v>-1188.69956</v>
      </c>
      <c r="C63" s="39">
        <f>IF(-668.46112="","-",-668.46112)</f>
        <v>-668.46112</v>
      </c>
      <c r="D63" s="39">
        <f>IF(OR(-1188.69956="",-668.46112="",-1188.69956=0),"-",-668.46112/-1188.69956*100)</f>
        <v>56.234656972532235</v>
      </c>
    </row>
    <row r="64" spans="1:4" ht="15">
      <c r="A64" s="20" t="s">
        <v>182</v>
      </c>
      <c r="B64" s="39">
        <f>IF(-631.4463="","-",-631.4463)</f>
        <v>-631.4463</v>
      </c>
      <c r="C64" s="39">
        <f>IF(-613.37395="","-",-613.37395)</f>
        <v>-613.37395</v>
      </c>
      <c r="D64" s="39">
        <f>IF(OR(-631.4463="",-613.37395="",-631.4463=0),"-",-613.37395/-631.4463*100)</f>
        <v>97.1379434799127</v>
      </c>
    </row>
    <row r="65" spans="1:4" ht="15">
      <c r="A65" s="20" t="s">
        <v>157</v>
      </c>
      <c r="B65" s="39">
        <f>IF(-1443.70832="","-",-1443.70832)</f>
        <v>-1443.70832</v>
      </c>
      <c r="C65" s="39">
        <f>IF(-539.47975="","-",-539.47975)</f>
        <v>-539.47975</v>
      </c>
      <c r="D65" s="39">
        <f>IF(OR(-1443.70832="",-539.47975="",-1443.70832=0),"-",-539.47975/-1443.70832*100)</f>
        <v>37.36764154687423</v>
      </c>
    </row>
    <row r="66" spans="1:4" ht="15">
      <c r="A66" s="20" t="s">
        <v>162</v>
      </c>
      <c r="B66" s="39">
        <f>IF(839.93478="","-",839.93478)</f>
        <v>839.93478</v>
      </c>
      <c r="C66" s="39">
        <f>IF(-490.94342="","-",-490.94342)</f>
        <v>-490.94342</v>
      </c>
      <c r="D66" s="39" t="s">
        <v>37</v>
      </c>
    </row>
    <row r="67" spans="1:4" ht="15">
      <c r="A67" s="20" t="s">
        <v>180</v>
      </c>
      <c r="B67" s="39">
        <f>IF(-1159.38797="","-",-1159.38797)</f>
        <v>-1159.38797</v>
      </c>
      <c r="C67" s="39">
        <f>IF(-490.26085="","-",-490.26085)</f>
        <v>-490.26085</v>
      </c>
      <c r="D67" s="39">
        <f>IF(OR(-1159.38797="",-490.26085="",-1159.38797=0),"-",-490.26085/-1159.38797*100)</f>
        <v>42.28617707668642</v>
      </c>
    </row>
    <row r="68" spans="1:4" ht="15">
      <c r="A68" s="20" t="s">
        <v>184</v>
      </c>
      <c r="B68" s="39">
        <f>IF(-358.27335="","-",-358.27335)</f>
        <v>-358.27335</v>
      </c>
      <c r="C68" s="39">
        <f>IF(-483.57928="","-",-483.57928)</f>
        <v>-483.57928</v>
      </c>
      <c r="D68" s="39">
        <f>IF(OR(-358.27335="",-483.57928="",-358.27335=0),"-",-483.57928/-358.27335*100)</f>
        <v>134.97495138837428</v>
      </c>
    </row>
    <row r="69" spans="1:4" ht="15">
      <c r="A69" s="20" t="s">
        <v>186</v>
      </c>
      <c r="B69" s="39">
        <f>IF(-185.22053="","-",-185.22053)</f>
        <v>-185.22053</v>
      </c>
      <c r="C69" s="39">
        <f>IF(-473.19752="","-",-473.19752)</f>
        <v>-473.19752</v>
      </c>
      <c r="D69" s="39" t="s">
        <v>217</v>
      </c>
    </row>
    <row r="70" spans="1:4" ht="15">
      <c r="A70" s="20" t="s">
        <v>171</v>
      </c>
      <c r="B70" s="39">
        <f>IF(-454.73489="","-",-454.73489)</f>
        <v>-454.73489</v>
      </c>
      <c r="C70" s="39">
        <f>IF(-448.24582="","-",-448.24582)</f>
        <v>-448.24582</v>
      </c>
      <c r="D70" s="39">
        <f>IF(OR(-454.73489="",-448.24582="",-454.73489=0),"-",-448.24582/-454.73489*100)</f>
        <v>98.57299931395191</v>
      </c>
    </row>
    <row r="71" spans="1:4" ht="15">
      <c r="A71" s="20" t="s">
        <v>183</v>
      </c>
      <c r="B71" s="39">
        <f>IF(-448.256="","-",-448.256)</f>
        <v>-448.256</v>
      </c>
      <c r="C71" s="39">
        <f>IF(-395.28171="","-",-395.28171)</f>
        <v>-395.28171</v>
      </c>
      <c r="D71" s="39">
        <f>IF(OR(-448.256="",-395.28171="",-448.256=0),"-",-395.28171/-448.256*100)</f>
        <v>88.1821347622787</v>
      </c>
    </row>
    <row r="72" spans="1:4" ht="15">
      <c r="A72" s="20" t="s">
        <v>156</v>
      </c>
      <c r="B72" s="39">
        <f>IF(-475.75763="","-",-475.75763)</f>
        <v>-475.75763</v>
      </c>
      <c r="C72" s="39">
        <f>IF(-277.08386="","-",-277.08386)</f>
        <v>-277.08386</v>
      </c>
      <c r="D72" s="39">
        <f>IF(OR(-475.75763="",-277.08386="",-475.75763=0),"-",-277.08386/-475.75763*100)</f>
        <v>58.240549920344954</v>
      </c>
    </row>
    <row r="73" spans="1:4" ht="15">
      <c r="A73" s="20" t="s">
        <v>192</v>
      </c>
      <c r="B73" s="39">
        <f>IF(-112.05527="","-",-112.05527)</f>
        <v>-112.05527</v>
      </c>
      <c r="C73" s="39">
        <f>IF(-257.76943="","-",-257.76943)</f>
        <v>-257.76943</v>
      </c>
      <c r="D73" s="39" t="s">
        <v>28</v>
      </c>
    </row>
    <row r="74" spans="1:4" ht="15">
      <c r="A74" s="20" t="s">
        <v>170</v>
      </c>
      <c r="B74" s="39">
        <f>IF(61.95915="","-",61.95915)</f>
        <v>61.95915</v>
      </c>
      <c r="C74" s="39">
        <f>IF(-243.86993="","-",-243.86993)</f>
        <v>-243.86993</v>
      </c>
      <c r="D74" s="39" t="s">
        <v>37</v>
      </c>
    </row>
    <row r="75" spans="1:4" ht="15">
      <c r="A75" s="20" t="s">
        <v>193</v>
      </c>
      <c r="B75" s="39">
        <f>IF(-172.6="","-",-172.6)</f>
        <v>-172.6</v>
      </c>
      <c r="C75" s="39">
        <f>IF(-233.41265="","-",-233.41265)</f>
        <v>-233.41265</v>
      </c>
      <c r="D75" s="39">
        <f>IF(OR(-172.6="",-233.41265="",-172.6=0),"-",-233.41265/-172.6*100)</f>
        <v>135.23328505214369</v>
      </c>
    </row>
    <row r="76" spans="1:4" ht="15">
      <c r="A76" s="20" t="s">
        <v>185</v>
      </c>
      <c r="B76" s="39">
        <f>IF(-74.78058="","-",-74.78058)</f>
        <v>-74.78058</v>
      </c>
      <c r="C76" s="39">
        <f>IF(-187.78691="","-",-187.78691)</f>
        <v>-187.78691</v>
      </c>
      <c r="D76" s="39" t="s">
        <v>217</v>
      </c>
    </row>
    <row r="77" spans="1:4" ht="15">
      <c r="A77" s="20" t="s">
        <v>189</v>
      </c>
      <c r="B77" s="39">
        <f>IF(-153.67603="","-",-153.67603)</f>
        <v>-153.67603</v>
      </c>
      <c r="C77" s="39">
        <f>IF(-163.66214="","-",-163.66214)</f>
        <v>-163.66214</v>
      </c>
      <c r="D77" s="39">
        <f>IF(OR(-153.67603="",-163.66214="",-153.67603=0),"-",-163.66214/-153.67603*100)</f>
        <v>106.4981571947167</v>
      </c>
    </row>
    <row r="78" spans="1:4" ht="15">
      <c r="A78" s="20" t="s">
        <v>190</v>
      </c>
      <c r="B78" s="39">
        <f>IF(-184.06919="","-",-184.06919)</f>
        <v>-184.06919</v>
      </c>
      <c r="C78" s="39">
        <f>IF(-158.76093="","-",-158.76093)</f>
        <v>-158.76093</v>
      </c>
      <c r="D78" s="39">
        <f>IF(OR(-184.06919="",-158.76093="",-184.06919=0),"-",-158.76093/-184.06919*100)</f>
        <v>86.25068106183333</v>
      </c>
    </row>
    <row r="79" spans="1:4" ht="15">
      <c r="A79" s="20" t="s">
        <v>195</v>
      </c>
      <c r="B79" s="39">
        <f>IF(-58.32178="","-",-58.32178)</f>
        <v>-58.32178</v>
      </c>
      <c r="C79" s="39">
        <f>IF(-149.09477="","-",-149.09477)</f>
        <v>-149.09477</v>
      </c>
      <c r="D79" s="39" t="s">
        <v>217</v>
      </c>
    </row>
    <row r="80" spans="1:7" ht="15">
      <c r="A80" s="20" t="s">
        <v>177</v>
      </c>
      <c r="B80" s="39">
        <f>IF(-238.17058="","-",-238.17058)</f>
        <v>-238.17058</v>
      </c>
      <c r="C80" s="39">
        <f>IF(-126.79723="","-",-126.79723)</f>
        <v>-126.79723</v>
      </c>
      <c r="D80" s="39">
        <f>IF(OR(-238.17058="",-126.79723="",-238.17058=0),"-",-126.79723/-238.17058*100)</f>
        <v>53.23799018333835</v>
      </c>
      <c r="E80" s="19"/>
      <c r="F80" s="19"/>
      <c r="G80" s="19"/>
    </row>
    <row r="81" spans="1:4" ht="15">
      <c r="A81" s="20" t="s">
        <v>130</v>
      </c>
      <c r="B81" s="39">
        <f>IF(-545.91118="","-",-545.91118)</f>
        <v>-545.91118</v>
      </c>
      <c r="C81" s="39">
        <f>IF(-124.63006="","-",-124.63006)</f>
        <v>-124.63006</v>
      </c>
      <c r="D81" s="39">
        <f>IF(OR(-545.91118="",-124.63006="",-545.91118=0),"-",-124.63006/-545.91118*100)</f>
        <v>22.829732118693745</v>
      </c>
    </row>
    <row r="82" spans="1:4" ht="15">
      <c r="A82" s="20" t="s">
        <v>188</v>
      </c>
      <c r="B82" s="39">
        <f>IF(-189.21413="","-",-189.21413)</f>
        <v>-189.21413</v>
      </c>
      <c r="C82" s="39">
        <f>IF(-116.45473="","-",-116.45473)</f>
        <v>-116.45473</v>
      </c>
      <c r="D82" s="39">
        <f>IF(OR(-189.21413="",-116.45473="",-189.21413=0),"-",-116.45473/-189.21413*100)</f>
        <v>61.5465293210396</v>
      </c>
    </row>
    <row r="83" spans="1:4" ht="15">
      <c r="A83" s="20" t="s">
        <v>131</v>
      </c>
      <c r="B83" s="39">
        <f>IF(-532.61743="","-",-532.61743)</f>
        <v>-532.61743</v>
      </c>
      <c r="C83" s="39">
        <f>IF(-114.11799="","-",-114.11799)</f>
        <v>-114.11799</v>
      </c>
      <c r="D83" s="39">
        <f>IF(OR(-532.61743="",-114.11799="",-532.61743=0),"-",-114.11799/-532.61743*100)</f>
        <v>21.425883490144138</v>
      </c>
    </row>
    <row r="84" spans="1:4" ht="15">
      <c r="A84" s="20" t="s">
        <v>219</v>
      </c>
      <c r="B84" s="39">
        <f>IF(-51.59963="","-",-51.59963)</f>
        <v>-51.59963</v>
      </c>
      <c r="C84" s="39">
        <f>IF(-111.87551="","-",-111.87551)</f>
        <v>-111.87551</v>
      </c>
      <c r="D84" s="39" t="s">
        <v>222</v>
      </c>
    </row>
    <row r="85" spans="1:4" ht="15">
      <c r="A85" s="20" t="s">
        <v>187</v>
      </c>
      <c r="B85" s="39">
        <f>IF(-223.52201="","-",-223.52201)</f>
        <v>-223.52201</v>
      </c>
      <c r="C85" s="39">
        <f>IF(-88.28459="","-",-88.28459)</f>
        <v>-88.28459</v>
      </c>
      <c r="D85" s="39">
        <f>IF(OR(-223.52201="",-88.28459="",-223.52201=0),"-",-88.28459/-223.52201*100)</f>
        <v>39.49704550348308</v>
      </c>
    </row>
    <row r="86" spans="1:4" ht="15">
      <c r="A86" s="20" t="s">
        <v>220</v>
      </c>
      <c r="B86" s="39">
        <f>IF(-60.52466="","-",-60.52466)</f>
        <v>-60.52466</v>
      </c>
      <c r="C86" s="39">
        <f>IF(-83.51715="","-",-83.51715)</f>
        <v>-83.51715</v>
      </c>
      <c r="D86" s="39">
        <f>IF(OR(-60.52466="",-83.51715="",-60.52466=0),"-",-83.51715/-60.52466*100)</f>
        <v>137.9886314107341</v>
      </c>
    </row>
    <row r="87" spans="1:4" ht="15">
      <c r="A87" s="20" t="s">
        <v>191</v>
      </c>
      <c r="B87" s="39">
        <f>IF(-133.27723="","-",-133.27723)</f>
        <v>-133.27723</v>
      </c>
      <c r="C87" s="39">
        <f>IF(-75.65095="","-",-75.65095)</f>
        <v>-75.65095</v>
      </c>
      <c r="D87" s="39">
        <f>IF(OR(-133.27723="",-75.65095="",-133.27723=0),"-",-75.65095/-133.27723*100)</f>
        <v>56.76209657118474</v>
      </c>
    </row>
    <row r="88" spans="1:4" ht="15">
      <c r="A88" s="20" t="s">
        <v>221</v>
      </c>
      <c r="B88" s="39">
        <f>IF(-5.7107="","-",-5.7107)</f>
        <v>-5.7107</v>
      </c>
      <c r="C88" s="39">
        <f>IF(-42.75149="","-",-42.75149)</f>
        <v>-42.75149</v>
      </c>
      <c r="D88" s="39" t="s">
        <v>211</v>
      </c>
    </row>
    <row r="89" spans="1:4" ht="15">
      <c r="A89" s="20" t="s">
        <v>164</v>
      </c>
      <c r="B89" s="39">
        <f>IF(-10.19188="","-",-10.19188)</f>
        <v>-10.19188</v>
      </c>
      <c r="C89" s="39">
        <f>IF(-30.08706="","-",-30.08706)</f>
        <v>-30.08706</v>
      </c>
      <c r="D89" s="39" t="s">
        <v>199</v>
      </c>
    </row>
    <row r="90" spans="1:4" ht="15">
      <c r="A90" s="20" t="s">
        <v>194</v>
      </c>
      <c r="B90" s="39">
        <f>IF(-1.56123="","-",-1.56123)</f>
        <v>-1.56123</v>
      </c>
      <c r="C90" s="39">
        <f>IF(6.89673="","-",6.89673)</f>
        <v>6.89673</v>
      </c>
      <c r="D90" s="39" t="s">
        <v>37</v>
      </c>
    </row>
    <row r="91" spans="1:4" ht="15">
      <c r="A91" s="20" t="s">
        <v>160</v>
      </c>
      <c r="B91" s="39">
        <f>IF(105.05548="","-",105.05548)</f>
        <v>105.05548</v>
      </c>
      <c r="C91" s="39">
        <f>IF(22.06786="","-",22.06786)</f>
        <v>22.06786</v>
      </c>
      <c r="D91" s="39">
        <f>IF(OR(105.05548="",22.06786="",105.05548=0),"-",22.06786/105.05548*100)</f>
        <v>21.005910400866284</v>
      </c>
    </row>
    <row r="92" spans="1:4" ht="15">
      <c r="A92" s="20" t="s">
        <v>210</v>
      </c>
      <c r="B92" s="39">
        <f>IF(21.9411="","-",21.9411)</f>
        <v>21.9411</v>
      </c>
      <c r="C92" s="39">
        <f>IF(54.56142="","-",54.56142)</f>
        <v>54.56142</v>
      </c>
      <c r="D92" s="39" t="s">
        <v>217</v>
      </c>
    </row>
    <row r="93" spans="1:4" ht="15">
      <c r="A93" s="20" t="s">
        <v>176</v>
      </c>
      <c r="B93" s="39">
        <f>IF(-366.94856="","-",-366.94856)</f>
        <v>-366.94856</v>
      </c>
      <c r="C93" s="39">
        <f>IF(58.86245="","-",58.86245)</f>
        <v>58.86245</v>
      </c>
      <c r="D93" s="39" t="s">
        <v>37</v>
      </c>
    </row>
    <row r="94" spans="1:4" ht="15">
      <c r="A94" s="20" t="s">
        <v>174</v>
      </c>
      <c r="B94" s="39">
        <f>IF(33.74711="","-",33.74711)</f>
        <v>33.74711</v>
      </c>
      <c r="C94" s="39">
        <f>IF(67.65378="","-",67.65378)</f>
        <v>67.65378</v>
      </c>
      <c r="D94" s="39" t="s">
        <v>30</v>
      </c>
    </row>
    <row r="95" spans="1:4" ht="15">
      <c r="A95" s="20" t="s">
        <v>128</v>
      </c>
      <c r="B95" s="39">
        <f>IF(53.27983="","-",53.27983)</f>
        <v>53.27983</v>
      </c>
      <c r="C95" s="39">
        <f>IF(102.17514="","-",102.17514)</f>
        <v>102.17514</v>
      </c>
      <c r="D95" s="39" t="s">
        <v>40</v>
      </c>
    </row>
    <row r="96" spans="1:4" ht="15">
      <c r="A96" s="20" t="s">
        <v>209</v>
      </c>
      <c r="B96" s="39">
        <f>IF(0="","-",0)</f>
        <v>0</v>
      </c>
      <c r="C96" s="39">
        <f>IF(186.33116="","-",186.33116)</f>
        <v>186.33116</v>
      </c>
      <c r="D96" s="39" t="s">
        <v>37</v>
      </c>
    </row>
    <row r="97" spans="1:4" ht="15">
      <c r="A97" s="20" t="s">
        <v>225</v>
      </c>
      <c r="B97" s="39">
        <f>IF(-293.39699="","-",-293.39699)</f>
        <v>-293.39699</v>
      </c>
      <c r="C97" s="39">
        <f>IF(293.20239="","-",293.20239)</f>
        <v>293.20239</v>
      </c>
      <c r="D97" s="39" t="s">
        <v>37</v>
      </c>
    </row>
    <row r="98" spans="1:4" ht="15">
      <c r="A98" s="20" t="s">
        <v>125</v>
      </c>
      <c r="B98" s="39">
        <f>IF(127.05186="","-",127.05186)</f>
        <v>127.05186</v>
      </c>
      <c r="C98" s="39">
        <f>IF(360.73707="","-",360.73707)</f>
        <v>360.73707</v>
      </c>
      <c r="D98" s="39" t="s">
        <v>198</v>
      </c>
    </row>
    <row r="99" spans="1:4" ht="15">
      <c r="A99" s="20" t="s">
        <v>165</v>
      </c>
      <c r="B99" s="39">
        <f>IF(-391.51656="","-",-391.51656)</f>
        <v>-391.51656</v>
      </c>
      <c r="C99" s="39">
        <f>IF(531.60304="","-",531.60304)</f>
        <v>531.60304</v>
      </c>
      <c r="D99" s="39" t="s">
        <v>37</v>
      </c>
    </row>
    <row r="100" spans="1:7" ht="15">
      <c r="A100" s="20" t="s">
        <v>172</v>
      </c>
      <c r="B100" s="39">
        <f>IF(53.19721="","-",53.19721)</f>
        <v>53.19721</v>
      </c>
      <c r="C100" s="39">
        <f>IF(682.72231="","-",682.72231)</f>
        <v>682.72231</v>
      </c>
      <c r="D100" s="39" t="s">
        <v>227</v>
      </c>
      <c r="E100" s="19"/>
      <c r="F100" s="19"/>
      <c r="G100" s="19"/>
    </row>
    <row r="101" spans="1:7" ht="15">
      <c r="A101" s="20" t="s">
        <v>158</v>
      </c>
      <c r="B101" s="39">
        <f>IF(2233.67173="","-",2233.67173)</f>
        <v>2233.67173</v>
      </c>
      <c r="C101" s="39">
        <f>IF(801.15007="","-",801.15007)</f>
        <v>801.15007</v>
      </c>
      <c r="D101" s="39">
        <f>IF(OR(2233.67173="",801.15007="",2233.67173=0),"-",801.15007/2233.67173*100)</f>
        <v>35.86695660064606</v>
      </c>
      <c r="E101" s="2"/>
      <c r="F101" s="2"/>
      <c r="G101" s="2"/>
    </row>
    <row r="102" spans="1:7" ht="15">
      <c r="A102" s="20" t="s">
        <v>152</v>
      </c>
      <c r="B102" s="39">
        <f>IF(11310.62143="","-",11310.62143)</f>
        <v>11310.62143</v>
      </c>
      <c r="C102" s="39">
        <f>IF(1950.78246="","-",1950.78246)</f>
        <v>1950.78246</v>
      </c>
      <c r="D102" s="39">
        <f>IF(OR(11310.62143="",1950.78246="",11310.62143=0),"-",1950.78246/11310.62143*100)</f>
        <v>17.247349953962697</v>
      </c>
      <c r="E102" s="2"/>
      <c r="F102" s="2"/>
      <c r="G102" s="2"/>
    </row>
    <row r="103" spans="1:7" ht="15">
      <c r="A103" s="20" t="s">
        <v>153</v>
      </c>
      <c r="B103" s="39">
        <f>IF(1290.99192="","-",1290.99192)</f>
        <v>1290.99192</v>
      </c>
      <c r="C103" s="39">
        <f>IF(2339.77736="","-",2339.77736)</f>
        <v>2339.77736</v>
      </c>
      <c r="D103" s="39" t="s">
        <v>14</v>
      </c>
      <c r="E103" s="2"/>
      <c r="F103" s="2"/>
      <c r="G103" s="2"/>
    </row>
    <row r="104" spans="1:7" ht="15">
      <c r="A104" s="48" t="s">
        <v>155</v>
      </c>
      <c r="B104" s="49">
        <f>IF(557.62051="","-",557.62051)</f>
        <v>557.62051</v>
      </c>
      <c r="C104" s="49">
        <f>IF(3342.52175="","-",3342.52175)</f>
        <v>3342.52175</v>
      </c>
      <c r="D104" s="49" t="s">
        <v>228</v>
      </c>
      <c r="E104" s="26"/>
      <c r="F104" s="26"/>
      <c r="G104" s="26"/>
    </row>
    <row r="105" spans="1:7" ht="15">
      <c r="A105" s="81" t="s">
        <v>31</v>
      </c>
      <c r="B105" s="81"/>
      <c r="C105" s="81"/>
      <c r="D105" s="81"/>
      <c r="E105" s="40"/>
      <c r="F105" s="40"/>
      <c r="G105" s="40"/>
    </row>
  </sheetData>
  <sheetProtection/>
  <mergeCells count="5">
    <mergeCell ref="A105:D105"/>
    <mergeCell ref="A1:D1"/>
    <mergeCell ref="A3:A4"/>
    <mergeCell ref="B3:C3"/>
    <mergeCell ref="D3:D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4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29.625" style="0" customWidth="1"/>
    <col min="2" max="2" width="11.125" style="0" customWidth="1"/>
    <col min="3" max="3" width="10.625" style="0" customWidth="1"/>
    <col min="4" max="4" width="7.75390625" style="0" customWidth="1"/>
    <col min="5" max="5" width="7.875" style="0" customWidth="1"/>
    <col min="6" max="6" width="9.375" style="0" customWidth="1"/>
    <col min="7" max="7" width="9.75390625" style="0" customWidth="1"/>
  </cols>
  <sheetData>
    <row r="1" spans="1:7" ht="15.75">
      <c r="A1" s="68" t="s">
        <v>121</v>
      </c>
      <c r="B1" s="68"/>
      <c r="C1" s="68"/>
      <c r="D1" s="68"/>
      <c r="E1" s="68"/>
      <c r="F1" s="68"/>
      <c r="G1" s="68"/>
    </row>
    <row r="2" spans="1:7" ht="15.75">
      <c r="A2" s="68" t="s">
        <v>41</v>
      </c>
      <c r="B2" s="68"/>
      <c r="C2" s="68"/>
      <c r="D2" s="68"/>
      <c r="E2" s="68"/>
      <c r="F2" s="68"/>
      <c r="G2" s="68"/>
    </row>
    <row r="3" ht="15">
      <c r="A3" s="12"/>
    </row>
    <row r="4" spans="1:7" ht="58.5" customHeight="1">
      <c r="A4" s="69"/>
      <c r="B4" s="72" t="s">
        <v>203</v>
      </c>
      <c r="C4" s="73"/>
      <c r="D4" s="72" t="s">
        <v>0</v>
      </c>
      <c r="E4" s="73"/>
      <c r="F4" s="74" t="s">
        <v>252</v>
      </c>
      <c r="G4" s="75"/>
    </row>
    <row r="5" spans="1:7" ht="23.25" customHeight="1">
      <c r="A5" s="70"/>
      <c r="B5" s="76" t="s">
        <v>234</v>
      </c>
      <c r="C5" s="78" t="s">
        <v>206</v>
      </c>
      <c r="D5" s="80" t="s">
        <v>204</v>
      </c>
      <c r="E5" s="80"/>
      <c r="F5" s="80" t="s">
        <v>204</v>
      </c>
      <c r="G5" s="72"/>
    </row>
    <row r="6" spans="1:7" ht="31.5" customHeight="1">
      <c r="A6" s="71"/>
      <c r="B6" s="77"/>
      <c r="C6" s="79"/>
      <c r="D6" s="31">
        <v>2016</v>
      </c>
      <c r="E6" s="31">
        <v>2017</v>
      </c>
      <c r="F6" s="31" t="s">
        <v>2</v>
      </c>
      <c r="G6" s="32" t="s">
        <v>205</v>
      </c>
    </row>
    <row r="7" spans="1:7" ht="15">
      <c r="A7" s="13" t="s">
        <v>235</v>
      </c>
      <c r="B7" s="52">
        <f>IF(316175.78086="","-",316175.78086)</f>
        <v>316175.78086</v>
      </c>
      <c r="C7" s="52">
        <f>IF(255220.70381="","-",316175.78086/255220.70381*100)</f>
        <v>123.8832806821888</v>
      </c>
      <c r="D7" s="52">
        <v>100</v>
      </c>
      <c r="E7" s="52">
        <v>100</v>
      </c>
      <c r="F7" s="52">
        <f>IF(313138.53701="","-",(255220.70381-313138.53701)/313138.53701*100)</f>
        <v>-18.495913582859455</v>
      </c>
      <c r="G7" s="52">
        <f>IF(255220.70381="","-",(316175.78086-255220.70381)/255220.70381*100)</f>
        <v>23.883280682188786</v>
      </c>
    </row>
    <row r="8" spans="1:7" ht="15" customHeight="1">
      <c r="A8" s="14" t="s">
        <v>114</v>
      </c>
      <c r="B8" s="56"/>
      <c r="C8" s="56"/>
      <c r="D8" s="56"/>
      <c r="E8" s="56"/>
      <c r="F8" s="56"/>
      <c r="G8" s="56"/>
    </row>
    <row r="9" spans="1:7" ht="15">
      <c r="A9" s="15" t="s">
        <v>42</v>
      </c>
      <c r="B9" s="53">
        <f>IF(69874.64482="","-",69874.64482)</f>
        <v>69874.64482</v>
      </c>
      <c r="C9" s="53">
        <f>IF(52951.62811="","-",69874.64482/52951.62811*100)</f>
        <v>131.9593888120771</v>
      </c>
      <c r="D9" s="53">
        <f>IF(52951.62811="","-",52951.62811/255220.70381*100)</f>
        <v>20.747387386495113</v>
      </c>
      <c r="E9" s="53">
        <f>IF(69874.64482="","-",69874.64482/316175.78086*100)</f>
        <v>22.099935874259742</v>
      </c>
      <c r="F9" s="53">
        <f>IF(313138.53701="","-",(52951.62811-89906.46988)/313138.53701*100)</f>
        <v>-11.801435276176138</v>
      </c>
      <c r="G9" s="53">
        <f>IF(255220.70381="","-",(69874.64482-52951.62811)/255220.70381*100)</f>
        <v>6.6307382031978115</v>
      </c>
    </row>
    <row r="10" spans="1:7" s="25" customFormat="1" ht="15">
      <c r="A10" s="23" t="s">
        <v>43</v>
      </c>
      <c r="B10" s="54">
        <f>IF(471.22545="","-",471.22545)</f>
        <v>471.22545</v>
      </c>
      <c r="C10" s="54">
        <f>IF(OR(2213.32187="",471.22545=""),"-",471.22545/2213.32187*100)</f>
        <v>21.290416743589127</v>
      </c>
      <c r="D10" s="54">
        <f>IF(2213.32187="","-",2213.32187/255220.70381*100)</f>
        <v>0.8672187784764186</v>
      </c>
      <c r="E10" s="54">
        <f>IF(471.22545="","-",471.22545/316175.78086*100)</f>
        <v>0.14903907210041958</v>
      </c>
      <c r="F10" s="54">
        <f>IF(OR(313138.53701="",1603.75396="",2213.32187=""),"-",(2213.32187-1603.75396)/313138.53701*100)</f>
        <v>0.19466397072058042</v>
      </c>
      <c r="G10" s="54">
        <f>IF(OR(255220.70381="",471.22545="",2213.32187=""),"-",(471.22545-2213.32187)/255220.70381*100)</f>
        <v>-0.682584286460126</v>
      </c>
    </row>
    <row r="11" spans="1:7" s="25" customFormat="1" ht="15">
      <c r="A11" s="23" t="s">
        <v>44</v>
      </c>
      <c r="B11" s="54">
        <f>IF(1131.55202="","-",1131.55202)</f>
        <v>1131.55202</v>
      </c>
      <c r="C11" s="65">
        <v>183.3098267985642</v>
      </c>
      <c r="D11" s="54">
        <f>IF(617.28934="","-",617.28934/255220.70381*100)</f>
        <v>0.24186491565337245</v>
      </c>
      <c r="E11" s="54">
        <f>IF(1131.55202="","-",1131.55202/316175.78086*100)</f>
        <v>0.357887000997411</v>
      </c>
      <c r="F11" s="54">
        <f>IF(OR(313138.53701="",209.74294="",617.28934=""),"-",(617.28934-209.74294)/313138.53701*100)</f>
        <v>0.13014891232853437</v>
      </c>
      <c r="G11" s="54">
        <f>IF(OR(255220.70381="",1131.55202="",617.28934=""),"-",(1131.55202-617.28934)/255220.70381*100)</f>
        <v>0.20149724231731794</v>
      </c>
    </row>
    <row r="12" spans="1:7" s="25" customFormat="1" ht="15">
      <c r="A12" s="23" t="s">
        <v>45</v>
      </c>
      <c r="B12" s="54">
        <f>IF(2266.69663="","-",2266.69663)</f>
        <v>2266.69663</v>
      </c>
      <c r="C12" s="54">
        <f>IF(OR(1607.76459="",2266.69663=""),"-",2266.69663/1607.76459*100)</f>
        <v>140.98436077634972</v>
      </c>
      <c r="D12" s="54">
        <f>IF(1607.76459="","-",1607.76459/255220.70381*100)</f>
        <v>0.6299506920868404</v>
      </c>
      <c r="E12" s="54">
        <f>IF(2266.69663="","-",2266.69663/316175.78086*100)</f>
        <v>0.7169102654967979</v>
      </c>
      <c r="F12" s="54">
        <f>IF(OR(313138.53701="",1465.70845="",1607.76459=""),"-",(1607.76459-1465.70845)/313138.53701*100)</f>
        <v>0.045365269109455986</v>
      </c>
      <c r="G12" s="54">
        <f>IF(OR(255220.70381="",2266.69663="",1607.76459=""),"-",(2266.69663-1607.76459)/255220.70381*100)</f>
        <v>0.2581812643579826</v>
      </c>
    </row>
    <row r="13" spans="1:7" s="25" customFormat="1" ht="15">
      <c r="A13" s="23" t="s">
        <v>47</v>
      </c>
      <c r="B13" s="54">
        <f>IF(18372.59277="","-",18372.59277)</f>
        <v>18372.59277</v>
      </c>
      <c r="C13" s="65">
        <v>197.3691878783258</v>
      </c>
      <c r="D13" s="54">
        <f>IF(9308.74417="","-",9308.74417/255220.70381*100)</f>
        <v>3.6473311259771184</v>
      </c>
      <c r="E13" s="54">
        <f>IF(18372.59277="","-",18372.59277/316175.78086*100)</f>
        <v>5.810879226747361</v>
      </c>
      <c r="F13" s="54">
        <f>IF(OR(313138.53701="",25781.67821="",9308.74417=""),"-",(9308.74417-25781.67821)/313138.53701*100)</f>
        <v>-5.260589832631792</v>
      </c>
      <c r="G13" s="54">
        <f>IF(OR(255220.70381="",18372.59277="",9308.74417=""),"-",(18372.59277-9308.74417)/255220.70381*100)</f>
        <v>3.5513766965973166</v>
      </c>
    </row>
    <row r="14" spans="1:7" s="25" customFormat="1" ht="15">
      <c r="A14" s="23" t="s">
        <v>48</v>
      </c>
      <c r="B14" s="54">
        <f>IF(38335.842="","-",38335.842)</f>
        <v>38335.842</v>
      </c>
      <c r="C14" s="54">
        <f>IF(OR(31510.04196="",38335.842=""),"-",38335.842/31510.04196*100)</f>
        <v>121.66230069977348</v>
      </c>
      <c r="D14" s="54">
        <f>IF(31510.04196="","-",31510.04196/255220.70381*100)</f>
        <v>12.34619350609493</v>
      </c>
      <c r="E14" s="54">
        <f>IF(38335.842="","-",38335.842/316175.78086*100)</f>
        <v>12.124850896462176</v>
      </c>
      <c r="F14" s="54">
        <f>IF(OR(313138.53701="",47936.69534="",31510.04196=""),"-",(31510.04196-47936.69534)/313138.53701*100)</f>
        <v>-5.245810220884892</v>
      </c>
      <c r="G14" s="54">
        <f>IF(OR(255220.70381="",38335.842="",31510.04196=""),"-",(38335.842-31510.04196)/255220.70381*100)</f>
        <v>2.6744695622661907</v>
      </c>
    </row>
    <row r="15" spans="1:7" s="25" customFormat="1" ht="15">
      <c r="A15" s="23" t="s">
        <v>49</v>
      </c>
      <c r="B15" s="54">
        <f>IF(4016.35256="","-",4016.35256)</f>
        <v>4016.35256</v>
      </c>
      <c r="C15" s="54">
        <f>IF(OR(3014.64982="",4016.35256=""),"-",4016.35256/3014.64982*100)</f>
        <v>133.2278307534903</v>
      </c>
      <c r="D15" s="54">
        <f>IF(3014.64982="","-",3014.64982/255220.70381*100)</f>
        <v>1.1811932868284336</v>
      </c>
      <c r="E15" s="54">
        <f>IF(4016.35256="","-",4016.35256/316175.78086*100)</f>
        <v>1.2702910226316189</v>
      </c>
      <c r="F15" s="54">
        <f>IF(OR(313138.53701="",7561.53716="",3014.64982=""),"-",(3014.64982-7561.53716)/313138.53701*100)</f>
        <v>-1.4520369748852713</v>
      </c>
      <c r="G15" s="54">
        <f>IF(OR(255220.70381="",4016.35256="",3014.64982=""),"-",(4016.35256-3014.64982)/255220.70381*100)</f>
        <v>0.392484906218941</v>
      </c>
    </row>
    <row r="16" spans="1:7" s="25" customFormat="1" ht="26.25">
      <c r="A16" s="23" t="s">
        <v>50</v>
      </c>
      <c r="B16" s="54">
        <f>IF(1420.34923="","-",1420.34923)</f>
        <v>1420.34923</v>
      </c>
      <c r="C16" s="54">
        <f>IF(OR(1253.39925="",1420.34923=""),"-",1420.34923/1253.39925*100)</f>
        <v>113.3197765995153</v>
      </c>
      <c r="D16" s="54">
        <f>IF(1253.39925="","-",1253.39925/255220.70381*100)</f>
        <v>0.4911040645562586</v>
      </c>
      <c r="E16" s="54">
        <f>IF(1420.34923="","-",1420.34923/316175.78086*100)</f>
        <v>0.4492277131843058</v>
      </c>
      <c r="F16" s="54">
        <f>IF(OR(313138.53701="",1199.90698="",1253.39925=""),"-",(1253.39925-1199.90698)/313138.53701*100)</f>
        <v>0.017082621165306046</v>
      </c>
      <c r="G16" s="54">
        <f>IF(OR(255220.70381="",1420.34923="",1253.39925=""),"-",(1420.34923-1253.39925)/255220.70381*100)</f>
        <v>0.06541396427003297</v>
      </c>
    </row>
    <row r="17" spans="1:7" s="25" customFormat="1" ht="26.25">
      <c r="A17" s="23" t="s">
        <v>51</v>
      </c>
      <c r="B17" s="54">
        <f>IF(3614.78278="","-",3614.78278)</f>
        <v>3614.78278</v>
      </c>
      <c r="C17" s="54">
        <f>IF(OR(3203.21897="",3614.78278=""),"-",3614.78278/3203.21897*100)</f>
        <v>112.84844445086438</v>
      </c>
      <c r="D17" s="54">
        <f>IF(3203.21897="","-",3203.21897/255220.70381*100)</f>
        <v>1.255078025482074</v>
      </c>
      <c r="E17" s="54">
        <f>IF(3614.78278="","-",3614.78278/316175.78086*100)</f>
        <v>1.1432826291020044</v>
      </c>
      <c r="F17" s="54">
        <f>IF(OR(313138.53701="",3904.93872="",3203.21897=""),"-",(3203.21897-3904.93872)/313138.53701*100)</f>
        <v>-0.22409242781178065</v>
      </c>
      <c r="G17" s="54">
        <f>IF(OR(255220.70381="",3614.78278="",3203.21897=""),"-",(3614.78278-3203.21897)/255220.70381*100)</f>
        <v>0.16125800291906972</v>
      </c>
    </row>
    <row r="18" spans="1:7" s="25" customFormat="1" ht="15">
      <c r="A18" s="23" t="s">
        <v>52</v>
      </c>
      <c r="B18" s="54">
        <f>IF(243.56814="","-",243.56814)</f>
        <v>243.56814</v>
      </c>
      <c r="C18" s="54">
        <f>IF(OR(221.84456="",243.56814=""),"-",243.56814/221.84456*100)</f>
        <v>109.79225273768263</v>
      </c>
      <c r="D18" s="54">
        <f>IF(221.84456="","-",221.84456/255220.70381*100)</f>
        <v>0.08692263467980756</v>
      </c>
      <c r="E18" s="54">
        <f>IF(243.56814="","-",243.56814/316175.78086*100)</f>
        <v>0.07703567279489061</v>
      </c>
      <c r="F18" s="54">
        <f>IF(OR(313138.53701="",239.75905="",221.84456=""),"-",(221.84456-239.75905)/313138.53701*100)</f>
        <v>-0.005720947083376042</v>
      </c>
      <c r="G18" s="54">
        <f>IF(OR(255220.70381="",243.56814="",221.84456=""),"-",(243.56814-221.84456)/255220.70381*100)</f>
        <v>0.008511684074099333</v>
      </c>
    </row>
    <row r="19" spans="1:7" s="25" customFormat="1" ht="15">
      <c r="A19" s="24" t="s">
        <v>53</v>
      </c>
      <c r="B19" s="53">
        <f>IF(23520.82764="","-",23520.82764)</f>
        <v>23520.82764</v>
      </c>
      <c r="C19" s="53">
        <f>IF(21384.86324="","-",23520.82764/21384.86324*100)</f>
        <v>109.98820696690133</v>
      </c>
      <c r="D19" s="53">
        <f>IF(21384.86324="","-",21384.86324/255220.70381*100)</f>
        <v>8.378968837857308</v>
      </c>
      <c r="E19" s="53">
        <f>IF(23520.82764="","-",23520.82764/316175.78086*100)</f>
        <v>7.43916171441823</v>
      </c>
      <c r="F19" s="53">
        <f>IF(313138.53701="","-",(21384.86324-23770.37494)/313138.53701*100)</f>
        <v>-0.7618071294507652</v>
      </c>
      <c r="G19" s="53">
        <f>IF(255220.70381="","-",(23520.82764-21384.86324)/255220.70381*100)</f>
        <v>0.8369087492173547</v>
      </c>
    </row>
    <row r="20" spans="1:7" s="25" customFormat="1" ht="15">
      <c r="A20" s="23" t="s">
        <v>54</v>
      </c>
      <c r="B20" s="54">
        <f>IF(21395.06789="","-",21395.06789)</f>
        <v>21395.06789</v>
      </c>
      <c r="C20" s="54">
        <f>IF(OR(19479.8096="",21395.06789=""),"-",21395.06789/19479.8096*100)</f>
        <v>109.83201750596166</v>
      </c>
      <c r="D20" s="54">
        <f>IF(19479.8096="","-",19479.8096/255220.70381*100)</f>
        <v>7.632535021336598</v>
      </c>
      <c r="E20" s="54">
        <f>IF(21395.06789="","-",21395.06789/316175.78086*100)</f>
        <v>6.766826931463658</v>
      </c>
      <c r="F20" s="54">
        <f>IF(OR(313138.53701="",21547.70745="",19479.8096=""),"-",(19479.8096-21547.70745)/313138.53701*100)</f>
        <v>-0.6603779495635709</v>
      </c>
      <c r="G20" s="54">
        <f>IF(OR(255220.70381="",21395.06789="",19479.8096=""),"-",(21395.06789-19479.8096)/255220.70381*100)</f>
        <v>0.750432179446468</v>
      </c>
    </row>
    <row r="21" spans="1:7" s="25" customFormat="1" ht="15">
      <c r="A21" s="23" t="s">
        <v>55</v>
      </c>
      <c r="B21" s="54">
        <f>IF(2125.75975="","-",2125.75975)</f>
        <v>2125.75975</v>
      </c>
      <c r="C21" s="54">
        <f>IF(OR(1905.05364="",2125.75975=""),"-",2125.75975/1905.05364*100)</f>
        <v>111.58529635942429</v>
      </c>
      <c r="D21" s="54">
        <f>IF(1905.05364="","-",1905.05364/255220.70381*100)</f>
        <v>0.74643381652071</v>
      </c>
      <c r="E21" s="54">
        <f>IF(2125.75975="","-",2125.75975/316175.78086*100)</f>
        <v>0.6723347829545707</v>
      </c>
      <c r="F21" s="54">
        <f>IF(OR(313138.53701="",2222.66749="",1905.05364=""),"-",(1905.05364-2222.66749)/313138.53701*100)</f>
        <v>-0.10142917988719378</v>
      </c>
      <c r="G21" s="54">
        <f>IF(OR(255220.70381="",2125.75975="",1905.05364=""),"-",(2125.75975-1905.05364)/255220.70381*100)</f>
        <v>0.08647656977088566</v>
      </c>
    </row>
    <row r="22" spans="1:7" s="25" customFormat="1" ht="26.25">
      <c r="A22" s="24" t="s">
        <v>56</v>
      </c>
      <c r="B22" s="53">
        <f>IF(41174.86833="","-",41174.86833)</f>
        <v>41174.86833</v>
      </c>
      <c r="C22" s="53">
        <f>IF(23207.65106="","-",41174.86833/23207.65106*100)</f>
        <v>177.41937011870945</v>
      </c>
      <c r="D22" s="53">
        <f>IF(23207.65106="","-",23207.65106/255220.70381*100)</f>
        <v>9.093169446502673</v>
      </c>
      <c r="E22" s="53">
        <f>IF(41174.86833="","-",41174.86833/316175.78086*100)</f>
        <v>13.022777461956167</v>
      </c>
      <c r="F22" s="53">
        <f>IF(313138.53701="","-",(23207.65106-34674.95943)/313138.53701*100)</f>
        <v>-3.6620559320151</v>
      </c>
      <c r="G22" s="53">
        <f>IF(255220.70381="","-",(41174.86833-23207.65106)/255220.70381*100)</f>
        <v>7.039874509309307</v>
      </c>
    </row>
    <row r="23" spans="1:8" s="25" customFormat="1" ht="15">
      <c r="A23" s="23" t="s">
        <v>57</v>
      </c>
      <c r="B23" s="54">
        <f>IF(479.66608="","-",479.66608)</f>
        <v>479.66608</v>
      </c>
      <c r="C23" s="54">
        <f>IF(OR(626.96358="",479.66608=""),"-",479.66608/626.96358*100)</f>
        <v>76.50621109443072</v>
      </c>
      <c r="D23" s="54">
        <f>IF(626.96358="","-",626.96358/255220.70381*100)</f>
        <v>0.24565545453034457</v>
      </c>
      <c r="E23" s="54">
        <f>IF(479.66608="","-",479.66608/316175.78086*100)</f>
        <v>0.15170867252871342</v>
      </c>
      <c r="F23" s="54">
        <f>IF(OR(313138.53701="",668.66822="",626.96358=""),"-",(626.96358-668.66822)/313138.53701*100)</f>
        <v>-0.013318271330707603</v>
      </c>
      <c r="G23" s="54">
        <f>IF(OR(255220.70381="",479.66608="",626.96358=""),"-",(479.66608-626.96358)/255220.70381*100)</f>
        <v>-0.05771377392237587</v>
      </c>
      <c r="H23" s="21"/>
    </row>
    <row r="24" spans="1:8" s="25" customFormat="1" ht="15">
      <c r="A24" s="23" t="s">
        <v>58</v>
      </c>
      <c r="B24" s="54">
        <f>IF(36155.46603="","-",36155.46603)</f>
        <v>36155.46603</v>
      </c>
      <c r="C24" s="65">
        <v>184.0020728295357</v>
      </c>
      <c r="D24" s="54">
        <f>IF(19649.48844="","-",19649.48844/255220.70381*100)</f>
        <v>7.699018201371365</v>
      </c>
      <c r="E24" s="54">
        <f>IF(36155.46603="","-",36155.46603/316175.78086*100)</f>
        <v>11.43524210856914</v>
      </c>
      <c r="F24" s="54">
        <f>IF(OR(313138.53701="",27167.44576="",19649.48844=""),"-",(19649.48844-27167.44576)/313138.53701*100)</f>
        <v>-2.4008406604262555</v>
      </c>
      <c r="G24" s="54">
        <f>IF(OR(255220.70381="",36155.46603="",19649.48844=""),"-",(36155.46603-19649.48844)/255220.70381*100)</f>
        <v>6.467334876675185</v>
      </c>
      <c r="H24" s="22"/>
    </row>
    <row r="25" spans="1:8" s="25" customFormat="1" ht="15">
      <c r="A25" s="23" t="s">
        <v>60</v>
      </c>
      <c r="B25" s="54">
        <f>IF(14.53382="","-",14.53382)</f>
        <v>14.53382</v>
      </c>
      <c r="C25" s="54">
        <f>IF(OR(258.27269="",14.53382=""),"-",14.53382/258.27269*100)</f>
        <v>5.6273158420272775</v>
      </c>
      <c r="D25" s="54">
        <f>IF(258.27269="","-",258.27269/255220.70381*100)</f>
        <v>0.10119582233903408</v>
      </c>
      <c r="E25" s="54">
        <f>IF(14.53382="","-",14.53382/316175.78086*100)</f>
        <v>0.004596753097428248</v>
      </c>
      <c r="F25" s="54">
        <f>IF(OR(313138.53701="",411.15478="",258.27269=""),"-",(258.27269-411.15478)/313138.53701*100)</f>
        <v>-0.04882250886773408</v>
      </c>
      <c r="G25" s="54">
        <f>IF(OR(255220.70381="",14.53382="",258.27269=""),"-",(14.53382-258.27269)/255220.70381*100)</f>
        <v>-0.09550121379707985</v>
      </c>
      <c r="H25" s="22"/>
    </row>
    <row r="26" spans="1:8" s="25" customFormat="1" ht="15">
      <c r="A26" s="23" t="s">
        <v>61</v>
      </c>
      <c r="B26" s="54">
        <f>IF(380.50968="","-",380.50968)</f>
        <v>380.50968</v>
      </c>
      <c r="C26" s="54">
        <f>IF(OR(380.89522="",380.50968=""),"-",380.50968/380.89522*100)</f>
        <v>99.89878056227643</v>
      </c>
      <c r="D26" s="54">
        <f>IF(380.89522="","-",380.89522/255220.70381*100)</f>
        <v>0.14924150522034405</v>
      </c>
      <c r="E26" s="54">
        <f>IF(380.50968="","-",380.50968/316175.78086*100)</f>
        <v>0.12034751016191418</v>
      </c>
      <c r="F26" s="54">
        <f>IF(OR(313138.53701="",114.27805="",380.89522=""),"-",(380.89522-114.27805)/313138.53701*100)</f>
        <v>0.08514351907810237</v>
      </c>
      <c r="G26" s="54">
        <f>IF(OR(255220.70381="",380.50968="",380.89522=""),"-",(380.50968-380.89522)/255220.70381*100)</f>
        <v>-0.00015106141243423907</v>
      </c>
      <c r="H26" s="22"/>
    </row>
    <row r="27" spans="1:8" s="25" customFormat="1" ht="39">
      <c r="A27" s="23" t="s">
        <v>62</v>
      </c>
      <c r="B27" s="54">
        <f>IF(41.45193="","-",41.45193)</f>
        <v>41.45193</v>
      </c>
      <c r="C27" s="54">
        <f>IF(OR(45.0253="",41.45193=""),"-",41.45193/45.0253*100)</f>
        <v>92.06363977585934</v>
      </c>
      <c r="D27" s="54">
        <f>IF(45.0253="","-",45.0253/255220.70381*100)</f>
        <v>0.017641711400309925</v>
      </c>
      <c r="E27" s="54">
        <f>IF(41.45193="","-",41.45193/316175.78086*100)</f>
        <v>0.013110406460371666</v>
      </c>
      <c r="F27" s="54">
        <f>IF(OR(313138.53701="",781.11258="",45.0253=""),"-",(45.0253-781.11258)/313138.53701*100)</f>
        <v>-0.23506761161641798</v>
      </c>
      <c r="G27" s="54">
        <f>IF(OR(255220.70381="",41.45193="",45.0253=""),"-",(41.45193-45.0253)/255220.70381*100)</f>
        <v>-0.001400109766431885</v>
      </c>
      <c r="H27" s="22"/>
    </row>
    <row r="28" spans="1:8" s="25" customFormat="1" ht="30" customHeight="1">
      <c r="A28" s="23" t="s">
        <v>63</v>
      </c>
      <c r="B28" s="54">
        <f>IF(988.10932="","-",988.10932)</f>
        <v>988.10932</v>
      </c>
      <c r="C28" s="54" t="s">
        <v>217</v>
      </c>
      <c r="D28" s="54">
        <f>IF(397.88159="","-",397.88159/255220.70381*100)</f>
        <v>0.1558970663666081</v>
      </c>
      <c r="E28" s="54">
        <f>IF(988.10932="","-",988.10932/316175.78086*100)</f>
        <v>0.3125189783076796</v>
      </c>
      <c r="F28" s="54">
        <f>IF(OR(313138.53701="",823.57359="",397.88159=""),"-",(397.88159-823.57359)/313138.53701*100)</f>
        <v>-0.1359436638060315</v>
      </c>
      <c r="G28" s="54">
        <f>IF(OR(255220.70381="",988.10932="",397.88159=""),"-",(988.10932-397.88159)/255220.70381*100)</f>
        <v>0.23126169671540334</v>
      </c>
      <c r="H28" s="22"/>
    </row>
    <row r="29" spans="1:8" s="25" customFormat="1" ht="26.25">
      <c r="A29" s="23" t="s">
        <v>64</v>
      </c>
      <c r="B29" s="54">
        <f>IF(2754.10196="","-",2754.10196)</f>
        <v>2754.10196</v>
      </c>
      <c r="C29" s="54">
        <f>IF(OR(1635.85094="",2754.10196=""),"-",2754.10196/1635.85094*100)</f>
        <v>168.3589801892341</v>
      </c>
      <c r="D29" s="54">
        <f>IF(1635.85094="","-",1635.85094/255220.70381*100)</f>
        <v>0.6409554223382345</v>
      </c>
      <c r="E29" s="54">
        <f>IF(2754.10196="","-",2754.10196/316175.78086*100)</f>
        <v>0.8710667061559321</v>
      </c>
      <c r="F29" s="54">
        <f>IF(OR(313138.53701="",3491.1321="",1635.85094=""),"-",(1635.85094-3491.1321)/313138.53701*100)</f>
        <v>-0.5924793472292271</v>
      </c>
      <c r="G29" s="54">
        <f>IF(OR(255220.70381="",2754.10196="",1635.85094=""),"-",(2754.10196-1635.85094)/255220.70381*100)</f>
        <v>0.4381505901780155</v>
      </c>
      <c r="H29" s="22"/>
    </row>
    <row r="30" spans="1:8" s="25" customFormat="1" ht="26.25">
      <c r="A30" s="23" t="s">
        <v>65</v>
      </c>
      <c r="B30" s="54">
        <f>IF(360.66224="","-",360.66224)</f>
        <v>360.66224</v>
      </c>
      <c r="C30" s="54">
        <f>IF(OR(213.2733="",360.66224=""),"-",360.66224/213.2733*100)</f>
        <v>169.10801305179785</v>
      </c>
      <c r="D30" s="54">
        <f>IF(213.2733="","-",213.2733/255220.70381*100)</f>
        <v>0.08356426293643172</v>
      </c>
      <c r="E30" s="54">
        <f>IF(360.66224="","-",360.66224/316175.78086*100)</f>
        <v>0.11407016660763723</v>
      </c>
      <c r="F30" s="54">
        <f>IF(OR(313138.53701="",382.8067="",213.2733=""),"-",(213.2733-382.8067)/313138.53701*100)</f>
        <v>-0.05414006261215495</v>
      </c>
      <c r="G30" s="54">
        <f>IF(OR(255220.70381="",360.66224="",213.2733=""),"-",(360.66224-213.2733)/255220.70381*100)</f>
        <v>0.0577496017367479</v>
      </c>
      <c r="H30" s="22"/>
    </row>
    <row r="31" spans="1:8" s="25" customFormat="1" ht="26.25">
      <c r="A31" s="24" t="s">
        <v>66</v>
      </c>
      <c r="B31" s="53">
        <f>IF(1755.04292="","-",1755.04292)</f>
        <v>1755.04292</v>
      </c>
      <c r="C31" s="53" t="s">
        <v>222</v>
      </c>
      <c r="D31" s="53">
        <f>IF(812.28819="","-",812.28819/255220.70381*100)</f>
        <v>0.3182689248458115</v>
      </c>
      <c r="E31" s="53">
        <f>IF(1755.04292="","-",1755.04292/316175.78086*100)</f>
        <v>0.5550845530376403</v>
      </c>
      <c r="F31" s="53">
        <f>IF(313138.53701="","-",(812.28819-1581.93696)/313138.53701*100)</f>
        <v>-0.24578538858518764</v>
      </c>
      <c r="G31" s="53">
        <f>IF(255220.70381="","-",(1755.04292-812.28819)/255220.70381*100)</f>
        <v>0.36938803001728154</v>
      </c>
      <c r="H31" s="22"/>
    </row>
    <row r="32" spans="1:8" s="25" customFormat="1" ht="16.5" customHeight="1">
      <c r="A32" s="23" t="s">
        <v>68</v>
      </c>
      <c r="B32" s="54">
        <f>IF(1753.98363="","-",1753.98363)</f>
        <v>1753.98363</v>
      </c>
      <c r="C32" s="54" t="s">
        <v>222</v>
      </c>
      <c r="D32" s="54">
        <f>IF(811.04557="","-",811.04557/255220.70381*100)</f>
        <v>0.3177820442826558</v>
      </c>
      <c r="E32" s="54">
        <f>IF(1753.98363="","-",1753.98363/316175.78086*100)</f>
        <v>0.5547495210509654</v>
      </c>
      <c r="F32" s="54">
        <f>IF(OR(313138.53701="",1521.65789="",811.04557=""),"-",(811.04557-1521.65789)/313138.53701*100)</f>
        <v>-0.22693224755575414</v>
      </c>
      <c r="G32" s="54">
        <f>IF(OR(255220.70381="",1753.98363="",811.04557=""),"-",(1753.98363-811.04557)/255220.70381*100)</f>
        <v>0.36945986196400965</v>
      </c>
      <c r="H32" s="22"/>
    </row>
    <row r="33" spans="1:7" s="25" customFormat="1" ht="26.25">
      <c r="A33" s="24" t="s">
        <v>71</v>
      </c>
      <c r="B33" s="53">
        <f>IF(12623.90614="","-",12623.90614)</f>
        <v>12623.90614</v>
      </c>
      <c r="C33" s="53">
        <f>IF(9378.53688="","-",12623.90614/9378.53688*100)</f>
        <v>134.60421707058424</v>
      </c>
      <c r="D33" s="53">
        <f>IF(9378.53688="","-",9378.53688/255220.70381*100)</f>
        <v>3.674677148050609</v>
      </c>
      <c r="E33" s="53">
        <f>IF(12623.90614="","-",12623.90614/316175.78086*100)</f>
        <v>3.9926860006996425</v>
      </c>
      <c r="F33" s="53">
        <f>IF(313138.53701="","-",(9378.53688-18370.10854)/313138.53701*100)</f>
        <v>-2.871435673761501</v>
      </c>
      <c r="G33" s="53">
        <f>IF(255220.70381="","-",(12623.90614-9378.53688)/255220.70381*100)</f>
        <v>1.2715932569545874</v>
      </c>
    </row>
    <row r="34" spans="1:7" s="25" customFormat="1" ht="26.25">
      <c r="A34" s="23" t="s">
        <v>73</v>
      </c>
      <c r="B34" s="54">
        <f>IF(12623.65594="","-",12623.65594)</f>
        <v>12623.65594</v>
      </c>
      <c r="C34" s="54">
        <f>IF(OR(9376.53688="",12623.65594=""),"-",12623.65594/9376.53688*100)</f>
        <v>134.63025956764542</v>
      </c>
      <c r="D34" s="54">
        <f>IF(9376.53688="","-",9376.53688/255220.70381*100)</f>
        <v>3.673893512565657</v>
      </c>
      <c r="E34" s="54">
        <f>IF(12623.65594="","-",12623.65594/316175.78086*100)</f>
        <v>3.9926068675037603</v>
      </c>
      <c r="F34" s="54">
        <f>IF(OR(313138.53701="",18370.10854="",9376.53688=""),"-",(9376.53688-18370.10854)/313138.53701*100)</f>
        <v>-2.8720743687043524</v>
      </c>
      <c r="G34" s="54">
        <f>IF(OR(255220.70381="",12623.65594="",9376.53688=""),"-",(12623.65594-9376.53688)/255220.70381*100)</f>
        <v>1.2722788596403725</v>
      </c>
    </row>
    <row r="35" spans="1:7" s="25" customFormat="1" ht="26.25">
      <c r="A35" s="24" t="s">
        <v>75</v>
      </c>
      <c r="B35" s="53">
        <f>IF(16290.85625="","-",16290.85625)</f>
        <v>16290.85625</v>
      </c>
      <c r="C35" s="53">
        <f>IF(13823.27531="","-",16290.85625/13823.27531*100)</f>
        <v>117.85091365586062</v>
      </c>
      <c r="D35" s="53">
        <f>IF(13823.27531="","-",13823.27531/255220.70381*100)</f>
        <v>5.416204525590052</v>
      </c>
      <c r="E35" s="53">
        <f>IF(16290.85625="","-",16290.85625/316175.78086*100)</f>
        <v>5.152468100399334</v>
      </c>
      <c r="F35" s="53">
        <f>IF(313138.53701="","-",(13823.27531-14030.07669)/313138.53701*100)</f>
        <v>-0.0660414977902879</v>
      </c>
      <c r="G35" s="53">
        <f>IF(255220.70381="","-",(16290.85625-13823.27531)/255220.70381*100)</f>
        <v>0.9668419932878954</v>
      </c>
    </row>
    <row r="36" spans="1:7" s="25" customFormat="1" ht="15">
      <c r="A36" s="23" t="s">
        <v>76</v>
      </c>
      <c r="B36" s="54">
        <f>IF(3794.84307="","-",3794.84307)</f>
        <v>3794.84307</v>
      </c>
      <c r="C36" s="54">
        <f>IF(OR(2642.25061="",3794.84307=""),"-",3794.84307/2642.25061*100)</f>
        <v>143.62161770870023</v>
      </c>
      <c r="D36" s="54">
        <f>IF(2642.25061="","-",2642.25061/255220.70381*100)</f>
        <v>1.0352806690663439</v>
      </c>
      <c r="E36" s="54">
        <f>IF(3794.84307="","-",3794.84307/316175.78086*100)</f>
        <v>1.2002320543584977</v>
      </c>
      <c r="F36" s="54">
        <f>IF(OR(313138.53701="",291.45159="",2642.25061=""),"-",(2642.25061-291.45159)/313138.53701*100)</f>
        <v>0.7507217228663644</v>
      </c>
      <c r="G36" s="54">
        <f>IF(OR(255220.70381="",3794.84307="",2642.25061=""),"-",(3794.84307-2642.25061)/255220.70381*100)</f>
        <v>0.45160617567219447</v>
      </c>
    </row>
    <row r="37" spans="1:7" s="25" customFormat="1" ht="15">
      <c r="A37" s="23" t="s">
        <v>77</v>
      </c>
      <c r="B37" s="54">
        <f>IF(156.40196="","-",156.40196)</f>
        <v>156.40196</v>
      </c>
      <c r="C37" s="54" t="s">
        <v>197</v>
      </c>
      <c r="D37" s="54">
        <f>IF(75.96044="","-",75.96044/255220.70381*100)</f>
        <v>0.029762648118292566</v>
      </c>
      <c r="E37" s="54">
        <f>IF(156.40196="","-",156.40196/316175.78086*100)</f>
        <v>0.049466774328693286</v>
      </c>
      <c r="F37" s="54">
        <f>IF(OR(313138.53701="",40.2966="",75.96044=""),"-",(75.96044-40.2966)/313138.53701*100)</f>
        <v>0.011389157125320891</v>
      </c>
      <c r="G37" s="54">
        <f>IF(OR(255220.70381="",156.40196="",75.96044=""),"-",(156.40196-75.96044)/255220.70381*100)</f>
        <v>0.03151841476774744</v>
      </c>
    </row>
    <row r="38" spans="1:7" s="25" customFormat="1" ht="15">
      <c r="A38" s="23" t="s">
        <v>78</v>
      </c>
      <c r="B38" s="54">
        <f>IF(55.95617="","-",55.95617)</f>
        <v>55.95617</v>
      </c>
      <c r="C38" s="54">
        <f>IF(OR(261.46228="",55.95617=""),"-",55.95617/261.46228*100)</f>
        <v>21.401239980007823</v>
      </c>
      <c r="D38" s="54">
        <f>IF(261.46228="","-",261.46228/255220.70381*100)</f>
        <v>0.1024455602922585</v>
      </c>
      <c r="E38" s="54">
        <f>IF(55.95617="","-",55.95617/316175.78086*100)</f>
        <v>0.017697804002507367</v>
      </c>
      <c r="F38" s="54">
        <f>IF(OR(313138.53701="",280.52374="",261.46228=""),"-",(261.46228-280.52374)/313138.53701*100)</f>
        <v>-0.006087229052676845</v>
      </c>
      <c r="G38" s="54">
        <f>IF(OR(255220.70381="",55.95617="",261.46228=""),"-",(55.95617-261.46228)/255220.70381*100)</f>
        <v>-0.08052094008524865</v>
      </c>
    </row>
    <row r="39" spans="1:7" s="25" customFormat="1" ht="15">
      <c r="A39" s="23" t="s">
        <v>79</v>
      </c>
      <c r="B39" s="54">
        <f>IF(7240.16064="","-",7240.16064)</f>
        <v>7240.16064</v>
      </c>
      <c r="C39" s="54" t="s">
        <v>29</v>
      </c>
      <c r="D39" s="54">
        <f>IF(2666.70723="","-",2666.70723/255220.70381*100)</f>
        <v>1.0448632067033403</v>
      </c>
      <c r="E39" s="54">
        <f>IF(7240.16064="","-",7240.16064/316175.78086*100)</f>
        <v>2.2899162675606335</v>
      </c>
      <c r="F39" s="54">
        <f>IF(OR(313138.53701="",4572.46479="",2666.70723=""),"-",(2666.70723-4572.46479)/313138.53701*100)</f>
        <v>-0.6085988579358855</v>
      </c>
      <c r="G39" s="54">
        <f>IF(OR(255220.70381="",7240.16064="",2666.70723=""),"-",(7240.16064-2666.70723)/255220.70381*100)</f>
        <v>1.7919601904259008</v>
      </c>
    </row>
    <row r="40" spans="1:7" s="25" customFormat="1" ht="39">
      <c r="A40" s="23" t="s">
        <v>80</v>
      </c>
      <c r="B40" s="54">
        <f>IF(4121.84957="","-",4121.84957)</f>
        <v>4121.84957</v>
      </c>
      <c r="C40" s="54">
        <f>IF(OR(6744.83754="",4121.84957=""),"-",4121.84957/6744.83754*100)</f>
        <v>61.11117644502969</v>
      </c>
      <c r="D40" s="54">
        <f>IF(6744.83754="","-",6744.83754/255220.70381*100)</f>
        <v>2.6427470182909687</v>
      </c>
      <c r="E40" s="54">
        <f>IF(4121.84957="","-",4121.84957/316175.78086*100)</f>
        <v>1.3036575916057027</v>
      </c>
      <c r="F40" s="54">
        <f>IF(OR(313138.53701="",7637.53064="",6744.83754=""),"-",(6744.83754-7637.53064)/313138.53701*100)</f>
        <v>-0.2850792842439229</v>
      </c>
      <c r="G40" s="54">
        <f>IF(OR(255220.70381="",4121.84957="",6744.83754=""),"-",(4121.84957-6744.83754)/255220.70381*100)</f>
        <v>-1.0277332249474138</v>
      </c>
    </row>
    <row r="41" spans="1:7" s="25" customFormat="1" ht="15">
      <c r="A41" s="23" t="s">
        <v>82</v>
      </c>
      <c r="B41" s="54">
        <f>IF(139.5855="","-",139.5855)</f>
        <v>139.5855</v>
      </c>
      <c r="C41" s="54">
        <f>IF(OR(300.4359="",139.5855=""),"-",139.5855/300.4359*100)</f>
        <v>46.46099217836483</v>
      </c>
      <c r="D41" s="54">
        <f>IF(300.4359="","-",300.4359/255220.70381*100)</f>
        <v>0.11771611609678054</v>
      </c>
      <c r="E41" s="54">
        <f>IF(139.5855="","-",139.5855/316175.78086*100)</f>
        <v>0.04414806840053549</v>
      </c>
      <c r="F41" s="54">
        <f>IF(OR(313138.53701="",715.96588="",300.4359=""),"-",(300.4359-715.96588)/313138.53701*100)</f>
        <v>-0.13269844841445694</v>
      </c>
      <c r="G41" s="54">
        <f>IF(OR(255220.70381="",139.5855="",300.4359=""),"-",(139.5855-300.4359)/255220.70381*100)</f>
        <v>-0.06302404060438047</v>
      </c>
    </row>
    <row r="42" spans="1:7" s="25" customFormat="1" ht="15">
      <c r="A42" s="23" t="s">
        <v>83</v>
      </c>
      <c r="B42" s="54">
        <f>IF(449.02398="","-",449.02398)</f>
        <v>449.02398</v>
      </c>
      <c r="C42" s="54">
        <f>IF(OR(344.36315="",449.02398=""),"-",449.02398/344.36315*100)</f>
        <v>130.3925753960608</v>
      </c>
      <c r="D42" s="54">
        <f>IF(344.36315="","-",344.36315/255220.70381*100)</f>
        <v>0.13492759202496457</v>
      </c>
      <c r="E42" s="54">
        <f>IF(449.02398="","-",449.02398/316175.78086*100)</f>
        <v>0.1420171965033666</v>
      </c>
      <c r="F42" s="54">
        <f>IF(OR(313138.53701="",303.01975="",344.36315=""),"-",(344.36315-303.01975)/313138.53701*100)</f>
        <v>0.01320291025012988</v>
      </c>
      <c r="G42" s="54">
        <f>IF(OR(255220.70381="",449.02398="",344.36315=""),"-",(449.02398-344.36315)/255220.70381*100)</f>
        <v>0.04100797013627668</v>
      </c>
    </row>
    <row r="43" spans="1:7" s="25" customFormat="1" ht="15">
      <c r="A43" s="23" t="s">
        <v>84</v>
      </c>
      <c r="B43" s="54">
        <f>IF(333.03536="","-",333.03536)</f>
        <v>333.03536</v>
      </c>
      <c r="C43" s="54">
        <f>IF(OR(787.25816="",333.03536=""),"-",333.03536/787.25816*100)</f>
        <v>42.30319568869252</v>
      </c>
      <c r="D43" s="54">
        <f>IF(787.25816="","-",787.25816/255220.70381*100)</f>
        <v>0.30846171499710195</v>
      </c>
      <c r="E43" s="54">
        <f>IF(333.03536="","-",333.03536/316175.78086*100)</f>
        <v>0.10533234363939638</v>
      </c>
      <c r="F43" s="54">
        <f>IF(OR(313138.53701="",181.49838="",787.25816=""),"-",(787.25816-181.49838)/313138.53701*100)</f>
        <v>0.19344785403422105</v>
      </c>
      <c r="G43" s="54">
        <f>IF(OR(255220.70381="",333.03536="",787.25816=""),"-",(333.03536-787.25816)/255220.70381*100)</f>
        <v>-0.17797255207718093</v>
      </c>
    </row>
    <row r="44" spans="1:7" s="25" customFormat="1" ht="26.25">
      <c r="A44" s="24" t="s">
        <v>85</v>
      </c>
      <c r="B44" s="53">
        <f>IF(23107.61388="","-",23107.61388)</f>
        <v>23107.61388</v>
      </c>
      <c r="C44" s="53">
        <f>IF(24067.16606="","-",23107.61388/24067.16606*100)</f>
        <v>96.01302381174496</v>
      </c>
      <c r="D44" s="53">
        <f>IF(24067.16606="","-",24067.16606/255220.70381*100)</f>
        <v>9.429942673427032</v>
      </c>
      <c r="E44" s="53">
        <f>IF(23107.61388="","-",23107.61388/316175.78086*100)</f>
        <v>7.30847056569202</v>
      </c>
      <c r="F44" s="53">
        <f>IF(313138.53701="","-",(24067.16606-17837.79374)/313138.53701*100)</f>
        <v>1.9893342989595257</v>
      </c>
      <c r="G44" s="53">
        <f>IF(255220.70381="","-",(23107.61388-24067.16606)/255220.70381*100)</f>
        <v>-0.3759695689556365</v>
      </c>
    </row>
    <row r="45" spans="1:7" s="25" customFormat="1" ht="15">
      <c r="A45" s="23" t="s">
        <v>86</v>
      </c>
      <c r="B45" s="54">
        <f>IF(279.19161="","-",279.19161)</f>
        <v>279.19161</v>
      </c>
      <c r="C45" s="54">
        <f>IF(OR(205.4672="",279.19161=""),"-",279.19161/205.4672*100)</f>
        <v>135.88135235210294</v>
      </c>
      <c r="D45" s="54">
        <f>IF(205.4672="","-",205.4672/255220.70381*100)</f>
        <v>0.08050569445688889</v>
      </c>
      <c r="E45" s="54">
        <f>IF(279.19161="","-",279.19161/316175.78086*100)</f>
        <v>0.08830265532691883</v>
      </c>
      <c r="F45" s="54">
        <f>IF(OR(313138.53701="",252.07712="",205.4672=""),"-",(205.4672-252.07712)/313138.53701*100)</f>
        <v>-0.014884760095341298</v>
      </c>
      <c r="G45" s="54">
        <f>IF(OR(255220.70381="",279.19161="",205.4672=""),"-",(279.19161-205.4672)/255220.70381*100)</f>
        <v>0.028886531891583703</v>
      </c>
    </row>
    <row r="46" spans="1:7" s="25" customFormat="1" ht="15">
      <c r="A46" s="23" t="s">
        <v>87</v>
      </c>
      <c r="B46" s="54">
        <f>IF(406.40965="","-",406.40965)</f>
        <v>406.40965</v>
      </c>
      <c r="C46" s="54">
        <f>IF(OR(2613.15972="",406.40965=""),"-",406.40965/2613.15972*100)</f>
        <v>15.552422872950144</v>
      </c>
      <c r="D46" s="54">
        <f>IF(2613.15972="","-",2613.15972/255220.70381*100)</f>
        <v>1.023882342219923</v>
      </c>
      <c r="E46" s="54">
        <f>IF(406.40965="","-",406.40965/316175.78086*100)</f>
        <v>0.12853914645029524</v>
      </c>
      <c r="F46" s="54">
        <f>IF(OR(313138.53701="",473.2481="",2613.15972=""),"-",(2613.15972-473.2481)/313138.53701*100)</f>
        <v>0.6833753649208825</v>
      </c>
      <c r="G46" s="54">
        <f>IF(OR(255220.70381="",406.40965="",2613.15972=""),"-",(406.40965-2613.15972)/255220.70381*100)</f>
        <v>-0.864643830636414</v>
      </c>
    </row>
    <row r="47" spans="1:7" s="25" customFormat="1" ht="15">
      <c r="A47" s="23" t="s">
        <v>88</v>
      </c>
      <c r="B47" s="54">
        <f>IF(1341.146="","-",1341.146)</f>
        <v>1341.146</v>
      </c>
      <c r="C47" s="54">
        <f>IF(OR(1314.56778="",1341.146=""),"-",1341.146/1314.56778*100)</f>
        <v>102.02182195580664</v>
      </c>
      <c r="D47" s="54">
        <f>IF(1314.56778="","-",1314.56778/255220.70381*100)</f>
        <v>0.5150709798914412</v>
      </c>
      <c r="E47" s="54">
        <f>IF(1341.146="","-",1341.146/316175.78086*100)</f>
        <v>0.4241773346307788</v>
      </c>
      <c r="F47" s="54">
        <f>IF(OR(313138.53701="",1038.59245="",1314.56778=""),"-",(1314.56778-1038.59245)/313138.53701*100)</f>
        <v>0.08813202381129692</v>
      </c>
      <c r="G47" s="54">
        <f>IF(OR(255220.70381="",1341.146="",1314.56778=""),"-",(1341.146-1314.56778)/255220.70381*100)</f>
        <v>0.010413818159433541</v>
      </c>
    </row>
    <row r="48" spans="1:7" s="25" customFormat="1" ht="26.25">
      <c r="A48" s="23" t="s">
        <v>89</v>
      </c>
      <c r="B48" s="54">
        <f>IF(903.92521="","-",903.92521)</f>
        <v>903.92521</v>
      </c>
      <c r="C48" s="54">
        <f>IF(OR(972.75869="",903.92521=""),"-",903.92521/972.75869*100)</f>
        <v>92.92388947972286</v>
      </c>
      <c r="D48" s="54">
        <f>IF(972.75869="","-",972.75869/255220.70381*100)</f>
        <v>0.3811441138898252</v>
      </c>
      <c r="E48" s="54">
        <f>IF(903.92521="","-",903.92521/316175.78086*100)</f>
        <v>0.2858932482245535</v>
      </c>
      <c r="F48" s="54">
        <f>IF(OR(313138.53701="",1141.36558="",972.75869=""),"-",(972.75869-1141.36558)/313138.53701*100)</f>
        <v>-0.05384418398640456</v>
      </c>
      <c r="G48" s="54">
        <f>IF(OR(255220.70381="",903.92521="",972.75869=""),"-",(903.92521-972.75869)/255220.70381*100)</f>
        <v>-0.026970178740374974</v>
      </c>
    </row>
    <row r="49" spans="1:7" s="25" customFormat="1" ht="26.25">
      <c r="A49" s="23" t="s">
        <v>90</v>
      </c>
      <c r="B49" s="54">
        <f>IF(12790.58591="","-",12790.58591)</f>
        <v>12790.58591</v>
      </c>
      <c r="C49" s="54">
        <f>IF(OR(11000.78868="",12790.58591=""),"-",12790.58591/11000.78868*100)</f>
        <v>116.26971739993463</v>
      </c>
      <c r="D49" s="54">
        <f>IF(11000.78868="","-",11000.78868/255220.70381*100)</f>
        <v>4.3103041860544264</v>
      </c>
      <c r="E49" s="54">
        <f>IF(12790.58591="","-",12790.58591/316175.78086*100)</f>
        <v>4.045403438305594</v>
      </c>
      <c r="F49" s="54">
        <f>IF(OR(313138.53701="",6967.6196="",11000.78868=""),"-",(11000.78868-6967.6196)/313138.53701*100)</f>
        <v>1.287982347529203</v>
      </c>
      <c r="G49" s="54">
        <f>IF(OR(255220.70381="",12790.58591="",11000.78868=""),"-",(12790.58591-11000.78868)/255220.70381*100)</f>
        <v>0.7012743101486082</v>
      </c>
    </row>
    <row r="50" spans="1:7" s="25" customFormat="1" ht="15">
      <c r="A50" s="23" t="s">
        <v>91</v>
      </c>
      <c r="B50" s="54">
        <f>IF(3768.46812="","-",3768.46812)</f>
        <v>3768.46812</v>
      </c>
      <c r="C50" s="54">
        <f>IF(OR(3966.39309="",3768.46812=""),"-",3768.46812/3966.39309*100)</f>
        <v>95.00995071570175</v>
      </c>
      <c r="D50" s="54">
        <f>IF(3966.39309="","-",3966.39309/255220.70381*100)</f>
        <v>1.5541031862966712</v>
      </c>
      <c r="E50" s="54">
        <f>IF(3768.46812="","-",3768.46812/316175.78086*100)</f>
        <v>1.1918901915098443</v>
      </c>
      <c r="F50" s="54">
        <f>IF(OR(313138.53701="",4033.35402="",3966.39309=""),"-",(3966.39309-4033.35402)/313138.53701*100)</f>
        <v>-0.02138380367979487</v>
      </c>
      <c r="G50" s="54">
        <f>IF(OR(255220.70381="",3768.46812="",3966.39309=""),"-",(3768.46812-3966.39309)/255220.70381*100)</f>
        <v>-0.07755051492505326</v>
      </c>
    </row>
    <row r="51" spans="1:7" s="25" customFormat="1" ht="15">
      <c r="A51" s="23" t="s">
        <v>92</v>
      </c>
      <c r="B51" s="54">
        <f>IF(203.31726="","-",203.31726)</f>
        <v>203.31726</v>
      </c>
      <c r="C51" s="54">
        <f>IF(OR(369.40508="",203.31726=""),"-",203.31726/369.40508*100)</f>
        <v>55.0391077458924</v>
      </c>
      <c r="D51" s="54">
        <f>IF(369.40508="","-",369.40508/255220.70381*100)</f>
        <v>0.14473946450480954</v>
      </c>
      <c r="E51" s="54">
        <f>IF(203.31726="","-",203.31726/316175.78086*100)</f>
        <v>0.06430513413993186</v>
      </c>
      <c r="F51" s="54">
        <f>IF(OR(313138.53701="",461.05186="",369.40508=""),"-",(369.40508-461.05186)/313138.53701*100)</f>
        <v>-0.029267167457282098</v>
      </c>
      <c r="G51" s="54">
        <f>IF(OR(255220.70381="",203.31726="",369.40508=""),"-",(203.31726-369.40508)/255220.70381*100)</f>
        <v>-0.06507615468517973</v>
      </c>
    </row>
    <row r="52" spans="1:7" s="25" customFormat="1" ht="15">
      <c r="A52" s="23" t="s">
        <v>93</v>
      </c>
      <c r="B52" s="54">
        <f>IF(546.46359="","-",546.46359)</f>
        <v>546.46359</v>
      </c>
      <c r="C52" s="54" t="s">
        <v>197</v>
      </c>
      <c r="D52" s="54">
        <f>IF(258.50769="","-",258.50769/255220.70381*100)</f>
        <v>0.10128789950851597</v>
      </c>
      <c r="E52" s="54">
        <f>IF(546.46359="","-",546.46359/316175.78086*100)</f>
        <v>0.17283537294147444</v>
      </c>
      <c r="F52" s="54">
        <f>IF(OR(313138.53701="",867.94158="",258.50769=""),"-",(258.50769-867.94158)/313138.53701*100)</f>
        <v>-0.1946211717724599</v>
      </c>
      <c r="G52" s="54">
        <f>IF(OR(255220.70381="",546.46359="",258.50769=""),"-",(546.46359-258.50769)/255220.70381*100)</f>
        <v>0.11282623067067857</v>
      </c>
    </row>
    <row r="53" spans="1:7" s="25" customFormat="1" ht="15">
      <c r="A53" s="23" t="s">
        <v>94</v>
      </c>
      <c r="B53" s="54">
        <f>IF(2868.10653="","-",2868.10653)</f>
        <v>2868.10653</v>
      </c>
      <c r="C53" s="54">
        <f>IF(OR(3366.11813="",2868.10653=""),"-",2868.10653/3366.11813*100)</f>
        <v>85.20516569036751</v>
      </c>
      <c r="D53" s="54">
        <f>IF(3366.11813="","-",3366.11813/255220.70381*100)</f>
        <v>1.3189048066045297</v>
      </c>
      <c r="E53" s="54">
        <f>IF(2868.10653="","-",2868.10653/316175.78086*100)</f>
        <v>0.9071240441626278</v>
      </c>
      <c r="F53" s="54">
        <f>IF(OR(313138.53701="",2602.54343="",3366.11813=""),"-",(3366.11813-2602.54343)/313138.53701*100)</f>
        <v>0.24384564968942649</v>
      </c>
      <c r="G53" s="54">
        <f>IF(OR(255220.70381="",2868.10653="",3366.11813=""),"-",(2868.10653-3366.11813)/255220.70381*100)</f>
        <v>-0.1951297808389191</v>
      </c>
    </row>
    <row r="54" spans="1:7" s="25" customFormat="1" ht="26.25">
      <c r="A54" s="24" t="s">
        <v>95</v>
      </c>
      <c r="B54" s="53">
        <f>IF(53446.2703="","-",53446.2703)</f>
        <v>53446.2703</v>
      </c>
      <c r="C54" s="53">
        <f>IF(40385.20575="","-",53446.2703/40385.20575*100)</f>
        <v>132.34121086531792</v>
      </c>
      <c r="D54" s="53">
        <f>IF(40385.20575="","-",40385.20575/255220.70381*100)</f>
        <v>15.823640146398512</v>
      </c>
      <c r="E54" s="53">
        <f>IF(53446.2703="","-",53446.2703/316175.78086*100)</f>
        <v>16.90397352846756</v>
      </c>
      <c r="F54" s="53">
        <f>IF(313138.53701="","-",(40385.20575-47923.83349)/313138.53701*100)</f>
        <v>-2.4074417067865563</v>
      </c>
      <c r="G54" s="53">
        <f>IF(255220.70381="","-",(53446.2703-40385.20575)/255220.70381*100)</f>
        <v>5.117556826315844</v>
      </c>
    </row>
    <row r="55" spans="1:7" s="25" customFormat="1" ht="26.25">
      <c r="A55" s="23" t="s">
        <v>96</v>
      </c>
      <c r="B55" s="54">
        <f>IF(292.5541="","-",292.5541)</f>
        <v>292.5541</v>
      </c>
      <c r="C55" s="54">
        <f>IF(OR(185.50574="",292.5541=""),"-",292.5541/185.50574*100)</f>
        <v>157.70622515508146</v>
      </c>
      <c r="D55" s="54">
        <f>IF(185.50574="","-",185.50574/255220.70381*100)</f>
        <v>0.07268444026316158</v>
      </c>
      <c r="E55" s="54">
        <f>IF(292.5541="","-",292.5541/316175.78086*100)</f>
        <v>0.09252894045339308</v>
      </c>
      <c r="F55" s="54">
        <f>IF(OR(313138.53701="",799.2815="",185.50574=""),"-",(185.50574-799.2815)/313138.53701*100)</f>
        <v>-0.19600773697821783</v>
      </c>
      <c r="G55" s="54">
        <f>IF(OR(255220.70381="",292.5541="",185.50574=""),"-",(292.5541-185.50574)/255220.70381*100)</f>
        <v>0.0419434467509707</v>
      </c>
    </row>
    <row r="56" spans="1:7" s="25" customFormat="1" ht="26.25">
      <c r="A56" s="23" t="s">
        <v>97</v>
      </c>
      <c r="B56" s="54">
        <f>IF(728.56739="","-",728.56739)</f>
        <v>728.56739</v>
      </c>
      <c r="C56" s="54">
        <f>IF(OR(1291.18611="",728.56739=""),"-",728.56739/1291.18611*100)</f>
        <v>56.4262103160326</v>
      </c>
      <c r="D56" s="54">
        <f>IF(1291.18611="","-",1291.18611/255220.70381*100)</f>
        <v>0.5059096267367198</v>
      </c>
      <c r="E56" s="54">
        <f>IF(728.56739="","-",728.56739/316175.78086*100)</f>
        <v>0.2304311190497553</v>
      </c>
      <c r="F56" s="54">
        <f>IF(OR(313138.53701="",2453.8289="",1291.18611=""),"-",(1291.18611-2453.8289)/313138.53701*100)</f>
        <v>-0.37128703515750006</v>
      </c>
      <c r="G56" s="54">
        <f>IF(OR(255220.70381="",728.56739="",1291.18611=""),"-",(728.56739-1291.18611)/255220.70381*100)</f>
        <v>-0.22044399674520276</v>
      </c>
    </row>
    <row r="57" spans="1:7" s="25" customFormat="1" ht="15" customHeight="1">
      <c r="A57" s="23" t="s">
        <v>98</v>
      </c>
      <c r="B57" s="54">
        <f>IF(210.07462="","-",210.07462)</f>
        <v>210.07462</v>
      </c>
      <c r="C57" s="54">
        <f>IF(OR(177.06706="",210.07462=""),"-",210.07462/177.06706*100)</f>
        <v>118.64127636162254</v>
      </c>
      <c r="D57" s="54">
        <f>IF(177.06706="","-",177.06706/255220.70381*100)</f>
        <v>0.06937801571608322</v>
      </c>
      <c r="E57" s="54">
        <f>IF(210.07462="","-",210.07462/316175.78086*100)</f>
        <v>0.06644235033708015</v>
      </c>
      <c r="F57" s="54">
        <f>IF(OR(313138.53701="",428.80071="",177.06706=""),"-",(177.06706-428.80071)/313138.53701*100)</f>
        <v>-0.08039050460019265</v>
      </c>
      <c r="G57" s="54">
        <f>IF(OR(255220.70381="",210.07462="",177.06706=""),"-",(210.07462-177.06706)/255220.70381*100)</f>
        <v>0.012932947643844997</v>
      </c>
    </row>
    <row r="58" spans="1:7" s="25" customFormat="1" ht="39">
      <c r="A58" s="23" t="s">
        <v>99</v>
      </c>
      <c r="B58" s="54">
        <f>IF(3469.26055="","-",3469.26055)</f>
        <v>3469.26055</v>
      </c>
      <c r="C58" s="54">
        <f>IF(OR(3189.68557="",3469.26055=""),"-",3469.26055/3189.68557*100)</f>
        <v>108.76496989639013</v>
      </c>
      <c r="D58" s="54">
        <f>IF(3189.68557="","-",3189.68557/255220.70381*100)</f>
        <v>1.2497753992460474</v>
      </c>
      <c r="E58" s="54">
        <f>IF(3469.26055="","-",3469.26055/316175.78086*100)</f>
        <v>1.0972568931635405</v>
      </c>
      <c r="F58" s="54">
        <f>IF(OR(313138.53701="",4997.39117="",3189.68557=""),"-",(3189.68557-4997.39117)/313138.53701*100)</f>
        <v>-0.5772862124415786</v>
      </c>
      <c r="G58" s="54">
        <f>IF(OR(255220.70381="",3469.26055="",3189.68557=""),"-",(3469.26055-3189.68557)/255220.70381*100)</f>
        <v>0.1095424375164056</v>
      </c>
    </row>
    <row r="59" spans="1:7" s="25" customFormat="1" ht="26.25">
      <c r="A59" s="23" t="s">
        <v>100</v>
      </c>
      <c r="B59" s="54">
        <f>IF(107.00896="","-",107.00896)</f>
        <v>107.00896</v>
      </c>
      <c r="C59" s="54">
        <f>IF(OR(120.25208="",107.00896=""),"-",107.00896/120.25208*100)</f>
        <v>88.98720088667072</v>
      </c>
      <c r="D59" s="54">
        <f>IF(120.25208="","-",120.25208/255220.70381*100)</f>
        <v>0.04711689851365746</v>
      </c>
      <c r="E59" s="54">
        <f>IF(107.00896="","-",107.00896/316175.78086*100)</f>
        <v>0.03384476815679398</v>
      </c>
      <c r="F59" s="54">
        <f>IF(OR(313138.53701="",120.50374="",120.25208=""),"-",(120.25208-120.50374)/313138.53701*100)</f>
        <v>-8.036698465891798E-05</v>
      </c>
      <c r="G59" s="54">
        <f>IF(OR(255220.70381="",107.00896="",120.25208=""),"-",(107.00896-120.25208)/255220.70381*100)</f>
        <v>-0.005188889381740321</v>
      </c>
    </row>
    <row r="60" spans="1:7" s="25" customFormat="1" ht="39">
      <c r="A60" s="23" t="s">
        <v>101</v>
      </c>
      <c r="B60" s="54">
        <f>IF(421.26934="","-",421.26934)</f>
        <v>421.26934</v>
      </c>
      <c r="C60" s="65">
        <v>181.96877416644958</v>
      </c>
      <c r="D60" s="54">
        <f>IF(231.50639="","-",231.50639/255220.70381*100)</f>
        <v>0.09070831109859559</v>
      </c>
      <c r="E60" s="54">
        <f>IF(421.26934="","-",421.26934/316175.78086*100)</f>
        <v>0.1332389656330238</v>
      </c>
      <c r="F60" s="54">
        <f>IF(OR(313138.53701="",708.82647="",231.50639=""),"-",(231.50639-708.82647)/313138.53701*100)</f>
        <v>-0.15243096060858102</v>
      </c>
      <c r="G60" s="54">
        <f>IF(OR(255220.70381="",421.26934="",231.50639=""),"-",(421.26934-231.50639)/255220.70381*100)</f>
        <v>0.07435249067460832</v>
      </c>
    </row>
    <row r="61" spans="1:7" s="25" customFormat="1" ht="39.75" customHeight="1">
      <c r="A61" s="23" t="s">
        <v>102</v>
      </c>
      <c r="B61" s="54">
        <f>IF(43551.49096="","-",43551.49096)</f>
        <v>43551.49096</v>
      </c>
      <c r="C61" s="54">
        <f>IF(OR(32109.4233="",43551.49096=""),"-",43551.49096/32109.4233*100)</f>
        <v>135.63460966924313</v>
      </c>
      <c r="D61" s="54">
        <f>IF(32109.4233="","-",32109.4233/255220.70381*100)</f>
        <v>12.58104174961604</v>
      </c>
      <c r="E61" s="54">
        <f>IF(43551.49096="","-",43551.49096/316175.78086*100)</f>
        <v>13.774455096320057</v>
      </c>
      <c r="F61" s="54">
        <f>IF(OR(313138.53701="",36381.49697="",32109.4233=""),"-",(32109.4233-36381.49697)/313138.53701*100)</f>
        <v>-1.3642759242576312</v>
      </c>
      <c r="G61" s="54">
        <f>IF(OR(255220.70381="",43551.49096="",32109.4233=""),"-",(43551.49096-32109.4233)/255220.70381*100)</f>
        <v>4.483205119800192</v>
      </c>
    </row>
    <row r="62" spans="1:7" s="25" customFormat="1" ht="26.25">
      <c r="A62" s="23" t="s">
        <v>103</v>
      </c>
      <c r="B62" s="54">
        <f>IF(4400.41758="","-",4400.41758)</f>
        <v>4400.41758</v>
      </c>
      <c r="C62" s="54">
        <f>IF(OR(2903.75488="",4400.41758=""),"-",4400.41758/2903.75488*100)</f>
        <v>151.5423223326619</v>
      </c>
      <c r="D62" s="54">
        <f>IF(2903.75488="","-",2903.75488/255220.70381*100)</f>
        <v>1.137742681785609</v>
      </c>
      <c r="E62" s="54">
        <f>IF(4400.41758="","-",4400.41758/316175.78086*100)</f>
        <v>1.3917630148744595</v>
      </c>
      <c r="F62" s="54">
        <f>IF(OR(313138.53701="",1932.833="",2903.75488=""),"-",(2903.75488-1932.833)/313138.53701*100)</f>
        <v>0.31006144732961877</v>
      </c>
      <c r="G62" s="54">
        <f>IF(OR(255220.70381="",4400.41758="",2903.75488=""),"-",(4400.41758-2903.75488)/255220.70381*100)</f>
        <v>0.5864190003622106</v>
      </c>
    </row>
    <row r="63" spans="1:7" s="25" customFormat="1" ht="15">
      <c r="A63" s="23" t="s">
        <v>104</v>
      </c>
      <c r="B63" s="54">
        <f>IF(265.6268="","-",265.6268)</f>
        <v>265.6268</v>
      </c>
      <c r="C63" s="54">
        <f>IF(OR(176.82462="",265.6268=""),"-",265.6268/176.82462*100)</f>
        <v>150.2204840027367</v>
      </c>
      <c r="D63" s="54">
        <f>IF(176.82462="","-",176.82462/255220.70381*100)</f>
        <v>0.06928302342259732</v>
      </c>
      <c r="E63" s="54">
        <f>IF(265.6268="","-",265.6268/316175.78086*100)</f>
        <v>0.08401238047945783</v>
      </c>
      <c r="F63" s="54">
        <f>IF(OR(313138.53701="",100.87103="",176.82462=""),"-",(176.82462-100.87103)/313138.53701*100)</f>
        <v>0.024255586912183363</v>
      </c>
      <c r="G63" s="54">
        <f>IF(OR(255220.70381="",265.6268="",176.82462=""),"-",(265.6268-176.82462)/255220.70381*100)</f>
        <v>0.03479426969455782</v>
      </c>
    </row>
    <row r="64" spans="1:7" s="25" customFormat="1" ht="15">
      <c r="A64" s="24" t="s">
        <v>105</v>
      </c>
      <c r="B64" s="53">
        <f>IF(74314.55842="","-",74314.55842)</f>
        <v>74314.55842</v>
      </c>
      <c r="C64" s="53">
        <f>IF(69194.0727="","-",74314.55842/69194.0727*100)</f>
        <v>107.40017969776187</v>
      </c>
      <c r="D64" s="53">
        <f>IF(69194.0727="","-",69194.0727/255220.70381*100)</f>
        <v>27.11146535804234</v>
      </c>
      <c r="E64" s="53">
        <f>IF(74314.55842="","-",74314.55842/316175.78086*100)</f>
        <v>23.504190680849735</v>
      </c>
      <c r="F64" s="53">
        <f>IF(313138.53701="","-",(69194.0727-64933.45215)/313138.53701*100)</f>
        <v>1.3606183993457008</v>
      </c>
      <c r="G64" s="53">
        <f>IF(255220.70381="","-",(74314.55842-69194.0727)/255220.70381*100)</f>
        <v>2.006297155191595</v>
      </c>
    </row>
    <row r="65" spans="1:7" s="25" customFormat="1" ht="39">
      <c r="A65" s="23" t="s">
        <v>106</v>
      </c>
      <c r="B65" s="54">
        <f>IF(1629.02751="","-",1629.02751)</f>
        <v>1629.02751</v>
      </c>
      <c r="C65" s="54" t="s">
        <v>198</v>
      </c>
      <c r="D65" s="54">
        <f>IF(578.72808="","-",578.72808/255220.70381*100)</f>
        <v>0.22675592981313783</v>
      </c>
      <c r="E65" s="54">
        <f>IF(1629.02751="","-",1629.02751/316175.78086*100)</f>
        <v>0.5152284294416971</v>
      </c>
      <c r="F65" s="54">
        <f>IF(OR(313138.53701="",613.51206="",578.72808=""),"-",(578.72808-613.51206)/313138.53701*100)</f>
        <v>-0.01110817605911253</v>
      </c>
      <c r="G65" s="54">
        <f>IF(OR(255220.70381="",1629.02751="",578.72808=""),"-",(1629.02751-578.72808)/255220.70381*100)</f>
        <v>0.41152595158655286</v>
      </c>
    </row>
    <row r="66" spans="1:7" s="25" customFormat="1" ht="15">
      <c r="A66" s="23" t="s">
        <v>107</v>
      </c>
      <c r="B66" s="54">
        <f>IF(18396.29988="","-",18396.29988)</f>
        <v>18396.29988</v>
      </c>
      <c r="C66" s="54">
        <f>IF(OR(18152.31632="",18396.29988=""),"-",18396.29988/18152.31632*100)</f>
        <v>101.34409050447837</v>
      </c>
      <c r="D66" s="54">
        <f>IF(18152.31632="","-",18152.31632/255220.70381*100)</f>
        <v>7.112399601214782</v>
      </c>
      <c r="E66" s="54">
        <f>IF(18396.29988="","-",18396.29988/316175.78086*100)</f>
        <v>5.818377305801841</v>
      </c>
      <c r="F66" s="54">
        <f>IF(OR(313138.53701="",14881.10189="",18152.31632=""),"-",(18152.31632-14881.10189)/313138.53701*100)</f>
        <v>1.0446540567108598</v>
      </c>
      <c r="G66" s="54">
        <f>IF(OR(255220.70381="",18396.29988="",18152.31632=""),"-",(18396.29988-18152.31632)/255220.70381*100)</f>
        <v>0.09559708768048512</v>
      </c>
    </row>
    <row r="67" spans="1:7" s="25" customFormat="1" ht="15">
      <c r="A67" s="23" t="s">
        <v>108</v>
      </c>
      <c r="B67" s="54">
        <f>IF(2023.55085="","-",2023.55085)</f>
        <v>2023.55085</v>
      </c>
      <c r="C67" s="54">
        <f>IF(OR(2125.23906="",2023.55085=""),"-",2023.55085/2125.23906*100)</f>
        <v>95.21521075374928</v>
      </c>
      <c r="D67" s="54">
        <f>IF(2125.23906="","-",2125.23906/255220.70381*100)</f>
        <v>0.8327063707112656</v>
      </c>
      <c r="E67" s="54">
        <f>IF(2023.55085="","-",2023.55085/316175.78086*100)</f>
        <v>0.6400081766212231</v>
      </c>
      <c r="F67" s="54">
        <f>IF(OR(313138.53701="",2231.37718="",2125.23906=""),"-",(2125.23906-2231.37718)/313138.53701*100)</f>
        <v>-0.03389494024384823</v>
      </c>
      <c r="G67" s="54">
        <f>IF(OR(255220.70381="",2023.55085="",2125.23906=""),"-",(2023.55085-2125.23906)/255220.70381*100)</f>
        <v>-0.03984324487863726</v>
      </c>
    </row>
    <row r="68" spans="1:7" s="25" customFormat="1" ht="15">
      <c r="A68" s="23" t="s">
        <v>109</v>
      </c>
      <c r="B68" s="54">
        <f>IF(39170.19032="","-",39170.19032)</f>
        <v>39170.19032</v>
      </c>
      <c r="C68" s="54">
        <f>IF(OR(35853.93531="",39170.19032=""),"-",39170.19032/35853.93531*100)</f>
        <v>109.24934733475426</v>
      </c>
      <c r="D68" s="54">
        <f>IF(35853.93531="","-",35853.93531/255220.70381*100)</f>
        <v>14.04820799204895</v>
      </c>
      <c r="E68" s="54">
        <f>IF(39170.19032="","-",39170.19032/316175.78086*100)</f>
        <v>12.388738382635397</v>
      </c>
      <c r="F68" s="54">
        <f>IF(OR(313138.53701="",33768.47269="",35853.93531=""),"-",(35853.93531-33768.47269)/313138.53701*100)</f>
        <v>0.6659872144492391</v>
      </c>
      <c r="G68" s="54">
        <f>IF(OR(255220.70381="",39170.19032="",35853.93531=""),"-",(39170.19032-35853.93531)/255220.70381*100)</f>
        <v>1.2993675514933143</v>
      </c>
    </row>
    <row r="69" spans="1:7" s="25" customFormat="1" ht="15">
      <c r="A69" s="23" t="s">
        <v>110</v>
      </c>
      <c r="B69" s="54">
        <f>IF(4800.32791="","-",4800.32791)</f>
        <v>4800.32791</v>
      </c>
      <c r="C69" s="54">
        <f>IF(OR(5227.72094="",4800.32791=""),"-",4800.32791/5227.72094*100)</f>
        <v>91.82448652280203</v>
      </c>
      <c r="D69" s="54">
        <f>IF(5227.72094="","-",5227.72094/255220.70381*100)</f>
        <v>2.048313817005926</v>
      </c>
      <c r="E69" s="54">
        <f>IF(4800.32791="","-",4800.32791/316175.78086*100)</f>
        <v>1.5182465579568047</v>
      </c>
      <c r="F69" s="54">
        <f>IF(OR(313138.53701="",4551.71923="",5227.72094=""),"-",(5227.72094-4551.71923)/313138.53701*100)</f>
        <v>0.21587943676776283</v>
      </c>
      <c r="G69" s="54">
        <f>IF(OR(255220.70381="",4800.32791="",5227.72094=""),"-",(4800.32791-5227.72094)/255220.70381*100)</f>
        <v>-0.16746017216462758</v>
      </c>
    </row>
    <row r="70" spans="1:7" ht="26.25">
      <c r="A70" s="14" t="s">
        <v>115</v>
      </c>
      <c r="B70" s="54">
        <f>IF(2416.41093="","-",2416.41093)</f>
        <v>2416.41093</v>
      </c>
      <c r="C70" s="54">
        <f>IF(OR(3256.19169="",2416.41093=""),"-",2416.41093/3256.19169*100)</f>
        <v>74.20972596364558</v>
      </c>
      <c r="D70" s="54">
        <f>IF(3256.19169="","-",3256.19169/255220.70381*100)</f>
        <v>1.2758336770452932</v>
      </c>
      <c r="E70" s="54">
        <f>IF(2416.41093="","-",2416.41093/316175.78086*100)</f>
        <v>0.7642618683275955</v>
      </c>
      <c r="F70" s="54">
        <f>IF(OR(313138.53701="",3058.23603="",3256.19169=""),"-",(3256.19169-3058.23603)/313138.53701*100)</f>
        <v>0.06321663947535094</v>
      </c>
      <c r="G70" s="54">
        <f>IF(OR(255220.70381="",2416.41093="",3256.19169=""),"-",(2416.41093-3256.19169)/255220.70381*100)</f>
        <v>-0.32904100155807814</v>
      </c>
    </row>
    <row r="71" spans="1:7" ht="26.25">
      <c r="A71" s="16" t="s">
        <v>112</v>
      </c>
      <c r="B71" s="54">
        <f>IF(308.41083="","-",308.41083)</f>
        <v>308.41083</v>
      </c>
      <c r="C71" s="54" t="s">
        <v>202</v>
      </c>
      <c r="D71" s="54">
        <f>IF(63.94503="","-",63.94503/255220.70381*100)</f>
        <v>0.0250547972971676</v>
      </c>
      <c r="E71" s="54">
        <f>IF(308.41083="","-",308.41083/316175.78086*100)</f>
        <v>0.09754410320775384</v>
      </c>
      <c r="F71" s="54">
        <f>IF(OR(313138.53701="",85.34738="",63.94503=""),"-",(63.94503-85.34738)/313138.53701*100)</f>
        <v>-0.00683478635506192</v>
      </c>
      <c r="G71" s="54">
        <f>IF(OR(255220.70381="",308.41083="",63.94503=""),"-",(308.41083-63.94503)/255220.70381*100)</f>
        <v>0.09578603786861799</v>
      </c>
    </row>
    <row r="72" spans="1:7" ht="15">
      <c r="A72" s="17" t="s">
        <v>113</v>
      </c>
      <c r="B72" s="55">
        <f>IF(5570.34019="","-",5570.34019)</f>
        <v>5570.34019</v>
      </c>
      <c r="C72" s="55">
        <f>IF(OR(3935.99627="",5570.34019=""),"-",5570.34019/3935.99627*100)</f>
        <v>141.52300479695322</v>
      </c>
      <c r="D72" s="55">
        <f>IF(3935.99627="","-",3935.99627/255220.70381*100)</f>
        <v>1.5421931729058183</v>
      </c>
      <c r="E72" s="55">
        <f>IF(5570.34019="","-",5570.34019/316175.78086*100)</f>
        <v>1.7617858568574234</v>
      </c>
      <c r="F72" s="55">
        <f>IF(OR(313138.53701="",5743.68569="",3935.99627=""),"-",(3935.99627-5743.68569)/313138.53701*100)</f>
        <v>-0.5772810453994911</v>
      </c>
      <c r="G72" s="55">
        <f>IF(OR(255220.70381="",5570.34019="",3935.99627=""),"-",(5570.34019-3935.99627)/255220.70381*100)</f>
        <v>0.640364945163968</v>
      </c>
    </row>
    <row r="73" spans="1:7" ht="15">
      <c r="A73" s="11" t="s">
        <v>31</v>
      </c>
      <c r="B73" s="34"/>
      <c r="C73" s="35"/>
      <c r="D73" s="35"/>
      <c r="E73" s="35"/>
      <c r="F73" s="35"/>
      <c r="G73" s="35"/>
    </row>
    <row r="74" spans="2:7" ht="15">
      <c r="B74" s="36"/>
      <c r="C74" s="37"/>
      <c r="D74" s="37"/>
      <c r="E74" s="37"/>
      <c r="F74" s="37"/>
      <c r="G74" s="37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zoomScalePageLayoutView="0" workbookViewId="0" topLeftCell="A1">
      <selection activeCell="J7" sqref="J7"/>
    </sheetView>
  </sheetViews>
  <sheetFormatPr defaultColWidth="9.00390625" defaultRowHeight="15.75"/>
  <cols>
    <col min="1" max="1" width="28.125" style="0" customWidth="1"/>
    <col min="2" max="2" width="11.125" style="0" customWidth="1"/>
    <col min="3" max="3" width="10.375" style="0" customWidth="1"/>
    <col min="4" max="5" width="8.375" style="0" customWidth="1"/>
    <col min="6" max="6" width="9.75390625" style="0" customWidth="1"/>
    <col min="7" max="7" width="10.375" style="0" customWidth="1"/>
  </cols>
  <sheetData>
    <row r="1" spans="1:7" ht="15.75">
      <c r="A1" s="68" t="s">
        <v>122</v>
      </c>
      <c r="B1" s="68"/>
      <c r="C1" s="68"/>
      <c r="D1" s="68"/>
      <c r="E1" s="68"/>
      <c r="F1" s="68"/>
      <c r="G1" s="68"/>
    </row>
    <row r="2" spans="1:7" ht="15.75">
      <c r="A2" s="68" t="s">
        <v>41</v>
      </c>
      <c r="B2" s="68"/>
      <c r="C2" s="68"/>
      <c r="D2" s="68"/>
      <c r="E2" s="68"/>
      <c r="F2" s="68"/>
      <c r="G2" s="68"/>
    </row>
    <row r="3" ht="15">
      <c r="A3" s="10"/>
    </row>
    <row r="4" spans="1:7" ht="58.5" customHeight="1">
      <c r="A4" s="69"/>
      <c r="B4" s="72" t="s">
        <v>203</v>
      </c>
      <c r="C4" s="73"/>
      <c r="D4" s="72" t="s">
        <v>0</v>
      </c>
      <c r="E4" s="73"/>
      <c r="F4" s="74" t="s">
        <v>253</v>
      </c>
      <c r="G4" s="75"/>
    </row>
    <row r="5" spans="1:7" ht="27" customHeight="1">
      <c r="A5" s="70"/>
      <c r="B5" s="76" t="s">
        <v>237</v>
      </c>
      <c r="C5" s="78" t="s">
        <v>206</v>
      </c>
      <c r="D5" s="80" t="s">
        <v>204</v>
      </c>
      <c r="E5" s="80"/>
      <c r="F5" s="80" t="s">
        <v>204</v>
      </c>
      <c r="G5" s="72"/>
    </row>
    <row r="6" spans="1:7" ht="28.5" customHeight="1">
      <c r="A6" s="71"/>
      <c r="B6" s="77"/>
      <c r="C6" s="79"/>
      <c r="D6" s="31">
        <v>2016</v>
      </c>
      <c r="E6" s="31">
        <v>2017</v>
      </c>
      <c r="F6" s="31" t="s">
        <v>2</v>
      </c>
      <c r="G6" s="32" t="s">
        <v>205</v>
      </c>
    </row>
    <row r="7" spans="1:7" ht="15">
      <c r="A7" s="13" t="s">
        <v>236</v>
      </c>
      <c r="B7" s="52">
        <f>IF(599518.01338="","-",599518.01338)</f>
        <v>599518.01338</v>
      </c>
      <c r="C7" s="52">
        <f>IF(494274.03793="","-",599518.01338/494274.03793*100)</f>
        <v>121.29263675081089</v>
      </c>
      <c r="D7" s="52">
        <v>100</v>
      </c>
      <c r="E7" s="52">
        <v>100</v>
      </c>
      <c r="F7" s="52">
        <f>IF(573555.85568="","-",(494274.03793-573555.85568)/573555.85568*100)</f>
        <v>-13.822859092948253</v>
      </c>
      <c r="G7" s="52">
        <f>IF(494274.03793="","-",(599518.01338-494274.03793)/494274.03793*100)</f>
        <v>21.292636750810868</v>
      </c>
    </row>
    <row r="8" spans="1:7" ht="15">
      <c r="A8" s="14" t="s">
        <v>116</v>
      </c>
      <c r="B8" s="56"/>
      <c r="C8" s="56"/>
      <c r="D8" s="56"/>
      <c r="E8" s="56"/>
      <c r="F8" s="56"/>
      <c r="G8" s="56"/>
    </row>
    <row r="9" spans="1:7" ht="15">
      <c r="A9" s="15" t="s">
        <v>42</v>
      </c>
      <c r="B9" s="56">
        <f>IF(71185.695="","-",71185.695)</f>
        <v>71185.695</v>
      </c>
      <c r="C9" s="56">
        <f>IF(59069.80228="","-",71185.695/59069.80228*100)</f>
        <v>120.51114486987579</v>
      </c>
      <c r="D9" s="56">
        <f>IF(59069.80228="","-",59069.80228/494274.03793*100)</f>
        <v>11.950820343990145</v>
      </c>
      <c r="E9" s="56">
        <f>IF(71185.695="","-",71185.695/599518.01338*100)</f>
        <v>11.87382087131375</v>
      </c>
      <c r="F9" s="56">
        <f>IF(573555.85568="","-",(59069.80228-52559.80395)/573555.85568*100)</f>
        <v>1.1350242989467585</v>
      </c>
      <c r="G9" s="56">
        <f>IF(494274.03793="","-",(71185.695-59069.80228)/494274.03793*100)</f>
        <v>2.4512500738944087</v>
      </c>
    </row>
    <row r="10" spans="1:7" ht="15">
      <c r="A10" s="14" t="s">
        <v>43</v>
      </c>
      <c r="B10" s="57">
        <f>IF(547.24997="","-",547.24997)</f>
        <v>547.24997</v>
      </c>
      <c r="C10" s="57">
        <f>IF(OR(1143.38132="",547.24997=""),"-",547.24997/1143.38132*100)</f>
        <v>47.862420036738044</v>
      </c>
      <c r="D10" s="57">
        <f>IF(1143.38132="","-",1143.38132/494274.03793*100)</f>
        <v>0.23132538475790382</v>
      </c>
      <c r="E10" s="57">
        <f>IF(547.24997="","-",547.24997/599518.01338*100)</f>
        <v>0.09128165589465444</v>
      </c>
      <c r="F10" s="57">
        <f>IF(OR(573555.85568="",1006.96142="",1143.38132=""),"-",(1143.38132-1006.96142)/573555.85568*100)</f>
        <v>0.023784937185980327</v>
      </c>
      <c r="G10" s="57">
        <f>IF(OR(494274.03793="",547.24997="",1143.38132=""),"-",(547.24997-1143.38132)/494274.03793*100)</f>
        <v>-0.12060745745347548</v>
      </c>
    </row>
    <row r="11" spans="1:7" s="25" customFormat="1" ht="15">
      <c r="A11" s="23" t="s">
        <v>44</v>
      </c>
      <c r="B11" s="57">
        <f>IF(2937.59115="","-",2937.59115)</f>
        <v>2937.59115</v>
      </c>
      <c r="C11" s="57">
        <f>IF(OR(2711.9183="",2937.59115=""),"-",2937.59115/2711.9183*100)</f>
        <v>108.3215209691236</v>
      </c>
      <c r="D11" s="57">
        <f>IF(2711.9183="","-",2711.9183/494274.03793*100)</f>
        <v>0.5486669523160483</v>
      </c>
      <c r="E11" s="57">
        <f>IF(2937.59115="","-",2937.59115/599518.01338*100)</f>
        <v>0.48999214109318684</v>
      </c>
      <c r="F11" s="57">
        <f>IF(OR(573555.85568="",2334.65269="",2711.9183=""),"-",(2711.9183-2334.65269)/573555.85568*100)</f>
        <v>0.06577661203593135</v>
      </c>
      <c r="G11" s="57">
        <f>IF(OR(494274.03793="",2937.59115="",2711.9183=""),"-",(2937.59115-2711.9183)/494274.03793*100)</f>
        <v>0.045657435487631376</v>
      </c>
    </row>
    <row r="12" spans="1:7" s="25" customFormat="1" ht="15">
      <c r="A12" s="23" t="s">
        <v>45</v>
      </c>
      <c r="B12" s="57">
        <f>IF(8224.00336="","-",8224.00336)</f>
        <v>8224.00336</v>
      </c>
      <c r="C12" s="57">
        <f>IF(OR(5521.21428="",8224.00336=""),"-",8224.00336/5521.21428*100)</f>
        <v>148.95280173766415</v>
      </c>
      <c r="D12" s="57">
        <f>IF(5521.21428="","-",5521.21428/494274.03793*100)</f>
        <v>1.1170350567314087</v>
      </c>
      <c r="E12" s="57">
        <f>IF(8224.00336="","-",8224.00336/599518.01338*100)</f>
        <v>1.3717691839873505</v>
      </c>
      <c r="F12" s="57">
        <f>IF(OR(573555.85568="",5084.00272="",5521.21428=""),"-",(5521.21428-5084.00272)/573555.85568*100)</f>
        <v>0.07622824449793955</v>
      </c>
      <c r="G12" s="57">
        <f>IF(OR(494274.03793="",8224.00336="",5521.21428=""),"-",(8224.00336-5521.21428)/494274.03793*100)</f>
        <v>0.5468199566619306</v>
      </c>
    </row>
    <row r="13" spans="1:7" s="25" customFormat="1" ht="15">
      <c r="A13" s="23" t="s">
        <v>46</v>
      </c>
      <c r="B13" s="57">
        <f>IF(5649.01499="","-",5649.01499)</f>
        <v>5649.01499</v>
      </c>
      <c r="C13" s="57">
        <f>IF(OR(5689.87168="",5649.01499=""),"-",5649.01499/5689.87168*100)</f>
        <v>99.28194004543876</v>
      </c>
      <c r="D13" s="57">
        <f>IF(5689.87168="","-",5689.87168/494274.03793*100)</f>
        <v>1.1511573020968198</v>
      </c>
      <c r="E13" s="57">
        <f>IF(5649.01499="","-",5649.01499/599518.01338*100)</f>
        <v>0.9422594257262815</v>
      </c>
      <c r="F13" s="57">
        <f>IF(OR(573555.85568="",5078.18901="",5689.87168=""),"-",(5689.87168-5078.18901)/573555.85568*100)</f>
        <v>0.10664744574437261</v>
      </c>
      <c r="G13" s="57">
        <f>IF(OR(494274.03793="",5649.01499="",5689.87168=""),"-",(5649.01499-5689.87168)/494274.03793*100)</f>
        <v>-0.008265999600364752</v>
      </c>
    </row>
    <row r="14" spans="1:7" s="25" customFormat="1" ht="15">
      <c r="A14" s="23" t="s">
        <v>47</v>
      </c>
      <c r="B14" s="57">
        <f>IF(8785.21198="","-",8785.21198)</f>
        <v>8785.21198</v>
      </c>
      <c r="C14" s="57">
        <f>IF(OR(6001.91341="",8785.21198=""),"-",8785.21198/6001.91341*100)</f>
        <v>146.3735209068936</v>
      </c>
      <c r="D14" s="57">
        <f>IF(6001.91341="","-",6001.91341/494274.03793*100)</f>
        <v>1.214288623196916</v>
      </c>
      <c r="E14" s="57">
        <f>IF(8785.21198="","-",8785.21198/599518.01338*100)</f>
        <v>1.4653791519074104</v>
      </c>
      <c r="F14" s="57">
        <f>IF(OR(573555.85568="",6568.00381="",6001.91341=""),"-",(6001.91341-6568.00381)/573555.85568*100)</f>
        <v>-0.09869839081824924</v>
      </c>
      <c r="G14" s="57">
        <f>IF(OR(494274.03793="",8785.21198="",6001.91341=""),"-",(8785.21198-6001.91341)/494274.03793*100)</f>
        <v>0.5631083885482523</v>
      </c>
    </row>
    <row r="15" spans="1:7" s="25" customFormat="1" ht="15">
      <c r="A15" s="23" t="s">
        <v>48</v>
      </c>
      <c r="B15" s="57">
        <f>IF(17348.55442="","-",17348.55442)</f>
        <v>17348.55442</v>
      </c>
      <c r="C15" s="57">
        <f>IF(OR(17399.52714="",17348.55442=""),"-",17348.55442/17399.52714*100)</f>
        <v>99.70704537203878</v>
      </c>
      <c r="D15" s="57">
        <f>IF(17399.52714="","-",17399.52714/494274.03793*100)</f>
        <v>3.520218705572424</v>
      </c>
      <c r="E15" s="57">
        <f>IF(17348.55442="","-",17348.55442/599518.01338*100)</f>
        <v>2.893750318225009</v>
      </c>
      <c r="F15" s="57">
        <f>IF(OR(573555.85568="",15062.84011="",17399.52714=""),"-",(17399.52714-15062.84011)/573555.85568*100)</f>
        <v>0.40740356965402347</v>
      </c>
      <c r="G15" s="57">
        <f>IF(OR(494274.03793="",17348.55442="",17399.52714=""),"-",(17348.55442-17399.52714)/494274.03793*100)</f>
        <v>-0.010312643612330856</v>
      </c>
    </row>
    <row r="16" spans="1:7" s="25" customFormat="1" ht="26.25">
      <c r="A16" s="23" t="s">
        <v>49</v>
      </c>
      <c r="B16" s="57">
        <f>IF(9586.41007="","-",9586.41007)</f>
        <v>9586.41007</v>
      </c>
      <c r="C16" s="57" t="s">
        <v>246</v>
      </c>
      <c r="D16" s="57">
        <f>IF(3628.28236="","-",3628.28236/494274.03793*100)</f>
        <v>0.7340629046985964</v>
      </c>
      <c r="E16" s="57">
        <f>IF(9586.41007="","-",9586.41007/599518.01338*100)</f>
        <v>1.5990195216909562</v>
      </c>
      <c r="F16" s="57">
        <f>IF(OR(573555.85568="",1581.39043="",3628.28236=""),"-",(3628.28236-1581.39043)/573555.85568*100)</f>
        <v>0.35687752286535945</v>
      </c>
      <c r="G16" s="57">
        <f>IF(OR(494274.03793="",9586.41007="",3628.28236=""),"-",(9586.41007-3628.28236)/494274.03793*100)</f>
        <v>1.2054300353205685</v>
      </c>
    </row>
    <row r="17" spans="1:7" s="25" customFormat="1" ht="26.25">
      <c r="A17" s="23" t="s">
        <v>50</v>
      </c>
      <c r="B17" s="57">
        <f>IF(5078.13932="","-",5078.13932)</f>
        <v>5078.13932</v>
      </c>
      <c r="C17" s="57">
        <f>IF(OR(5724.42812="",5078.13932=""),"-",5078.13932/5724.42812*100)</f>
        <v>88.70998488491809</v>
      </c>
      <c r="D17" s="57">
        <f>IF(5724.42812="","-",5724.42812/494274.03793*100)</f>
        <v>1.158148654534573</v>
      </c>
      <c r="E17" s="57">
        <f>IF(5078.13932="","-",5078.13932/599518.01338*100)</f>
        <v>0.8470369874910263</v>
      </c>
      <c r="F17" s="57">
        <f>IF(OR(573555.85568="",5465.37757="",5724.42812=""),"-",(5724.42812-5465.37757)/573555.85568*100)</f>
        <v>0.04516570573460071</v>
      </c>
      <c r="G17" s="57">
        <f>IF(OR(494274.03793="",5078.13932="",5724.42812=""),"-",(5078.13932-5724.42812)/494274.03793*100)</f>
        <v>-0.13075515815207112</v>
      </c>
    </row>
    <row r="18" spans="1:7" s="25" customFormat="1" ht="26.25">
      <c r="A18" s="23" t="s">
        <v>51</v>
      </c>
      <c r="B18" s="57">
        <f>IF(4022.75787="","-",4022.75787)</f>
        <v>4022.75787</v>
      </c>
      <c r="C18" s="57">
        <f>IF(OR(3801.1806="",4022.75787=""),"-",4022.75787/3801.1806*100)</f>
        <v>105.82916975846925</v>
      </c>
      <c r="D18" s="57">
        <f>IF(3801.1806="","-",3801.1806/494274.03793*100)</f>
        <v>0.7690431437425266</v>
      </c>
      <c r="E18" s="57">
        <f>IF(4022.75787="","-",4022.75787/599518.01338*100)</f>
        <v>0.6709986656314537</v>
      </c>
      <c r="F18" s="57">
        <f>IF(OR(573555.85568="",3007.4585="",3801.1806=""),"-",(3801.1806-3007.4585)/573555.85568*100)</f>
        <v>0.13838619066297803</v>
      </c>
      <c r="G18" s="57">
        <f>IF(OR(494274.03793="",4022.75787="",3801.1806=""),"-",(4022.75787-3801.1806)/494274.03793*100)</f>
        <v>0.044828830364620514</v>
      </c>
    </row>
    <row r="19" spans="1:7" s="25" customFormat="1" ht="15">
      <c r="A19" s="23" t="s">
        <v>52</v>
      </c>
      <c r="B19" s="57">
        <f>IF(9006.76187="","-",9006.76187)</f>
        <v>9006.76187</v>
      </c>
      <c r="C19" s="57">
        <f>IF(OR(7448.08507="",9006.76187=""),"-",9006.76187/7448.08507*100)</f>
        <v>120.92721532247484</v>
      </c>
      <c r="D19" s="57">
        <f>IF(7448.08507="","-",7448.08507/494274.03793*100)</f>
        <v>1.5068736163429268</v>
      </c>
      <c r="E19" s="57">
        <f>IF(9006.76187="","-",9006.76187/599518.01338*100)</f>
        <v>1.502333819666421</v>
      </c>
      <c r="F19" s="57">
        <f>IF(OR(573555.85568="",7370.92769="",7448.08507=""),"-",(7448.08507-7370.92769)/573555.85568*100)</f>
        <v>0.013452461383821616</v>
      </c>
      <c r="G19" s="57">
        <f>IF(OR(494274.03793="",9006.76187="",7448.08507=""),"-",(9006.76187-7448.08507)/494274.03793*100)</f>
        <v>0.3153466863296475</v>
      </c>
    </row>
    <row r="20" spans="1:7" s="25" customFormat="1" ht="15">
      <c r="A20" s="24" t="s">
        <v>53</v>
      </c>
      <c r="B20" s="56">
        <f>IF(10117.62682="","-",10117.62682)</f>
        <v>10117.62682</v>
      </c>
      <c r="C20" s="56">
        <f>IF(12628.23603="","-",10117.62682/12628.23603*100)</f>
        <v>80.11908231651891</v>
      </c>
      <c r="D20" s="56">
        <f>IF(12628.23603="","-",12628.23603/494274.03793*100)</f>
        <v>2.5549057933300623</v>
      </c>
      <c r="E20" s="56">
        <f>IF(10117.62682="","-",10117.62682/599518.01338*100)</f>
        <v>1.687626825916074</v>
      </c>
      <c r="F20" s="56">
        <f>IF(573555.85568="","-",(12628.23603-10194.47854)/573555.85568*100)</f>
        <v>0.42432789516455555</v>
      </c>
      <c r="G20" s="56">
        <f>IF(494274.03793="","-",(10117.62682-12628.23603)/494274.03793*100)</f>
        <v>-0.5079387176624393</v>
      </c>
    </row>
    <row r="21" spans="1:7" s="25" customFormat="1" ht="15">
      <c r="A21" s="23" t="s">
        <v>54</v>
      </c>
      <c r="B21" s="57">
        <f>IF(4619.61641="","-",4619.61641)</f>
        <v>4619.61641</v>
      </c>
      <c r="C21" s="57">
        <f>IF(OR(5199.04892="",4619.61641=""),"-",4619.61641/5199.04892*100)</f>
        <v>88.85502870013386</v>
      </c>
      <c r="D21" s="57">
        <f>IF(5199.04892="","-",5199.04892/494274.03793*100)</f>
        <v>1.051855554010769</v>
      </c>
      <c r="E21" s="57">
        <f>IF(4619.61641="","-",4619.61641/599518.01338*100)</f>
        <v>0.7705550637178087</v>
      </c>
      <c r="F21" s="57">
        <f>IF(OR(573555.85568="",3029.49442="",5199.04892=""),"-",(5199.04892-3029.49442)/573555.85568*100)</f>
        <v>0.37826385669584106</v>
      </c>
      <c r="G21" s="57">
        <f>IF(OR(494274.03793="",4619.61641="",5199.04892=""),"-",(4619.61641-5199.04892)/494274.03793*100)</f>
        <v>-0.1172289996105482</v>
      </c>
    </row>
    <row r="22" spans="1:7" s="25" customFormat="1" ht="15">
      <c r="A22" s="23" t="s">
        <v>55</v>
      </c>
      <c r="B22" s="57">
        <f>IF(5498.01041="","-",5498.01041)</f>
        <v>5498.01041</v>
      </c>
      <c r="C22" s="57">
        <f>IF(OR(7429.18711="",5498.01041=""),"-",5498.01041/7429.18711*100)</f>
        <v>74.0055450023522</v>
      </c>
      <c r="D22" s="57">
        <f>IF(7429.18711="","-",7429.18711/494274.03793*100)</f>
        <v>1.5030502393192935</v>
      </c>
      <c r="E22" s="57">
        <f>IF(5498.01041="","-",5498.01041/599518.01338*100)</f>
        <v>0.9170717621982657</v>
      </c>
      <c r="F22" s="57">
        <f>IF(OR(573555.85568="",7164.98412="",7429.18711=""),"-",(7429.18711-7164.98412)/573555.85568*100)</f>
        <v>0.046064038468714485</v>
      </c>
      <c r="G22" s="57">
        <f>IF(OR(494274.03793="",5498.01041="",7429.18711=""),"-",(5498.01041-7429.18711)/494274.03793*100)</f>
        <v>-0.39070971805189103</v>
      </c>
    </row>
    <row r="23" spans="1:7" s="25" customFormat="1" ht="26.25">
      <c r="A23" s="24" t="s">
        <v>56</v>
      </c>
      <c r="B23" s="56">
        <f>IF(18900.16452="","-",18900.16452)</f>
        <v>18900.16452</v>
      </c>
      <c r="C23" s="56">
        <f>IF(10176.89761="","-",18900.16452/10176.89761*100)</f>
        <v>185.71636705304337</v>
      </c>
      <c r="D23" s="56">
        <f>IF(10176.89761="","-",10176.89761/494274.03793*100)</f>
        <v>2.058958559227679</v>
      </c>
      <c r="E23" s="56">
        <f>IF(18900.16452="","-",18900.16452/599518.01338*100)</f>
        <v>3.1525599061558585</v>
      </c>
      <c r="F23" s="56">
        <f>IF(573555.85568="","-",(10176.89761-10009.66973)/573555.85568*100)</f>
        <v>0.029156337319882694</v>
      </c>
      <c r="G23" s="56">
        <f>IF(494274.03793="","-",(18900.16452-10176.89761)/494274.03793*100)</f>
        <v>1.7648644760976508</v>
      </c>
    </row>
    <row r="24" spans="1:7" s="25" customFormat="1" ht="15">
      <c r="A24" s="23" t="s">
        <v>58</v>
      </c>
      <c r="B24" s="57">
        <f>IF(10283.81792="","-",10283.81792)</f>
        <v>10283.81792</v>
      </c>
      <c r="C24" s="57" t="s">
        <v>247</v>
      </c>
      <c r="D24" s="57">
        <f>IF(2842.99292="","-",2842.99292/494274.03793*100)</f>
        <v>0.575185565462095</v>
      </c>
      <c r="E24" s="57">
        <f>IF(10283.81792="","-",10283.81792/599518.01338*100)</f>
        <v>1.7153476109952475</v>
      </c>
      <c r="F24" s="57">
        <f>IF(OR(573555.85568="",999.31812="",2842.99292=""),"-",(2842.99292-999.31812)/573555.85568*100)</f>
        <v>0.32144642613999025</v>
      </c>
      <c r="G24" s="57">
        <f>IF(OR(494274.03793="",10283.81792="",2842.99292=""),"-",(10283.81792-2842.99292)/494274.03793*100)</f>
        <v>1.505404781356083</v>
      </c>
    </row>
    <row r="25" spans="1:7" s="25" customFormat="1" ht="26.25">
      <c r="A25" s="23" t="s">
        <v>59</v>
      </c>
      <c r="B25" s="57">
        <f>IF(80.32898="","-",80.32898)</f>
        <v>80.32898</v>
      </c>
      <c r="C25" s="57">
        <f>IF(OR(73.61163="",80.32898=""),"-",80.32898/73.61163*100)</f>
        <v>109.12539227836689</v>
      </c>
      <c r="D25" s="57">
        <f>IF(73.61163="","-",73.61163/494274.03793*100)</f>
        <v>0.01489287811034595</v>
      </c>
      <c r="E25" s="57">
        <f>IF(80.32898="","-",80.32898/599518.01338*100)</f>
        <v>0.013398926839098007</v>
      </c>
      <c r="F25" s="57">
        <f>IF(OR(573555.85568="",797.9978="",73.61163=""),"-",(73.61163-797.9978)/573555.85568*100)</f>
        <v>-0.12629740640363224</v>
      </c>
      <c r="G25" s="57">
        <f>IF(OR(494274.03793="",80.32898="",73.61163=""),"-",(80.32898-73.61163)/494274.03793*100)</f>
        <v>0.0013590335491081003</v>
      </c>
    </row>
    <row r="26" spans="1:7" s="25" customFormat="1" ht="15">
      <c r="A26" s="23" t="s">
        <v>60</v>
      </c>
      <c r="B26" s="57">
        <f>IF(2776.64379="","-",2776.64379)</f>
        <v>2776.64379</v>
      </c>
      <c r="C26" s="57">
        <f>IF(OR(2180.96991="",2776.64379=""),"-",2776.64379/2180.96991*100)</f>
        <v>127.31233829814737</v>
      </c>
      <c r="D26" s="57">
        <f>IF(2180.96991="","-",2180.96991/494274.03793*100)</f>
        <v>0.4412471104357039</v>
      </c>
      <c r="E26" s="57">
        <f>IF(2776.64379="","-",2776.64379/599518.01338*100)</f>
        <v>0.46314601530413824</v>
      </c>
      <c r="F26" s="57">
        <f>IF(OR(573555.85568="",2725.49689="",2180.96991=""),"-",(2180.96991-2725.49689)/573555.85568*100)</f>
        <v>-0.09493878836864393</v>
      </c>
      <c r="G26" s="57">
        <f>IF(OR(494274.03793="",2776.64379="",2180.96991=""),"-",(2776.64379-2180.96991)/494274.03793*100)</f>
        <v>0.12051490353299939</v>
      </c>
    </row>
    <row r="27" spans="1:7" s="25" customFormat="1" ht="15">
      <c r="A27" s="23" t="s">
        <v>61</v>
      </c>
      <c r="B27" s="57">
        <f>IF(66.46133="","-",66.46133)</f>
        <v>66.46133</v>
      </c>
      <c r="C27" s="57">
        <f>IF(OR(66.24981="",66.46133=""),"-",66.46133/66.24981*100)</f>
        <v>100.31927638735871</v>
      </c>
      <c r="D27" s="57">
        <f>IF(66.24981="","-",66.24981/494274.03793*100)</f>
        <v>0.01340345737709623</v>
      </c>
      <c r="E27" s="57">
        <f>IF(66.46133="","-",66.46133/599518.01338*100)</f>
        <v>0.011085793673704677</v>
      </c>
      <c r="F27" s="57">
        <f>IF(OR(573555.85568="",1.13303="",66.24981=""),"-",(66.24981-1.13303)/573555.85568*100)</f>
        <v>0.011353171509825913</v>
      </c>
      <c r="G27" s="57">
        <f>IF(OR(494274.03793="",66.46133="",66.24981=""),"-",(66.46133-66.24981)/494274.03793*100)</f>
        <v>4.279407449475692E-05</v>
      </c>
    </row>
    <row r="28" spans="1:7" s="25" customFormat="1" ht="39">
      <c r="A28" s="23" t="s">
        <v>62</v>
      </c>
      <c r="B28" s="57">
        <f>IF(1140.16096="","-",1140.16096)</f>
        <v>1140.16096</v>
      </c>
      <c r="C28" s="57">
        <f>IF(OR(854.81195="",1140.16096=""),"-",1140.16096/854.81195*100)</f>
        <v>133.38149519318253</v>
      </c>
      <c r="D28" s="57">
        <f>IF(854.81195="","-",854.81195/494274.03793*100)</f>
        <v>0.17294291919112695</v>
      </c>
      <c r="E28" s="57">
        <f>IF(1140.16096="","-",1140.16096/599518.01338*100)</f>
        <v>0.19017960003769185</v>
      </c>
      <c r="F28" s="57">
        <f>IF(OR(573555.85568="",1571.13739="",854.81195=""),"-",(854.81195-1571.13739)/573555.85568*100)</f>
        <v>-0.12489201058730964</v>
      </c>
      <c r="G28" s="57">
        <f>IF(OR(494274.03793="",1140.16096="",854.81195=""),"-",(1140.16096-854.81195)/494274.03793*100)</f>
        <v>0.0577309322567356</v>
      </c>
    </row>
    <row r="29" spans="1:7" s="25" customFormat="1" ht="39">
      <c r="A29" s="23" t="s">
        <v>63</v>
      </c>
      <c r="B29" s="57">
        <f>IF(747.49297="","-",747.49297)</f>
        <v>747.49297</v>
      </c>
      <c r="C29" s="57">
        <f>IF(OR(850.80566="",747.49297=""),"-",747.49297/850.80566*100)</f>
        <v>87.85707537488643</v>
      </c>
      <c r="D29" s="57">
        <f>IF(850.80566="","-",850.80566/494274.03793*100)</f>
        <v>0.17213237894572417</v>
      </c>
      <c r="E29" s="57">
        <f>IF(747.49297="","-",747.49297/599518.01338*100)</f>
        <v>0.12468232035026564</v>
      </c>
      <c r="F29" s="57">
        <f>IF(OR(573555.85568="",1109.61627="",850.80566=""),"-",(850.80566-1109.61627)/573555.85568*100)</f>
        <v>-0.04512387197113656</v>
      </c>
      <c r="G29" s="57">
        <f>IF(OR(494274.03793="",747.49297="",850.80566=""),"-",(747.49297-850.80566)/494274.03793*100)</f>
        <v>-0.020901905030794133</v>
      </c>
    </row>
    <row r="30" spans="1:7" s="25" customFormat="1" ht="26.25">
      <c r="A30" s="23" t="s">
        <v>64</v>
      </c>
      <c r="B30" s="57">
        <f>IF(108.97577="","-",108.97577)</f>
        <v>108.97577</v>
      </c>
      <c r="C30" s="57">
        <f>IF(OR(151.65063="",108.97577=""),"-",108.97577/151.65063*100)</f>
        <v>71.85975422588089</v>
      </c>
      <c r="D30" s="57">
        <f>IF(151.65063="","-",151.65063/494274.03793*100)</f>
        <v>0.030681488073924904</v>
      </c>
      <c r="E30" s="57">
        <f>IF(108.97577="","-",108.97577/599518.01338*100)</f>
        <v>0.018177230302991166</v>
      </c>
      <c r="F30" s="57">
        <f>IF(OR(573555.85568="",87.0794="",151.65063=""),"-",(151.65063-87.0794)/573555.85568*100)</f>
        <v>0.011258054356963233</v>
      </c>
      <c r="G30" s="57">
        <f>IF(OR(494274.03793="",108.97577="",151.65063=""),"-",(108.97577-151.65063)/494274.03793*100)</f>
        <v>-0.008633846151159513</v>
      </c>
    </row>
    <row r="31" spans="1:7" s="25" customFormat="1" ht="26.25">
      <c r="A31" s="23" t="s">
        <v>65</v>
      </c>
      <c r="B31" s="57">
        <f>IF(3696.2828="","-",3696.2828)</f>
        <v>3696.2828</v>
      </c>
      <c r="C31" s="57">
        <f>IF(OR(3152.52612="",3696.2828=""),"-",3696.2828/3152.52612*100)</f>
        <v>117.24828468669438</v>
      </c>
      <c r="D31" s="57">
        <f>IF(3152.52612="","-",3152.52612/494274.03793*100)</f>
        <v>0.6378093685038878</v>
      </c>
      <c r="E31" s="57">
        <f>IF(3696.2828="","-",3696.2828/599518.01338*100)</f>
        <v>0.6165424086527219</v>
      </c>
      <c r="F31" s="57">
        <f>IF(OR(573555.85568="",2717.89083="",3152.52612=""),"-",(3152.52612-2717.89083)/573555.85568*100)</f>
        <v>0.07577906941333594</v>
      </c>
      <c r="G31" s="57">
        <f>IF(OR(494274.03793="",3696.2828="",3152.52612=""),"-",(3696.2828-3152.52612)/494274.03793*100)</f>
        <v>0.1100111756379581</v>
      </c>
    </row>
    <row r="32" spans="1:7" s="25" customFormat="1" ht="26.25">
      <c r="A32" s="24" t="s">
        <v>66</v>
      </c>
      <c r="B32" s="56">
        <f>IF(117738.15913="","-",117738.15913)</f>
        <v>117738.15913</v>
      </c>
      <c r="C32" s="56">
        <f>IF(105074.61104="","-",117738.15913/105074.61104*100)</f>
        <v>112.05195809402446</v>
      </c>
      <c r="D32" s="56">
        <f>IF(105074.61104="","-",105074.61104/494274.03793*100)</f>
        <v>21.258371465361257</v>
      </c>
      <c r="E32" s="56">
        <f>IF(117738.15913="","-",117738.15913/599518.01338*100)</f>
        <v>19.63880258846744</v>
      </c>
      <c r="F32" s="56">
        <f>IF(573555.85568="","-",(105074.61104-154359.06101)/573555.85568*100)</f>
        <v>-8.592789957931652</v>
      </c>
      <c r="G32" s="56">
        <f>IF(494274.03793="","-",(117738.15913-105074.61104)/494274.03793*100)</f>
        <v>2.562050020477392</v>
      </c>
    </row>
    <row r="33" spans="1:7" s="25" customFormat="1" ht="15">
      <c r="A33" s="23" t="s">
        <v>67</v>
      </c>
      <c r="B33" s="57">
        <f>IF(2647.72063="","-",2647.72063)</f>
        <v>2647.72063</v>
      </c>
      <c r="C33" s="57" t="s">
        <v>230</v>
      </c>
      <c r="D33" s="57">
        <f>IF(431.59876="","-",431.59876/494274.03793*100)</f>
        <v>0.08731973093458811</v>
      </c>
      <c r="E33" s="57">
        <f>IF(2647.72063="","-",2647.72063/599518.01338*100)</f>
        <v>0.4416415471943062</v>
      </c>
      <c r="F33" s="57">
        <f>IF(OR(573555.85568="",2254.26012="",431.59876=""),"-",(431.59876-2254.26012)/573555.85568*100)</f>
        <v>-0.31778271321789175</v>
      </c>
      <c r="G33" s="57">
        <f>IF(OR(494274.03793="",2647.72063="",431.59876=""),"-",(2647.72063-431.59876)/494274.03793*100)</f>
        <v>0.44835894664446263</v>
      </c>
    </row>
    <row r="34" spans="1:7" s="25" customFormat="1" ht="26.25">
      <c r="A34" s="23" t="s">
        <v>68</v>
      </c>
      <c r="B34" s="57">
        <f>IF(56592.30309="","-",56592.30309)</f>
        <v>56592.30309</v>
      </c>
      <c r="C34" s="57">
        <f>IF(OR(30182.84462="",56592.30309=""),"-",56592.30309/30182.84462*100)</f>
        <v>187.49824213884847</v>
      </c>
      <c r="D34" s="57">
        <f>IF(30182.84462="","-",30182.84462/494274.03793*100)</f>
        <v>6.1065000999050145</v>
      </c>
      <c r="E34" s="57">
        <f>IF(56592.30309="","-",56592.30309/599518.01338*100)</f>
        <v>9.439633476722474</v>
      </c>
      <c r="F34" s="57">
        <f>IF(OR(573555.85568="",46729.25199="",30182.84462=""),"-",(30182.84462-46729.25199)/573555.85568*100)</f>
        <v>-2.8848816041434713</v>
      </c>
      <c r="G34" s="57">
        <f>IF(OR(494274.03793="",56592.30309="",30182.84462=""),"-",(56592.30309-30182.84462)/494274.03793*100)</f>
        <v>5.343080243623914</v>
      </c>
    </row>
    <row r="35" spans="1:7" s="25" customFormat="1" ht="26.25">
      <c r="A35" s="23" t="s">
        <v>69</v>
      </c>
      <c r="B35" s="57">
        <f>IF(58497.52098="","-",58497.52098)</f>
        <v>58497.52098</v>
      </c>
      <c r="C35" s="57">
        <f>IF(OR(74284.04993="",58497.52098=""),"-",58497.52098/74284.04993*100)</f>
        <v>78.7484271995454</v>
      </c>
      <c r="D35" s="57">
        <f>IF(74284.04993="","-",74284.04993/494274.03793*100)</f>
        <v>15.028920038183402</v>
      </c>
      <c r="E35" s="57">
        <f>IF(58497.52098="","-",58497.52098/599518.01338*100)</f>
        <v>9.757425077221455</v>
      </c>
      <c r="F35" s="57">
        <f>IF(OR(573555.85568="",105257.80585="",74284.04993=""),"-",(74284.04993-105257.80585)/573555.85568*100)</f>
        <v>-5.400303320637874</v>
      </c>
      <c r="G35" s="57">
        <f>IF(OR(494274.03793="",58497.52098="",74284.04993=""),"-",(58497.52098-74284.04993)/494274.03793*100)</f>
        <v>-3.1938818830366547</v>
      </c>
    </row>
    <row r="36" spans="1:7" s="25" customFormat="1" ht="15">
      <c r="A36" s="23" t="s">
        <v>70</v>
      </c>
      <c r="B36" s="57">
        <f>IF(0.61443="","-",0.61443)</f>
        <v>0.61443</v>
      </c>
      <c r="C36" s="57">
        <f>IF(OR(176.11773="",0.61443=""),"-",0.61443/176.11773*100)</f>
        <v>0.34887458519934367</v>
      </c>
      <c r="D36" s="57">
        <f>IF(176.11773="","-",176.11773/494274.03793*100)</f>
        <v>0.035631596338252775</v>
      </c>
      <c r="E36" s="57">
        <f>IF(0.61443="","-",0.61443/599518.01338*100)</f>
        <v>0.00010248732920232509</v>
      </c>
      <c r="F36" s="57">
        <f>IF(OR(573555.85568="",117.74305="",176.11773=""),"-",(176.11773-117.74305)/573555.85568*100)</f>
        <v>0.010177680067583263</v>
      </c>
      <c r="G36" s="57">
        <f>IF(OR(494274.03793="",0.61443="",176.11773=""),"-",(0.61443-176.11773)/494274.03793*100)</f>
        <v>-0.03550728675432779</v>
      </c>
    </row>
    <row r="37" spans="1:7" s="25" customFormat="1" ht="26.25">
      <c r="A37" s="24" t="s">
        <v>71</v>
      </c>
      <c r="B37" s="56">
        <f>IF(1559.60435="","-",1559.60435)</f>
        <v>1559.60435</v>
      </c>
      <c r="C37" s="56">
        <f>IF(911.09888="","-",1559.60435/911.09888*100)</f>
        <v>171.17838516056568</v>
      </c>
      <c r="D37" s="56">
        <f>IF(911.09888="","-",911.09888/494274.03793*100)</f>
        <v>0.1843307173922478</v>
      </c>
      <c r="E37" s="56">
        <f>IF(1559.60435="","-",1559.60435/599518.01338*100)</f>
        <v>0.260143034102873</v>
      </c>
      <c r="F37" s="56">
        <f>IF(573555.85568="","-",(911.09888-1194.39744)/573555.85568*100)</f>
        <v>-0.04939336896214319</v>
      </c>
      <c r="G37" s="56">
        <f>IF(494274.03793="","-",(1559.60435-911.09888)/494274.03793*100)</f>
        <v>0.13120362799468796</v>
      </c>
    </row>
    <row r="38" spans="1:7" s="25" customFormat="1" ht="15">
      <c r="A38" s="23" t="s">
        <v>72</v>
      </c>
      <c r="B38" s="57">
        <f>IF(129.76376="","-",129.76376)</f>
        <v>129.76376</v>
      </c>
      <c r="C38" s="57">
        <f>IF(OR(72.05245="",129.76376=""),"-",129.76376/72.05245*100)</f>
        <v>180.0962493294815</v>
      </c>
      <c r="D38" s="57">
        <f>IF(72.05245="","-",72.05245/494274.03793*100)</f>
        <v>0.014577429618143165</v>
      </c>
      <c r="E38" s="57">
        <f>IF(129.76376="","-",129.76376/599518.01338*100)</f>
        <v>0.021644680744188113</v>
      </c>
      <c r="F38" s="57">
        <f>IF(OR(573555.85568="",71.53696="",72.05245=""),"-",(72.05245-71.53696)/573555.85568*100)</f>
        <v>8.987616374151421E-05</v>
      </c>
      <c r="G38" s="57">
        <f>IF(OR(494274.03793="",129.76376="",72.05245=""),"-",(129.76376-72.05245)/494274.03793*100)</f>
        <v>0.011675974372777634</v>
      </c>
    </row>
    <row r="39" spans="1:7" s="25" customFormat="1" ht="26.25">
      <c r="A39" s="23" t="s">
        <v>117</v>
      </c>
      <c r="B39" s="57">
        <f>IF(1109.09901="","-",1109.09901)</f>
        <v>1109.09901</v>
      </c>
      <c r="C39" s="57" t="s">
        <v>197</v>
      </c>
      <c r="D39" s="57">
        <f>IF(529.50846="","-",529.50846/494274.03793*100)</f>
        <v>0.10712851968061289</v>
      </c>
      <c r="E39" s="57">
        <f>IF(1109.09901="","-",1109.09901/599518.01338*100)</f>
        <v>0.18499844629305673</v>
      </c>
      <c r="F39" s="57">
        <f>IF(OR(573555.85568="",886.15466="",529.50846=""),"-",(529.50846-886.15466)/573555.85568*100)</f>
        <v>-0.062181598612948544</v>
      </c>
      <c r="G39" s="57">
        <f>IF(OR(494274.03793="",1109.09901="",529.50846=""),"-",(1109.09901-529.50846)/494274.03793*100)</f>
        <v>0.11726097377626835</v>
      </c>
    </row>
    <row r="40" spans="1:7" s="25" customFormat="1" ht="26.25">
      <c r="A40" s="23" t="s">
        <v>118</v>
      </c>
      <c r="B40" s="57">
        <f>IF(320.74158="","-",320.74158)</f>
        <v>320.74158</v>
      </c>
      <c r="C40" s="57">
        <f>IF(OR(309.53797="",320.74158=""),"-",320.74158/309.53797*100)</f>
        <v>103.61946225853973</v>
      </c>
      <c r="D40" s="57">
        <f>IF(309.53797="","-",309.53797/494274.03793*100)</f>
        <v>0.06262476809349175</v>
      </c>
      <c r="E40" s="57">
        <f>IF(320.74158="","-",320.74158/599518.01338*100)</f>
        <v>0.05349990706562813</v>
      </c>
      <c r="F40" s="57">
        <f>IF(OR(573555.85568="",236.70582="",309.53797=""),"-",(309.53797-236.70582)/573555.85568*100)</f>
        <v>0.012698353487063815</v>
      </c>
      <c r="G40" s="57">
        <f>IF(OR(494274.03793="",320.74158="",309.53797=""),"-",(320.74158-309.53797)/494274.03793*100)</f>
        <v>0.002266679845641964</v>
      </c>
    </row>
    <row r="41" spans="1:7" s="25" customFormat="1" ht="26.25">
      <c r="A41" s="24" t="s">
        <v>75</v>
      </c>
      <c r="B41" s="56">
        <f>IF(82386.44573="","-",82386.44573)</f>
        <v>82386.44573</v>
      </c>
      <c r="C41" s="56">
        <f>IF(67569.88796="","-",82386.44573/67569.88796*100)</f>
        <v>121.92775246093515</v>
      </c>
      <c r="D41" s="56">
        <f>IF(67569.88796="","-",67569.88796/494274.03793*100)</f>
        <v>13.670531481479383</v>
      </c>
      <c r="E41" s="56">
        <f>IF(82386.44573="","-",82386.44573/599518.01338*100)</f>
        <v>13.742113479712906</v>
      </c>
      <c r="F41" s="56">
        <f>IF(573555.85568="","-",(67569.88796-69993.97578)/573555.85568*100)</f>
        <v>-0.4226419791540677</v>
      </c>
      <c r="G41" s="56">
        <f>IF(494274.03793="","-",(82386.44573-67569.88796)/494274.03793*100)</f>
        <v>2.997640303353008</v>
      </c>
    </row>
    <row r="42" spans="1:7" s="25" customFormat="1" ht="15">
      <c r="A42" s="23" t="s">
        <v>76</v>
      </c>
      <c r="B42" s="57">
        <f>IF(2617.2658="","-",2617.2658)</f>
        <v>2617.2658</v>
      </c>
      <c r="C42" s="57">
        <f>IF(OR(1770.2297="",2617.2658=""),"-",2617.2658/1770.2297*100)</f>
        <v>147.8489373441198</v>
      </c>
      <c r="D42" s="57">
        <f>IF(1770.2297="","-",1770.2297/494274.03793*100)</f>
        <v>0.35814741705100506</v>
      </c>
      <c r="E42" s="57">
        <f>IF(2617.2658="","-",2617.2658/599518.01338*100)</f>
        <v>0.4365616614660527</v>
      </c>
      <c r="F42" s="57">
        <f>IF(OR(573555.85568="",2898.20864="",1770.2297=""),"-",(1770.2297-2898.20864)/573555.85568*100)</f>
        <v>-0.19666418341465333</v>
      </c>
      <c r="G42" s="57">
        <f>IF(OR(494274.03793="",2617.2658="",1770.2297=""),"-",(2617.2658-1770.2297)/494274.03793*100)</f>
        <v>0.17136973318431886</v>
      </c>
    </row>
    <row r="43" spans="1:7" s="25" customFormat="1" ht="15">
      <c r="A43" s="23" t="s">
        <v>77</v>
      </c>
      <c r="B43" s="57">
        <f>IF(1690.21643="","-",1690.21643)</f>
        <v>1690.21643</v>
      </c>
      <c r="C43" s="57">
        <f>IF(OR(1732.649="",1690.21643=""),"-",1690.21643/1732.649*100)</f>
        <v>97.55100023143754</v>
      </c>
      <c r="D43" s="57">
        <f>IF(1732.649="","-",1732.649/494274.03793*100)</f>
        <v>0.35054420565082983</v>
      </c>
      <c r="E43" s="57">
        <f>IF(1690.21643="","-",1690.21643/599518.01338*100)</f>
        <v>0.2819292151825084</v>
      </c>
      <c r="F43" s="57">
        <f>IF(OR(573555.85568="",1194.27906="",1732.649=""),"-",(1732.649-1194.27906)/573555.85568*100)</f>
        <v>0.09386530268472558</v>
      </c>
      <c r="G43" s="57">
        <f>IF(OR(494274.03793="",1690.21643="",1732.649=""),"-",(1690.21643-1732.649)/494274.03793*100)</f>
        <v>-0.00858482678509797</v>
      </c>
    </row>
    <row r="44" spans="1:7" s="25" customFormat="1" ht="15">
      <c r="A44" s="23" t="s">
        <v>78</v>
      </c>
      <c r="B44" s="57">
        <f>IF(2121.24247="","-",2121.24247)</f>
        <v>2121.24247</v>
      </c>
      <c r="C44" s="57">
        <f>IF(OR(2047.03702="",2121.24247=""),"-",2121.24247/2047.03702*100)</f>
        <v>103.6250174899133</v>
      </c>
      <c r="D44" s="57">
        <f>IF(2047.03702="","-",2047.03702/494274.03793*100)</f>
        <v>0.4141502209124536</v>
      </c>
      <c r="E44" s="57">
        <f>IF(2121.24247="","-",2121.24247/599518.01338*100)</f>
        <v>0.35382464290617843</v>
      </c>
      <c r="F44" s="57">
        <f>IF(OR(573555.85568="",2108.6231="",2047.03702=""),"-",(2047.03702-2108.6231)/573555.85568*100)</f>
        <v>-0.01073759066185179</v>
      </c>
      <c r="G44" s="57">
        <f>IF(OR(494274.03793="",2121.24247="",2047.03702=""),"-",(2121.24247-2047.03702)/494274.03793*100)</f>
        <v>0.015013017942591043</v>
      </c>
    </row>
    <row r="45" spans="1:7" s="25" customFormat="1" ht="15">
      <c r="A45" s="23" t="s">
        <v>79</v>
      </c>
      <c r="B45" s="57">
        <f>IF(28447.40532="","-",28447.40532)</f>
        <v>28447.40532</v>
      </c>
      <c r="C45" s="57">
        <f>IF(OR(15447.63149="",28447.40532=""),"-",28447.40532/15447.63149*100)</f>
        <v>184.15383185710627</v>
      </c>
      <c r="D45" s="57">
        <f>IF(15447.63149="","-",15447.63149/494274.03793*100)</f>
        <v>3.125317193412396</v>
      </c>
      <c r="E45" s="57">
        <f>IF(28447.40532="","-",28447.40532/599518.01338*100)</f>
        <v>4.745045967779591</v>
      </c>
      <c r="F45" s="57">
        <f>IF(OR(573555.85568="",17692.86591="",15447.63149=""),"-",(15447.63149-17692.86591)/573555.85568*100)</f>
        <v>-0.3914587215464972</v>
      </c>
      <c r="G45" s="57">
        <f>IF(OR(494274.03793="",28447.40532="",15447.63149=""),"-",(28447.40532-15447.63149)/494274.03793*100)</f>
        <v>2.6300741759455013</v>
      </c>
    </row>
    <row r="46" spans="1:7" s="25" customFormat="1" ht="39">
      <c r="A46" s="23" t="s">
        <v>80</v>
      </c>
      <c r="B46" s="57">
        <f>IF(14089.98054="","-",14089.98054)</f>
        <v>14089.98054</v>
      </c>
      <c r="C46" s="57">
        <f>IF(OR(15513.92449="",14089.98054=""),"-",14089.98054/15513.92449*100)</f>
        <v>90.82151037335622</v>
      </c>
      <c r="D46" s="57">
        <f>IF(15513.92449="","-",15513.92449/494274.03793*100)</f>
        <v>3.138729388857181</v>
      </c>
      <c r="E46" s="57">
        <f>IF(14089.98054="","-",14089.98054/599518.01338*100)</f>
        <v>2.350218046087161</v>
      </c>
      <c r="F46" s="57">
        <f>IF(OR(573555.85568="",16794.39672="",15513.92449=""),"-",(15513.92449-16794.39672)/573555.85568*100)</f>
        <v>-0.22325153118380958</v>
      </c>
      <c r="G46" s="57">
        <f>IF(OR(494274.03793="",14089.98054="",15513.92449=""),"-",(14089.98054-15513.92449)/494274.03793*100)</f>
        <v>-0.2880879513646761</v>
      </c>
    </row>
    <row r="47" spans="1:7" s="25" customFormat="1" ht="15">
      <c r="A47" s="23" t="s">
        <v>81</v>
      </c>
      <c r="B47" s="57">
        <f>IF(10518.05913="","-",10518.05913)</f>
        <v>10518.05913</v>
      </c>
      <c r="C47" s="57">
        <f>IF(OR(9810.5709="",10518.05913=""),"-",10518.05913/9810.5709*100)</f>
        <v>107.2114888849129</v>
      </c>
      <c r="D47" s="57">
        <f>IF(9810.5709="","-",9810.5709/494274.03793*100)</f>
        <v>1.9848444682804465</v>
      </c>
      <c r="E47" s="57">
        <f>IF(10518.05913="","-",10518.05913/599518.01338*100)</f>
        <v>1.7544191992998892</v>
      </c>
      <c r="F47" s="57">
        <f>IF(OR(573555.85568="",7132.91141="",9810.5709=""),"-",(9810.5709-7132.91141)/573555.85568*100)</f>
        <v>0.46685243703516965</v>
      </c>
      <c r="G47" s="57">
        <f>IF(OR(494274.03793="",10518.05913="",9810.5709=""),"-",(10518.05913-9810.5709)/494274.03793*100)</f>
        <v>0.14313683821285286</v>
      </c>
    </row>
    <row r="48" spans="1:7" s="25" customFormat="1" ht="15">
      <c r="A48" s="23" t="s">
        <v>82</v>
      </c>
      <c r="B48" s="57">
        <f>IF(4630.41928="","-",4630.41928)</f>
        <v>4630.41928</v>
      </c>
      <c r="C48" s="57">
        <f>IF(OR(4867.9748="",4630.41928=""),"-",4630.41928/4867.9748*100)</f>
        <v>95.12003389992898</v>
      </c>
      <c r="D48" s="57">
        <f>IF(4867.9748="","-",4867.9748/494274.03793*100)</f>
        <v>0.984873658423753</v>
      </c>
      <c r="E48" s="57">
        <f>IF(4630.41928="","-",4630.41928/599518.01338*100)</f>
        <v>0.7723569895580508</v>
      </c>
      <c r="F48" s="57">
        <f>IF(OR(573555.85568="",5479.11762="",4867.9748=""),"-",(4867.9748-5479.11762)/573555.85568*100)</f>
        <v>-0.10655332239184227</v>
      </c>
      <c r="G48" s="57">
        <f>IF(OR(494274.03793="",4630.41928="",4867.9748=""),"-",(4630.41928-4867.9748)/494274.03793*100)</f>
        <v>-0.048061500659608375</v>
      </c>
    </row>
    <row r="49" spans="1:7" s="25" customFormat="1" ht="15">
      <c r="A49" s="23" t="s">
        <v>83</v>
      </c>
      <c r="B49" s="57">
        <f>IF(9799.01693="","-",9799.01693)</f>
        <v>9799.01693</v>
      </c>
      <c r="C49" s="57">
        <f>IF(OR(8153.9268="",9799.01693=""),"-",9799.01693/8153.9268*100)</f>
        <v>120.17543412334777</v>
      </c>
      <c r="D49" s="57">
        <f>IF(8153.9268="","-",8153.9268/494274.03793*100)</f>
        <v>1.6496773397502975</v>
      </c>
      <c r="E49" s="57">
        <f>IF(9799.01693="","-",9799.01693/599518.01338*100)</f>
        <v>1.6344824861482463</v>
      </c>
      <c r="F49" s="57">
        <f>IF(OR(573555.85568="",10315.35744="",8153.9268=""),"-",(8153.9268-10315.35744)/573555.85568*100)</f>
        <v>-0.3768474541049601</v>
      </c>
      <c r="G49" s="57">
        <f>IF(OR(494274.03793="",9799.01693="",8153.9268=""),"-",(9799.01693-8153.9268)/494274.03793*100)</f>
        <v>0.3328295649291174</v>
      </c>
    </row>
    <row r="50" spans="1:7" s="25" customFormat="1" ht="15">
      <c r="A50" s="23" t="s">
        <v>84</v>
      </c>
      <c r="B50" s="57">
        <f>IF(8472.83983="","-",8472.83983)</f>
        <v>8472.83983</v>
      </c>
      <c r="C50" s="57">
        <f>IF(OR(8225.94376="",8472.83983=""),"-",8472.83983/8225.94376*100)</f>
        <v>103.00143153422192</v>
      </c>
      <c r="D50" s="57">
        <f>IF(8225.94376="","-",8225.94376/494274.03793*100)</f>
        <v>1.6642475891410209</v>
      </c>
      <c r="E50" s="57">
        <f>IF(8472.83983="","-",8472.83983/599518.01338*100)</f>
        <v>1.4132752712852275</v>
      </c>
      <c r="F50" s="57">
        <f>IF(OR(573555.85568="",6378.21588="",8225.94376=""),"-",(8225.94376-6378.21588)/573555.85568*100)</f>
        <v>0.32215308442965146</v>
      </c>
      <c r="G50" s="57">
        <f>IF(OR(494274.03793="",8472.83983="",8225.94376=""),"-",(8472.83983-8225.94376)/494274.03793*100)</f>
        <v>0.04995125194800674</v>
      </c>
    </row>
    <row r="51" spans="1:7" s="25" customFormat="1" ht="26.25">
      <c r="A51" s="24" t="s">
        <v>85</v>
      </c>
      <c r="B51" s="56">
        <f>IF(108558.46464="","-",108558.46464)</f>
        <v>108558.46464</v>
      </c>
      <c r="C51" s="56">
        <f>IF(97550.71948="","-",108558.46464/97550.71948*100)</f>
        <v>111.28412503636822</v>
      </c>
      <c r="D51" s="56">
        <f>IF(97550.71948="","-",97550.71948/494274.03793*100)</f>
        <v>19.73616091359735</v>
      </c>
      <c r="E51" s="56">
        <f>IF(108558.46464="","-",108558.46464/599518.01338*100)</f>
        <v>18.10762349373997</v>
      </c>
      <c r="F51" s="56">
        <f>IF(573555.85568="","-",(97550.71948-100647.71154)/573555.85568*100)</f>
        <v>-0.5399634629007932</v>
      </c>
      <c r="G51" s="56">
        <f>IF(494274.03793="","-",(108558.46464-97550.71948)/494274.03793*100)</f>
        <v>2.2270530748691564</v>
      </c>
    </row>
    <row r="52" spans="1:7" s="25" customFormat="1" ht="15">
      <c r="A52" s="23" t="s">
        <v>86</v>
      </c>
      <c r="B52" s="57">
        <f>IF(6116.71242="","-",6116.71242)</f>
        <v>6116.71242</v>
      </c>
      <c r="C52" s="57">
        <f>IF(OR(5149.65513="",6116.71242=""),"-",6116.71242/5149.65513*100)</f>
        <v>118.77906899757771</v>
      </c>
      <c r="D52" s="57">
        <f>IF(5149.65513="","-",5149.65513/494274.03793*100)</f>
        <v>1.041862354649771</v>
      </c>
      <c r="E52" s="57">
        <f>IF(6116.71242="","-",6116.71242/599518.01338*100)</f>
        <v>1.020271665485882</v>
      </c>
      <c r="F52" s="57">
        <f>IF(OR(573555.85568="",4460.98937="",5149.65513=""),"-",(5149.65513-4460.98937)/573555.85568*100)</f>
        <v>0.12006951950364574</v>
      </c>
      <c r="G52" s="57">
        <f>IF(OR(494274.03793="",6116.71242="",5149.65513=""),"-",(6116.71242-5149.65513)/494274.03793*100)</f>
        <v>0.1956520504394682</v>
      </c>
    </row>
    <row r="53" spans="1:7" s="25" customFormat="1" ht="15">
      <c r="A53" s="23" t="s">
        <v>87</v>
      </c>
      <c r="B53" s="57">
        <f>IF(6716.27765="","-",6716.27765)</f>
        <v>6716.27765</v>
      </c>
      <c r="C53" s="57">
        <f>IF(OR(6967.08197="",6716.27765=""),"-",6716.27765/6967.08197*100)</f>
        <v>96.40015258784159</v>
      </c>
      <c r="D53" s="57">
        <f>IF(6967.08197="","-",6967.08197/494274.03793*100)</f>
        <v>1.4095585516038556</v>
      </c>
      <c r="E53" s="57">
        <f>IF(6716.27765="","-",6716.27765/599518.01338*100)</f>
        <v>1.1202795412492366</v>
      </c>
      <c r="F53" s="57">
        <f>IF(OR(573555.85568="",5926.04949="",6967.08197=""),"-",(6967.08197-5926.04949)/573555.85568*100)</f>
        <v>0.1815049867751356</v>
      </c>
      <c r="G53" s="57">
        <f>IF(OR(494274.03793="",6716.27765="",6967.08197=""),"-",(6716.27765-6967.08197)/494274.03793*100)</f>
        <v>-0.05074195704276896</v>
      </c>
    </row>
    <row r="54" spans="1:7" s="25" customFormat="1" ht="15">
      <c r="A54" s="23" t="s">
        <v>88</v>
      </c>
      <c r="B54" s="57">
        <f>IF(6456.74302="","-",6456.74302)</f>
        <v>6456.74302</v>
      </c>
      <c r="C54" s="57">
        <f>IF(OR(5352.51957="",6456.74302=""),"-",6456.74302/5352.51957*100)</f>
        <v>120.62997501567285</v>
      </c>
      <c r="D54" s="57">
        <f>IF(5352.51957="","-",5352.51957/494274.03793*100)</f>
        <v>1.082905262921787</v>
      </c>
      <c r="E54" s="57">
        <f>IF(6456.74302="","-",6456.74302/599518.01338*100)</f>
        <v>1.0769889938081711</v>
      </c>
      <c r="F54" s="57">
        <f>IF(OR(573555.85568="",5963.6011="",5352.51957=""),"-",(5352.51957-5963.6011)/573555.85568*100)</f>
        <v>-0.1065426364230053</v>
      </c>
      <c r="G54" s="57">
        <f>IF(OR(494274.03793="",6456.74302="",5352.51957=""),"-",(6456.74302-5352.51957)/494274.03793*100)</f>
        <v>0.22340308518417096</v>
      </c>
    </row>
    <row r="55" spans="1:7" s="25" customFormat="1" ht="26.25">
      <c r="A55" s="23" t="s">
        <v>89</v>
      </c>
      <c r="B55" s="57">
        <f>IF(11002.93364="","-",11002.93364)</f>
        <v>11002.93364</v>
      </c>
      <c r="C55" s="57">
        <f>IF(OR(9607.73837="",11002.93364=""),"-",11002.93364/9607.73837*100)</f>
        <v>114.52157850547297</v>
      </c>
      <c r="D55" s="57">
        <f>IF(9607.73837="","-",9607.73837/494274.03793*100)</f>
        <v>1.9438080159412834</v>
      </c>
      <c r="E55" s="57">
        <f>IF(11002.93364="","-",11002.93364/599518.01338*100)</f>
        <v>1.8352965873313754</v>
      </c>
      <c r="F55" s="57">
        <f>IF(OR(573555.85568="",9272.89363="",9607.73837=""),"-",(9607.73837-9272.89363)/573555.85568*100)</f>
        <v>0.05838049366665627</v>
      </c>
      <c r="G55" s="57">
        <f>IF(OR(494274.03793="",11002.93364="",9607.73837=""),"-",(11002.93364-9607.73837)/494274.03793*100)</f>
        <v>0.28227160703059023</v>
      </c>
    </row>
    <row r="56" spans="1:7" s="25" customFormat="1" ht="39">
      <c r="A56" s="23" t="s">
        <v>90</v>
      </c>
      <c r="B56" s="57">
        <f>IF(37817.98673="","-",37817.98673)</f>
        <v>37817.98673</v>
      </c>
      <c r="C56" s="57">
        <f>IF(OR(33060.52302="",37817.98673=""),"-",37817.98673/33060.52302*100)</f>
        <v>114.39016469014105</v>
      </c>
      <c r="D56" s="57">
        <f>IF(33060.52302="","-",33060.52302/494274.03793*100)</f>
        <v>6.688703124779962</v>
      </c>
      <c r="E56" s="57">
        <f>IF(37817.98673="","-",37817.98673/599518.01338*100)</f>
        <v>6.308065126648554</v>
      </c>
      <c r="F56" s="57">
        <f>IF(OR(573555.85568="",27262.91783="",33060.52302=""),"-",(33060.52302-27262.91783)/573555.85568*100)</f>
        <v>1.01081788854312</v>
      </c>
      <c r="G56" s="57">
        <f>IF(OR(494274.03793="",37817.98673="",33060.52302=""),"-",(37817.98673-33060.52302)/494274.03793*100)</f>
        <v>0.9625153952904477</v>
      </c>
    </row>
    <row r="57" spans="1:7" s="25" customFormat="1" ht="15">
      <c r="A57" s="23" t="s">
        <v>91</v>
      </c>
      <c r="B57" s="57">
        <f>IF(9587.48859="","-",9587.48859)</f>
        <v>9587.48859</v>
      </c>
      <c r="C57" s="57">
        <f>IF(OR(10137.81383="",9587.48859=""),"-",9587.48859/10137.81383*100)</f>
        <v>94.57155902418067</v>
      </c>
      <c r="D57" s="57">
        <f>IF(10137.81383="","-",10137.81383/494274.03793*100)</f>
        <v>2.0510512493144004</v>
      </c>
      <c r="E57" s="57">
        <f>IF(9587.48859="","-",9587.48859/599518.01338*100)</f>
        <v>1.5991994195382153</v>
      </c>
      <c r="F57" s="57">
        <f>IF(OR(573555.85568="",10876.45426="",10137.81383=""),"-",(10137.81383-10876.45426)/573555.85568*100)</f>
        <v>-0.1287826499695098</v>
      </c>
      <c r="G57" s="57">
        <f>IF(OR(494274.03793="",9587.48859="",10137.81383=""),"-",(9587.48859-10137.81383)/494274.03793*100)</f>
        <v>-0.11134010645283707</v>
      </c>
    </row>
    <row r="58" spans="1:7" s="25" customFormat="1" ht="15">
      <c r="A58" s="23" t="s">
        <v>92</v>
      </c>
      <c r="B58" s="57">
        <f>IF(9285.34296="","-",9285.34296)</f>
        <v>9285.34296</v>
      </c>
      <c r="C58" s="57">
        <f>IF(OR(7167.71008="",9285.34296=""),"-",9285.34296/7167.71008*100)</f>
        <v>129.54406437153216</v>
      </c>
      <c r="D58" s="57">
        <f>IF(7167.71008="","-",7167.71008/494274.03793*100)</f>
        <v>1.4501490124826473</v>
      </c>
      <c r="E58" s="57">
        <f>IF(9285.34296="","-",9285.34296/599518.01338*100)</f>
        <v>1.5488013291961846</v>
      </c>
      <c r="F58" s="57">
        <f>IF(OR(573555.85568="",13453.89648="",7167.71008=""),"-",(7167.71008-13453.89648)/573555.85568*100)</f>
        <v>-1.0960024795749286</v>
      </c>
      <c r="G58" s="57">
        <f>IF(OR(494274.03793="",9285.34296="",7167.71008=""),"-",(9285.34296-7167.71008)/494274.03793*100)</f>
        <v>0.42843295773101137</v>
      </c>
    </row>
    <row r="59" spans="1:7" s="25" customFormat="1" ht="15">
      <c r="A59" s="23" t="s">
        <v>93</v>
      </c>
      <c r="B59" s="57">
        <f>IF(7918.62059="","-",7918.62059)</f>
        <v>7918.62059</v>
      </c>
      <c r="C59" s="57">
        <f>IF(OR(7334.69417="",7918.62059=""),"-",7918.62059/7334.69417*100)</f>
        <v>107.96115565920046</v>
      </c>
      <c r="D59" s="57">
        <f>IF(7334.69417="","-",7334.69417/494274.03793*100)</f>
        <v>1.4839327189260045</v>
      </c>
      <c r="E59" s="57">
        <f>IF(7918.62059="","-",7918.62059/599518.01338*100)</f>
        <v>1.320831136558501</v>
      </c>
      <c r="F59" s="57">
        <f>IF(OR(573555.85568="",10797.95177="",7334.69417=""),"-",(7334.69417-10797.95177)/573555.85568*100)</f>
        <v>-0.6038222024416452</v>
      </c>
      <c r="G59" s="57">
        <f>IF(OR(494274.03793="",7918.62059="",7334.69417=""),"-",(7918.62059-7334.69417)/494274.03793*100)</f>
        <v>0.11813819363150477</v>
      </c>
    </row>
    <row r="60" spans="1:7" s="25" customFormat="1" ht="15">
      <c r="A60" s="23" t="s">
        <v>94</v>
      </c>
      <c r="B60" s="57">
        <f>IF(13656.35904="","-",13656.35904)</f>
        <v>13656.35904</v>
      </c>
      <c r="C60" s="57">
        <f>IF(OR(12772.98334="",13656.35904=""),"-",13656.35904/12772.98334*100)</f>
        <v>106.91597003210371</v>
      </c>
      <c r="D60" s="57">
        <f>IF(12772.98334="","-",12772.98334/494274.03793*100)</f>
        <v>2.5841906229776392</v>
      </c>
      <c r="E60" s="57">
        <f>IF(13656.35904="","-",13656.35904/599518.01338*100)</f>
        <v>2.277889693923845</v>
      </c>
      <c r="F60" s="57">
        <f>IF(OR(573555.85568="",12632.95761="",12772.98334=""),"-",(12772.98334-12632.95761)/573555.85568*100)</f>
        <v>0.024413617019738834</v>
      </c>
      <c r="G60" s="57">
        <f>IF(OR(494274.03793="",13656.35904="",12772.98334=""),"-",(13656.35904-12772.98334)/494274.03793*100)</f>
        <v>0.17872184905756752</v>
      </c>
    </row>
    <row r="61" spans="1:7" s="25" customFormat="1" ht="15.75" customHeight="1">
      <c r="A61" s="24" t="s">
        <v>95</v>
      </c>
      <c r="B61" s="56">
        <f>IF(122820.02265="","-",122820.02265)</f>
        <v>122820.02265</v>
      </c>
      <c r="C61" s="56">
        <f>IF(95475.87453="","-",122820.02265/95475.87453*100)</f>
        <v>128.63985090956987</v>
      </c>
      <c r="D61" s="56">
        <f>IF(95475.87453="","-",95475.87453/494274.03793*100)</f>
        <v>19.316384677991415</v>
      </c>
      <c r="E61" s="56">
        <f>IF(122820.02265="","-",122820.02265/599518.01338*100)</f>
        <v>20.486460774974486</v>
      </c>
      <c r="F61" s="56">
        <f>IF(573555.85568="","-",(95475.87453-125250.75559)/573555.85568*100)</f>
        <v>-5.191278367248</v>
      </c>
      <c r="G61" s="56">
        <f>IF(494274.03793="","-",(122820.02265-95475.87453)/494274.03793*100)</f>
        <v>5.532183772895741</v>
      </c>
    </row>
    <row r="62" spans="1:7" s="25" customFormat="1" ht="26.25">
      <c r="A62" s="23" t="s">
        <v>119</v>
      </c>
      <c r="B62" s="57">
        <f>IF(2296.98043="","-",2296.98043)</f>
        <v>2296.98043</v>
      </c>
      <c r="C62" s="57" t="s">
        <v>222</v>
      </c>
      <c r="D62" s="57">
        <f>IF(1029.06699="","-",1029.06699/494274.03793*100)</f>
        <v>0.2081976618293956</v>
      </c>
      <c r="E62" s="57">
        <f>IF(2296.98043="","-",2296.98043/599518.01338*100)</f>
        <v>0.38313785052928445</v>
      </c>
      <c r="F62" s="57">
        <f>IF(OR(573555.85568="",1565.03275="",1029.06699=""),"-",(1029.06699-1565.03275)/573555.85568*100)</f>
        <v>-0.09344613165261234</v>
      </c>
      <c r="G62" s="57">
        <f>IF(OR(494274.03793="",2296.98043="",1029.06699=""),"-",(2296.98043-1029.06699)/494274.03793*100)</f>
        <v>0.25652033946795405</v>
      </c>
    </row>
    <row r="63" spans="1:7" s="25" customFormat="1" ht="26.25">
      <c r="A63" s="23" t="s">
        <v>97</v>
      </c>
      <c r="B63" s="57">
        <f>IF(14258.78583="","-",14258.78583)</f>
        <v>14258.78583</v>
      </c>
      <c r="C63" s="57">
        <f>IF(OR(11871.29397="",14258.78583=""),"-",14258.78583/11871.29397*100)</f>
        <v>120.11147113392559</v>
      </c>
      <c r="D63" s="57">
        <f>IF(11871.29397="","-",11871.29397/494274.03793*100)</f>
        <v>2.401763608648455</v>
      </c>
      <c r="E63" s="57">
        <f>IF(14258.78583="","-",14258.78583/599518.01338*100)</f>
        <v>2.3783748797823323</v>
      </c>
      <c r="F63" s="57">
        <f>IF(OR(573555.85568="",16270.8902="",11871.29397=""),"-",(11871.29397-16270.8902)/573555.85568*100)</f>
        <v>-0.7670737185280582</v>
      </c>
      <c r="G63" s="57">
        <f>IF(OR(494274.03793="",14258.78583="",11871.29397=""),"-",(14258.78583-11871.29397)/494274.03793*100)</f>
        <v>0.48302999485846376</v>
      </c>
    </row>
    <row r="64" spans="1:7" s="25" customFormat="1" ht="26.25">
      <c r="A64" s="23" t="s">
        <v>98</v>
      </c>
      <c r="B64" s="57">
        <f>IF(1102.00211="","-",1102.00211)</f>
        <v>1102.00211</v>
      </c>
      <c r="C64" s="57">
        <f>IF(OR(770.60086="",1102.00211=""),"-",1102.00211/770.60086*100)</f>
        <v>143.00556451494225</v>
      </c>
      <c r="D64" s="57">
        <f>IF(770.60086="","-",770.60086/494274.03793*100)</f>
        <v>0.155905591001147</v>
      </c>
      <c r="E64" s="57">
        <f>IF(1102.00211="","-",1102.00211/599518.01338*100)</f>
        <v>0.18381467869281587</v>
      </c>
      <c r="F64" s="57">
        <f>IF(OR(573555.85568="",2217.31453="",770.60086=""),"-",(770.60086-2217.31453)/573555.85568*100)</f>
        <v>-0.2522358817668762</v>
      </c>
      <c r="G64" s="57">
        <f>IF(OR(494274.03793="",1102.00211="",770.60086=""),"-",(1102.00211-770.60086)/494274.03793*100)</f>
        <v>0.06704807952040029</v>
      </c>
    </row>
    <row r="65" spans="1:7" s="25" customFormat="1" ht="39">
      <c r="A65" s="23" t="s">
        <v>99</v>
      </c>
      <c r="B65" s="57">
        <f>IF(15357.74598="","-",15357.74598)</f>
        <v>15357.74598</v>
      </c>
      <c r="C65" s="57">
        <f>IF(OR(12314.15459="",15357.74598=""),"-",15357.74598/12314.15459*100)</f>
        <v>124.7162025436291</v>
      </c>
      <c r="D65" s="57">
        <f>IF(12314.15459="","-",12314.15459/494274.03793*100)</f>
        <v>2.4913618043891583</v>
      </c>
      <c r="E65" s="57">
        <f>IF(15357.74598="","-",15357.74598/599518.01338*100)</f>
        <v>2.561682157541046</v>
      </c>
      <c r="F65" s="57">
        <f>IF(OR(573555.85568="",16977.58586="",12314.15459=""),"-",(12314.15459-16977.58586)/573555.85568*100)</f>
        <v>-0.8130736045700551</v>
      </c>
      <c r="G65" s="57">
        <f>IF(OR(494274.03793="",15357.74598="",12314.15459=""),"-",(15357.74598-12314.15459)/494274.03793*100)</f>
        <v>0.615770029667437</v>
      </c>
    </row>
    <row r="66" spans="1:7" s="25" customFormat="1" ht="26.25">
      <c r="A66" s="23" t="s">
        <v>100</v>
      </c>
      <c r="B66" s="57">
        <f>IF(5819.1333="","-",5819.1333)</f>
        <v>5819.1333</v>
      </c>
      <c r="C66" s="57">
        <f>IF(OR(4088.16837="",5819.1333=""),"-",5819.1333/4088.16837*100)</f>
        <v>142.34084248345184</v>
      </c>
      <c r="D66" s="57">
        <f>IF(4088.16837="","-",4088.16837/494274.03793*100)</f>
        <v>0.8271056248717992</v>
      </c>
      <c r="E66" s="57">
        <f>IF(5819.1333="","-",5819.1333/599518.01338*100)</f>
        <v>0.970635272023359</v>
      </c>
      <c r="F66" s="57">
        <f>IF(OR(573555.85568="",4065.01762="",4088.16837=""),"-",(4088.16837-4065.01762)/573555.85568*100)</f>
        <v>0.004036354920054399</v>
      </c>
      <c r="G66" s="57">
        <f>IF(OR(494274.03793="",5819.1333="",4088.16837=""),"-",(5819.1333-4088.16837)/494274.03793*100)</f>
        <v>0.3502034897987385</v>
      </c>
    </row>
    <row r="67" spans="1:7" s="25" customFormat="1" ht="39">
      <c r="A67" s="23" t="s">
        <v>101</v>
      </c>
      <c r="B67" s="57">
        <f>IF(13545.96155="","-",13545.96155)</f>
        <v>13545.96155</v>
      </c>
      <c r="C67" s="57" t="s">
        <v>197</v>
      </c>
      <c r="D67" s="57">
        <f>IF(6322.56966="","-",6322.56966/494274.03793*100)</f>
        <v>1.2791628074334371</v>
      </c>
      <c r="E67" s="57">
        <f>IF(13545.96155="","-",13545.96155/599518.01338*100)</f>
        <v>2.2594753197872626</v>
      </c>
      <c r="F67" s="57">
        <f>IF(OR(573555.85568="",15588.92842="",6322.56966=""),"-",(6322.56966-15588.92842)/573555.85568*100)</f>
        <v>-1.6155983184957514</v>
      </c>
      <c r="G67" s="57">
        <f>IF(OR(494274.03793="",13545.96155="",6322.56966=""),"-",(13545.96155-6322.56966)/494274.03793*100)</f>
        <v>1.4614143846703498</v>
      </c>
    </row>
    <row r="68" spans="1:7" s="25" customFormat="1" ht="38.25" customHeight="1">
      <c r="A68" s="23" t="s">
        <v>102</v>
      </c>
      <c r="B68" s="57">
        <f>IF(39519.58868="","-",39519.58868)</f>
        <v>39519.58868</v>
      </c>
      <c r="C68" s="57">
        <f>IF(OR(32910.69071="",39519.58868=""),"-",39519.58868/32910.69071*100)</f>
        <v>120.08131044175218</v>
      </c>
      <c r="D68" s="57">
        <f>IF(32910.69071="","-",32910.69071/494274.03793*100)</f>
        <v>6.658389513604369</v>
      </c>
      <c r="E68" s="57">
        <f>IF(39519.58868="","-",39519.58868/599518.01338*100)</f>
        <v>6.591893454075549</v>
      </c>
      <c r="F68" s="57">
        <f>IF(OR(573555.85568="",40223.51402="",32910.69071=""),"-",(32910.69071-40223.51402)/573555.85568*100)</f>
        <v>-1.2749975852534912</v>
      </c>
      <c r="G68" s="57">
        <f>IF(OR(494274.03793="",39519.58868="",32910.69071=""),"-",(39519.58868-32910.69071)/494274.03793*100)</f>
        <v>1.3370918686479671</v>
      </c>
    </row>
    <row r="69" spans="1:7" s="25" customFormat="1" ht="26.25">
      <c r="A69" s="23" t="s">
        <v>103</v>
      </c>
      <c r="B69" s="57">
        <f>IF(30524.37189="","-",30524.37189)</f>
        <v>30524.37189</v>
      </c>
      <c r="C69" s="57">
        <f>IF(OR(26058.4814699999="",30524.37189=""),"-",30524.37189/26058.4814699999*100)</f>
        <v>117.13795343424557</v>
      </c>
      <c r="D69" s="57">
        <f>IF(26058.4814699999="","-",26058.4814699999/494274.03793*100)</f>
        <v>5.272071658696011</v>
      </c>
      <c r="E69" s="57">
        <f>IF(30524.37189="","-",30524.37189/599518.01338*100)</f>
        <v>5.091485361366841</v>
      </c>
      <c r="F69" s="57">
        <f>IF(OR(573555.85568="",27771.3612399999="",26058.4814699999=""),"-",(26058.4814699999-27771.3612399999)/573555.85568*100)</f>
        <v>-0.2986421903005824</v>
      </c>
      <c r="G69" s="57">
        <f>IF(OR(494274.03793="",30524.37189="",26058.4814699999=""),"-",(30524.37189-26058.4814699999)/494274.03793*100)</f>
        <v>0.9035251858873814</v>
      </c>
    </row>
    <row r="70" spans="1:7" s="25" customFormat="1" ht="15">
      <c r="A70" s="23" t="s">
        <v>104</v>
      </c>
      <c r="B70" s="57">
        <f>IF(395.45288="","-",395.45288)</f>
        <v>395.45288</v>
      </c>
      <c r="C70" s="57" t="s">
        <v>247</v>
      </c>
      <c r="D70" s="57">
        <f>IF(110.84791="","-",110.84791/494274.03793*100)</f>
        <v>0.022426407517624564</v>
      </c>
      <c r="E70" s="57">
        <f>IF(395.45288="","-",395.45288/599518.01338*100)</f>
        <v>0.06596180117599655</v>
      </c>
      <c r="F70" s="57">
        <f>IF(OR(573555.85568="",571.11095="",110.84791=""),"-",(110.84791-571.11095)/573555.85568*100)</f>
        <v>-0.08024729160062682</v>
      </c>
      <c r="G70" s="57">
        <f>IF(OR(494274.03793="",395.45288="",110.84791=""),"-",(395.45288-110.84791)/494274.03793*100)</f>
        <v>0.05758040037706902</v>
      </c>
    </row>
    <row r="71" spans="1:7" s="25" customFormat="1" ht="13.5" customHeight="1">
      <c r="A71" s="24" t="s">
        <v>105</v>
      </c>
      <c r="B71" s="56">
        <f>IF(66172.80846="","-",66172.80846)</f>
        <v>66172.80846</v>
      </c>
      <c r="C71" s="56">
        <f>IF(44648.17523="","-",66172.80846/44648.17523*100)</f>
        <v>148.20943547887074</v>
      </c>
      <c r="D71" s="56">
        <f>IF(44648.17523="","-",44648.17523/494274.03793*100)</f>
        <v>9.033081206729932</v>
      </c>
      <c r="E71" s="56">
        <f>IF(66172.80846="","-",66172.80846/599518.01338*100)</f>
        <v>11.037668090559418</v>
      </c>
      <c r="F71" s="56">
        <f>IF(573555.85568="","-",(44648.17523-49072.44144)/573555.85568*100)</f>
        <v>-0.7713749526198546</v>
      </c>
      <c r="G71" s="56">
        <f>IF(494274.03793="","-",(66172.80846-44648.17523)/494274.03793*100)</f>
        <v>4.354797456112465</v>
      </c>
    </row>
    <row r="72" spans="1:7" s="25" customFormat="1" ht="39">
      <c r="A72" s="23" t="s">
        <v>106</v>
      </c>
      <c r="B72" s="57">
        <f>IF(4539.18764="","-",4539.18764)</f>
        <v>4539.18764</v>
      </c>
      <c r="C72" s="57">
        <f>IF(OR(3406.25814="",4539.18764=""),"-",4539.18764/3406.25814*100)</f>
        <v>133.26023611352016</v>
      </c>
      <c r="D72" s="57">
        <f>IF(3406.25814="","-",3406.25814/494274.03793*100)</f>
        <v>0.689143648787477</v>
      </c>
      <c r="E72" s="57">
        <f>IF(4539.18764="","-",4539.18764/599518.01338*100)</f>
        <v>0.7571394918409015</v>
      </c>
      <c r="F72" s="57">
        <f>IF(OR(573555.85568="",3804.2812="",3406.25814=""),"-",(3406.25814-3804.2812)/573555.85568*100)</f>
        <v>-0.06939569286205077</v>
      </c>
      <c r="G72" s="57">
        <f>IF(OR(494274.03793="",4539.18764="",3406.25814=""),"-",(4539.18764-3406.25814)/494274.03793*100)</f>
        <v>0.22921080474804298</v>
      </c>
    </row>
    <row r="73" spans="1:7" s="25" customFormat="1" ht="15">
      <c r="A73" s="23" t="s">
        <v>107</v>
      </c>
      <c r="B73" s="57">
        <f>IF(6295.39825="","-",6295.39825)</f>
        <v>6295.39825</v>
      </c>
      <c r="C73" s="57">
        <f>IF(OR(5211.4612="",6295.39825=""),"-",6295.39825/5211.4612*100)</f>
        <v>120.79910045190398</v>
      </c>
      <c r="D73" s="57">
        <f>IF(5211.4612="","-",5211.4612/494274.03793*100)</f>
        <v>1.0543667682456865</v>
      </c>
      <c r="E73" s="57">
        <f>IF(6295.39825="","-",6295.39825/599518.01338*100)</f>
        <v>1.0500765797690401</v>
      </c>
      <c r="F73" s="57">
        <f>IF(OR(573555.85568="",5182.36699="",5211.4612=""),"-",(5211.4612-5182.36699)/573555.85568*100)</f>
        <v>0.005072602731168283</v>
      </c>
      <c r="G73" s="57">
        <f>IF(OR(494274.03793="",6295.39825="",5211.4612=""),"-",(6295.39825-5211.4612)/494274.03793*100)</f>
        <v>0.21929880325891396</v>
      </c>
    </row>
    <row r="74" spans="1:7" s="25" customFormat="1" ht="15">
      <c r="A74" s="23" t="s">
        <v>108</v>
      </c>
      <c r="B74" s="57">
        <f>IF(4532.96274="","-",4532.96274)</f>
        <v>4532.96274</v>
      </c>
      <c r="C74" s="57" t="s">
        <v>215</v>
      </c>
      <c r="D74" s="57">
        <f>IF(645.08862="","-",645.08862/494274.03793*100)</f>
        <v>0.1305123414334294</v>
      </c>
      <c r="E74" s="57">
        <f>IF(4532.96274="","-",4532.96274/599518.01338*100)</f>
        <v>0.7561011744157244</v>
      </c>
      <c r="F74" s="57">
        <f>IF(OR(573555.85568="",628.03696="",645.08862=""),"-",(645.08862-628.03696)/573555.85568*100)</f>
        <v>0.0029729728728484085</v>
      </c>
      <c r="G74" s="57">
        <f>IF(OR(494274.03793="",4532.96274="",645.08862=""),"-",(4532.96274-645.08862)/494274.03793*100)</f>
        <v>0.78658270951925</v>
      </c>
    </row>
    <row r="75" spans="1:7" s="25" customFormat="1" ht="15">
      <c r="A75" s="23" t="s">
        <v>109</v>
      </c>
      <c r="B75" s="57">
        <f>IF(17114.18824="","-",17114.18824)</f>
        <v>17114.18824</v>
      </c>
      <c r="C75" s="57">
        <f>IF(OR(11192.11039="",17114.18824=""),"-",17114.18824/11192.11039*100)</f>
        <v>152.91296854337048</v>
      </c>
      <c r="D75" s="57">
        <f>IF(11192.11039="","-",11192.11039/494274.03793*100)</f>
        <v>2.2643532799885895</v>
      </c>
      <c r="E75" s="57">
        <f>IF(17114.18824="","-",17114.18824/599518.01338*100)</f>
        <v>2.854657884841952</v>
      </c>
      <c r="F75" s="57">
        <f>IF(OR(573555.85568="",9677.95452="",11192.11039=""),"-",(11192.11039-9677.95452)/573555.85568*100)</f>
        <v>0.2639944924291354</v>
      </c>
      <c r="G75" s="57">
        <f>IF(OR(494274.03793="",17114.18824="",11192.11039=""),"-",(17114.18824-11192.11039)/494274.03793*100)</f>
        <v>1.1981365387511402</v>
      </c>
    </row>
    <row r="76" spans="1:7" s="25" customFormat="1" ht="15">
      <c r="A76" s="23" t="s">
        <v>110</v>
      </c>
      <c r="B76" s="57">
        <f>IF(4645.10437="","-",4645.10437)</f>
        <v>4645.10437</v>
      </c>
      <c r="C76" s="57">
        <f>IF(OR(2792.38195="",4645.10437=""),"-",4645.10437/2792.38195*100)</f>
        <v>166.34917619346453</v>
      </c>
      <c r="D76" s="57">
        <f>IF(2792.38195="","-",2792.38195/494274.03793*100)</f>
        <v>0.5649461099948491</v>
      </c>
      <c r="E76" s="57">
        <f>IF(4645.10437="","-",4645.10437/599518.01338*100)</f>
        <v>0.7748064722545268</v>
      </c>
      <c r="F76" s="57">
        <f>IF(OR(573555.85568="",2809.84955="",2792.38195=""),"-",(2792.38195-2809.84955)/573555.85568*100)</f>
        <v>-0.0030454924009607745</v>
      </c>
      <c r="G76" s="57">
        <f>IF(OR(494274.03793="",4645.10437="",2792.38195=""),"-",(4645.10437-2792.38195)/494274.03793*100)</f>
        <v>0.37483708991860626</v>
      </c>
    </row>
    <row r="77" spans="1:7" s="25" customFormat="1" ht="26.25">
      <c r="A77" s="23" t="s">
        <v>111</v>
      </c>
      <c r="B77" s="57">
        <f>IF(6167.7212="","-",6167.7212)</f>
        <v>6167.7212</v>
      </c>
      <c r="C77" s="57">
        <f>IF(OR(4112.23794="",6167.7212=""),"-",6167.7212/4112.23794*100)</f>
        <v>149.98454102098967</v>
      </c>
      <c r="D77" s="57">
        <f>IF(4112.23794="","-",4112.23794/494274.03793*100)</f>
        <v>0.8319753060917155</v>
      </c>
      <c r="E77" s="57">
        <f>IF(6167.7212="","-",6167.7212/599518.01338*100)</f>
        <v>1.0287799636289887</v>
      </c>
      <c r="F77" s="57">
        <f>IF(OR(573555.85568="",10936.04687="",4112.23794=""),"-",(4112.23794-10936.04687)/573555.85568*100)</f>
        <v>-1.1897374706269515</v>
      </c>
      <c r="G77" s="57">
        <f>IF(OR(494274.03793="",6167.7212="",4112.23794=""),"-",(6167.7212-4112.23794)/494274.03793*100)</f>
        <v>0.4158590381579178</v>
      </c>
    </row>
    <row r="78" spans="1:7" ht="26.25">
      <c r="A78" s="16" t="s">
        <v>112</v>
      </c>
      <c r="B78" s="57">
        <f>IF(1412.53379="","-",1412.53379)</f>
        <v>1412.53379</v>
      </c>
      <c r="C78" s="57" t="s">
        <v>133</v>
      </c>
      <c r="D78" s="57">
        <f>IF(581.11957="","-",581.11957/494274.03793*100)</f>
        <v>0.11757032039022433</v>
      </c>
      <c r="E78" s="57">
        <f>IF(1412.53379="","-",1412.53379/599518.01338*100)</f>
        <v>0.23561156770525193</v>
      </c>
      <c r="F78" s="57">
        <f>IF(OR(573555.85568="",999.16346="",581.11957=""),"-",(581.11957-999.16346)/573555.85568*100)</f>
        <v>-0.07288634330206128</v>
      </c>
      <c r="G78" s="57">
        <f>IF(OR(494274.03793="",1412.53379="",581.11957=""),"-",(1412.53379-581.11957)/494274.03793*100)</f>
        <v>0.1682091625693977</v>
      </c>
    </row>
    <row r="79" spans="1:7" ht="15">
      <c r="A79" s="17" t="s">
        <v>113</v>
      </c>
      <c r="B79" s="55">
        <f>IF(21465.71223="","-",21465.71223)</f>
        <v>21465.71223</v>
      </c>
      <c r="C79" s="55">
        <f>IF(OR(16707.51742="",21465.71223=""),"-",21465.71223/16707.51742*100)</f>
        <v>128.47936464997562</v>
      </c>
      <c r="D79" s="55">
        <f>IF(16707.51742="","-",16707.51742/494274.03793*100)</f>
        <v>3.380213431797959</v>
      </c>
      <c r="E79" s="55">
        <f>IF(21465.71223="","-",21465.71223/599518.01338*100)</f>
        <v>3.580494956103032</v>
      </c>
      <c r="F79" s="55">
        <f>IF(OR(573555.85568="",15034.74189="",16707.51742=""),"-",(16707.51742-15034.74189)/573555.85568*100)</f>
        <v>0.291649978539018</v>
      </c>
      <c r="G79" s="55">
        <f>IF(OR(494274.03793="",21465.71223="",16707.51742=""),"-",(21465.71223-16707.51742)/494274.03793*100)</f>
        <v>0.9626633091891962</v>
      </c>
    </row>
    <row r="80" ht="15">
      <c r="A80" s="18" t="s">
        <v>123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83"/>
  <sheetViews>
    <sheetView zoomScalePageLayoutView="0" workbookViewId="0" topLeftCell="A1">
      <selection activeCell="H22" sqref="H22"/>
    </sheetView>
  </sheetViews>
  <sheetFormatPr defaultColWidth="9.00390625" defaultRowHeight="15.75"/>
  <cols>
    <col min="1" max="1" width="43.125" style="0" customWidth="1"/>
    <col min="2" max="2" width="13.25390625" style="0" customWidth="1"/>
    <col min="3" max="3" width="12.875" style="0" customWidth="1"/>
    <col min="4" max="4" width="17.75390625" style="0" customWidth="1"/>
  </cols>
  <sheetData>
    <row r="1" spans="1:4" ht="15.75">
      <c r="A1" s="68" t="s">
        <v>124</v>
      </c>
      <c r="B1" s="68"/>
      <c r="C1" s="68"/>
      <c r="D1" s="68"/>
    </row>
    <row r="2" spans="1:4" ht="15.75">
      <c r="A2" s="68" t="s">
        <v>41</v>
      </c>
      <c r="B2" s="68"/>
      <c r="C2" s="68"/>
      <c r="D2" s="68"/>
    </row>
    <row r="3" ht="15">
      <c r="A3" s="10"/>
    </row>
    <row r="4" spans="1:5" ht="25.5" customHeight="1">
      <c r="A4" s="78"/>
      <c r="B4" s="82" t="s">
        <v>207</v>
      </c>
      <c r="C4" s="73"/>
      <c r="D4" s="74" t="s">
        <v>208</v>
      </c>
      <c r="E4" s="2"/>
    </row>
    <row r="5" spans="1:5" ht="24" customHeight="1">
      <c r="A5" s="79"/>
      <c r="B5" s="33">
        <v>2016</v>
      </c>
      <c r="C5" s="32">
        <v>2017</v>
      </c>
      <c r="D5" s="83"/>
      <c r="E5" s="2"/>
    </row>
    <row r="6" spans="1:4" ht="16.5" customHeight="1">
      <c r="A6" s="13" t="s">
        <v>248</v>
      </c>
      <c r="B6" s="52">
        <f>IF(-239053.33412="","-",-239053.33412)</f>
        <v>-239053.33412</v>
      </c>
      <c r="C6" s="52">
        <f>IF(-283342.23252="","-",-283342.23252)</f>
        <v>-283342.23252</v>
      </c>
      <c r="D6" s="52">
        <f>IF(-239053.33412="","-",-283342.23252/-239053.33412*100)</f>
        <v>118.5267854820079</v>
      </c>
    </row>
    <row r="7" spans="1:4" ht="15">
      <c r="A7" s="14" t="s">
        <v>36</v>
      </c>
      <c r="B7" s="56"/>
      <c r="C7" s="56"/>
      <c r="D7" s="56"/>
    </row>
    <row r="8" spans="1:4" ht="15">
      <c r="A8" s="15" t="s">
        <v>42</v>
      </c>
      <c r="B8" s="53">
        <f>IF(-6118.17417="","-",-6118.17417)</f>
        <v>-6118.17417</v>
      </c>
      <c r="C8" s="53">
        <f>IF(-1311.05018="","-",-1311.05018)</f>
        <v>-1311.05018</v>
      </c>
      <c r="D8" s="53">
        <f>IF(-6118.17417="","-",-1311.05018/-6118.17417*100)</f>
        <v>21.42878158697466</v>
      </c>
    </row>
    <row r="9" spans="1:4" ht="15">
      <c r="A9" s="14" t="s">
        <v>43</v>
      </c>
      <c r="B9" s="54">
        <f>IF(OR(1069.94055="",1069.94055=0),"-",1069.94055)</f>
        <v>1069.94055</v>
      </c>
      <c r="C9" s="54">
        <f>IF(OR(-76.02452="",-76.02452=0),"-",-76.02452)</f>
        <v>-76.02452</v>
      </c>
      <c r="D9" s="54" t="s">
        <v>37</v>
      </c>
    </row>
    <row r="10" spans="1:4" ht="15">
      <c r="A10" s="14" t="s">
        <v>44</v>
      </c>
      <c r="B10" s="54">
        <f>IF(OR(-2094.62896="",-2094.62896=0),"-",-2094.62896)</f>
        <v>-2094.62896</v>
      </c>
      <c r="C10" s="54">
        <f>IF(OR(-1806.03913="",-1806.03913=0),"-",-1806.03913)</f>
        <v>-1806.03913</v>
      </c>
      <c r="D10" s="54">
        <f>IF(OR(-2094.62896="",-1806.03913="",-2094.62896=0,-1806.03913=0),"-",-1806.03913/-2094.62896*100)</f>
        <v>86.22238900010242</v>
      </c>
    </row>
    <row r="11" spans="1:4" ht="15">
      <c r="A11" s="14" t="s">
        <v>45</v>
      </c>
      <c r="B11" s="54">
        <f>IF(OR(-3913.44969="",-3913.44969=0),"-",-3913.44969)</f>
        <v>-3913.44969</v>
      </c>
      <c r="C11" s="54">
        <f>IF(OR(-5957.30673="",-5957.30673=0),"-",-5957.30673)</f>
        <v>-5957.30673</v>
      </c>
      <c r="D11" s="54">
        <f>IF(OR(-3913.44969="",-5957.30673="",-3913.44969=0,-5957.30673=0),"-",-5957.30673/-3913.44969*100)</f>
        <v>152.22648051979942</v>
      </c>
    </row>
    <row r="12" spans="1:4" ht="15">
      <c r="A12" s="14" t="s">
        <v>46</v>
      </c>
      <c r="B12" s="54">
        <f>IF(OR(-5688.5181="",-5688.5181=0),"-",-5688.5181)</f>
        <v>-5688.5181</v>
      </c>
      <c r="C12" s="54">
        <f>IF(OR(-5647.33175="",-5647.33175=0),"-",-5647.33175)</f>
        <v>-5647.33175</v>
      </c>
      <c r="D12" s="54">
        <f>IF(OR(-5688.5181="",-5647.33175="",-5688.5181=0,-5647.33175=0),"-",-5647.33175/-5688.5181*100)</f>
        <v>99.27597400103201</v>
      </c>
    </row>
    <row r="13" spans="1:4" ht="15">
      <c r="A13" s="14" t="s">
        <v>47</v>
      </c>
      <c r="B13" s="54">
        <f>IF(OR(3306.83076="",3306.83076=0),"-",3306.83076)</f>
        <v>3306.83076</v>
      </c>
      <c r="C13" s="54">
        <f>IF(OR(9587.38079="",9587.38079=0),"-",9587.38079)</f>
        <v>9587.38079</v>
      </c>
      <c r="D13" s="54" t="s">
        <v>199</v>
      </c>
    </row>
    <row r="14" spans="1:4" ht="15">
      <c r="A14" s="14" t="s">
        <v>48</v>
      </c>
      <c r="B14" s="54">
        <f>IF(OR(14110.51482="",14110.51482=0),"-",14110.51482)</f>
        <v>14110.51482</v>
      </c>
      <c r="C14" s="54">
        <f>IF(OR(20987.28758="",20987.28758=0),"-",20987.28758)</f>
        <v>20987.28758</v>
      </c>
      <c r="D14" s="54">
        <f>IF(OR(14110.51482="",20987.28758="",14110.51482=0,20987.28758=0),"-",20987.28758/14110.51482*100)</f>
        <v>148.73509469869222</v>
      </c>
    </row>
    <row r="15" spans="1:4" ht="15">
      <c r="A15" s="14" t="s">
        <v>49</v>
      </c>
      <c r="B15" s="54">
        <f>IF(OR(-613.63254="",-613.63254=0),"-",-613.63254)</f>
        <v>-613.63254</v>
      </c>
      <c r="C15" s="54">
        <f>IF(OR(-5570.05751="",-5570.05751=0),"-",-5570.05751)</f>
        <v>-5570.05751</v>
      </c>
      <c r="D15" s="54" t="s">
        <v>229</v>
      </c>
    </row>
    <row r="16" spans="1:4" ht="15">
      <c r="A16" s="14" t="s">
        <v>50</v>
      </c>
      <c r="B16" s="54">
        <f>IF(OR(-4471.02887="",-4471.02887=0),"-",-4471.02887)</f>
        <v>-4471.02887</v>
      </c>
      <c r="C16" s="54">
        <f>IF(OR(-3657.79009="",-3657.79009=0),"-",-3657.79009)</f>
        <v>-3657.79009</v>
      </c>
      <c r="D16" s="54">
        <f>IF(OR(-4471.02887="",-3657.79009="",-4471.02887=0,-3657.79009=0),"-",-3657.79009/-4471.02887*100)</f>
        <v>81.81092532287764</v>
      </c>
    </row>
    <row r="17" spans="1:4" ht="15">
      <c r="A17" s="14" t="s">
        <v>51</v>
      </c>
      <c r="B17" s="54">
        <f>IF(OR(-597.96163="",-597.96163=0),"-",-597.96163)</f>
        <v>-597.96163</v>
      </c>
      <c r="C17" s="54">
        <f>IF(OR(-407.97509="",-407.97509=0),"-",-407.97509)</f>
        <v>-407.97509</v>
      </c>
      <c r="D17" s="54">
        <f>IF(OR(-597.96163="",-407.97509="",-597.96163=0,-407.97509=0),"-",-407.97509/-597.96163*100)</f>
        <v>68.22763694720679</v>
      </c>
    </row>
    <row r="18" spans="1:4" ht="15">
      <c r="A18" s="14" t="s">
        <v>52</v>
      </c>
      <c r="B18" s="54">
        <f>IF(OR(-7226.24051="",-7226.24051=0),"-",-7226.24051)</f>
        <v>-7226.24051</v>
      </c>
      <c r="C18" s="54">
        <f>IF(OR(-8763.19373="",-8763.19373=0),"-",-8763.19373)</f>
        <v>-8763.19373</v>
      </c>
      <c r="D18" s="54">
        <f>IF(OR(-7226.24051="",-8763.19373="",-7226.24051=0,-8763.19373=0),"-",-8763.19373/-7226.24051*100)</f>
        <v>121.269057096468</v>
      </c>
    </row>
    <row r="19" spans="1:4" ht="15">
      <c r="A19" s="15" t="s">
        <v>53</v>
      </c>
      <c r="B19" s="53">
        <f>IF(8756.62721="","-",8756.62721)</f>
        <v>8756.62721</v>
      </c>
      <c r="C19" s="53">
        <f>IF(13403.20082="","-",13403.20082)</f>
        <v>13403.20082</v>
      </c>
      <c r="D19" s="53">
        <f>IF(8756.62721="","-",13403.20082/8756.62721*100)</f>
        <v>153.0635083413583</v>
      </c>
    </row>
    <row r="20" spans="1:4" ht="15">
      <c r="A20" s="14" t="s">
        <v>54</v>
      </c>
      <c r="B20" s="54">
        <f>IF(OR(14280.76068="",14280.76068=0),"-",14280.76068)</f>
        <v>14280.76068</v>
      </c>
      <c r="C20" s="54">
        <f>IF(OR(16775.45148="",16775.45148=0),"-",16775.45148)</f>
        <v>16775.45148</v>
      </c>
      <c r="D20" s="54">
        <f>IF(OR(14280.76068="",16775.45148="",14280.76068=0,16775.45148=0),"-",16775.45148/14280.76068*100)</f>
        <v>117.46889298056635</v>
      </c>
    </row>
    <row r="21" spans="1:4" ht="15">
      <c r="A21" s="14" t="s">
        <v>55</v>
      </c>
      <c r="B21" s="54">
        <f>IF(OR(-5524.13347="",-5524.13347=0),"-",-5524.13347)</f>
        <v>-5524.13347</v>
      </c>
      <c r="C21" s="54">
        <f>IF(OR(-3372.25066="",-3372.25066=0),"-",-3372.25066)</f>
        <v>-3372.25066</v>
      </c>
      <c r="D21" s="54">
        <f>IF(OR(-5524.13347="",-3372.25066="",-5524.13347=0,-3372.25066=0),"-",-3372.25066/-5524.13347*100)</f>
        <v>61.04578534015762</v>
      </c>
    </row>
    <row r="22" spans="1:4" ht="15">
      <c r="A22" s="15" t="s">
        <v>56</v>
      </c>
      <c r="B22" s="53">
        <f>IF(13030.75345="","-",13030.75345)</f>
        <v>13030.75345</v>
      </c>
      <c r="C22" s="53">
        <f>IF(22274.70381="","-",22274.70381)</f>
        <v>22274.70381</v>
      </c>
      <c r="D22" s="53">
        <f>IF(13030.75345="","-",22274.70381/13030.75345*100)</f>
        <v>170.9394924512212</v>
      </c>
    </row>
    <row r="23" spans="1:4" ht="15">
      <c r="A23" s="14" t="s">
        <v>57</v>
      </c>
      <c r="B23" s="54">
        <f>IF(OR(623.6846="",623.6846=0),"-",623.6846)</f>
        <v>623.6846</v>
      </c>
      <c r="C23" s="54">
        <f>IF(OR(479.66608="",479.66608=0),"-",479.66608)</f>
        <v>479.66608</v>
      </c>
      <c r="D23" s="54">
        <f>IF(OR(623.6846="",479.66608="",623.6846=0,479.66608=0),"-",479.66608/623.6846*100)</f>
        <v>76.90843737363404</v>
      </c>
    </row>
    <row r="24" spans="1:4" ht="15">
      <c r="A24" s="14" t="s">
        <v>58</v>
      </c>
      <c r="B24" s="54">
        <f>IF(OR(16806.49552="",16806.49552=0),"-",16806.49552)</f>
        <v>16806.49552</v>
      </c>
      <c r="C24" s="54">
        <f>IF(OR(25871.64811="",25871.64811=0),"-",25871.64811)</f>
        <v>25871.64811</v>
      </c>
      <c r="D24" s="54">
        <f>IF(OR(16806.49552="",25871.64811="",16806.49552=0,25871.64811=0),"-",25871.64811/16806.49552*100)</f>
        <v>153.9383869719438</v>
      </c>
    </row>
    <row r="25" spans="1:4" ht="15">
      <c r="A25" s="14" t="s">
        <v>59</v>
      </c>
      <c r="B25" s="54">
        <f>IF(OR(-73.61163="",-73.61163=0),"-",-73.61163)</f>
        <v>-73.61163</v>
      </c>
      <c r="C25" s="54">
        <f>IF(OR(-79.96171="",-79.96171=0),"-",-79.96171)</f>
        <v>-79.96171</v>
      </c>
      <c r="D25" s="54">
        <f>IF(OR(-73.61163="",-79.96171="",-73.61163=0,-79.96171=0),"-",-79.96171/-73.61163*100)</f>
        <v>108.62646296515916</v>
      </c>
    </row>
    <row r="26" spans="1:4" ht="15">
      <c r="A26" s="14" t="s">
        <v>60</v>
      </c>
      <c r="B26" s="54">
        <f>IF(OR(-1922.69722="",-1922.69722=0),"-",-1922.69722)</f>
        <v>-1922.69722</v>
      </c>
      <c r="C26" s="54">
        <f>IF(OR(-2762.10997="",-2762.10997=0),"-",-2762.10997)</f>
        <v>-2762.10997</v>
      </c>
      <c r="D26" s="54">
        <f>IF(OR(-1922.69722="",-2762.10997="",-1922.69722=0,-2762.10997=0),"-",-2762.10997/-1922.69722*100)</f>
        <v>143.65808309641181</v>
      </c>
    </row>
    <row r="27" spans="1:4" ht="15">
      <c r="A27" s="14" t="s">
        <v>61</v>
      </c>
      <c r="B27" s="54">
        <f>IF(OR(314.64541="",314.64541=0),"-",314.64541)</f>
        <v>314.64541</v>
      </c>
      <c r="C27" s="54">
        <f>IF(OR(314.04835="",314.04835=0),"-",314.04835)</f>
        <v>314.04835</v>
      </c>
      <c r="D27" s="54">
        <f>IF(OR(314.64541="",314.04835="",314.64541=0,314.04835=0),"-",314.04835/314.64541*100)</f>
        <v>99.8102435373203</v>
      </c>
    </row>
    <row r="28" spans="1:4" ht="27" customHeight="1">
      <c r="A28" s="14" t="s">
        <v>62</v>
      </c>
      <c r="B28" s="54">
        <f>IF(OR(-809.78665="",-809.78665=0),"-",-809.78665)</f>
        <v>-809.78665</v>
      </c>
      <c r="C28" s="54">
        <f>IF(OR(-1098.70903="",-1098.70903=0),"-",-1098.70903)</f>
        <v>-1098.70903</v>
      </c>
      <c r="D28" s="54">
        <f>IF(OR(-809.78665="",-1098.70903="",-809.78665=0,-1098.70903=0),"-",-1098.70903/-809.78665*100)</f>
        <v>135.67882725653726</v>
      </c>
    </row>
    <row r="29" spans="1:4" ht="27.75" customHeight="1">
      <c r="A29" s="14" t="s">
        <v>63</v>
      </c>
      <c r="B29" s="54">
        <f>IF(OR(-452.92407="",-452.92407=0),"-",-452.92407)</f>
        <v>-452.92407</v>
      </c>
      <c r="C29" s="54">
        <f>IF(OR(240.61635="",240.61635=0),"-",240.61635)</f>
        <v>240.61635</v>
      </c>
      <c r="D29" s="54" t="s">
        <v>37</v>
      </c>
    </row>
    <row r="30" spans="1:4" ht="15.75" customHeight="1">
      <c r="A30" s="14" t="s">
        <v>64</v>
      </c>
      <c r="B30" s="54">
        <f>IF(OR(1484.20031="",1484.20031=0),"-",1484.20031)</f>
        <v>1484.20031</v>
      </c>
      <c r="C30" s="54">
        <f>IF(OR(2645.12619="",2645.12619=0),"-",2645.12619)</f>
        <v>2645.12619</v>
      </c>
      <c r="D30" s="54" t="s">
        <v>249</v>
      </c>
    </row>
    <row r="31" spans="1:4" ht="15">
      <c r="A31" s="14" t="s">
        <v>65</v>
      </c>
      <c r="B31" s="54">
        <f>IF(OR(-2939.25282="",-2939.25282=0),"-",-2939.25282)</f>
        <v>-2939.25282</v>
      </c>
      <c r="C31" s="54">
        <f>IF(OR(-3335.62056="",-3335.62056=0),"-",-3335.62056)</f>
        <v>-3335.62056</v>
      </c>
      <c r="D31" s="54">
        <f>IF(OR(-2939.25282="",-3335.62056="",-2939.25282=0,-3335.62056=0),"-",-3335.62056/-2939.25282*100)</f>
        <v>113.48532311691378</v>
      </c>
    </row>
    <row r="32" spans="1:4" ht="15">
      <c r="A32" s="15" t="s">
        <v>66</v>
      </c>
      <c r="B32" s="53">
        <f>IF(-104262.32285="","-",-104262.32285)</f>
        <v>-104262.32285</v>
      </c>
      <c r="C32" s="53">
        <f>IF(-115983.11621="","-",-115983.11621)</f>
        <v>-115983.11621</v>
      </c>
      <c r="D32" s="53">
        <f>IF(-104262.32285="","-",-115983.11621/-104262.32285*100)</f>
        <v>111.24163843621866</v>
      </c>
    </row>
    <row r="33" spans="1:4" ht="15">
      <c r="A33" s="14" t="s">
        <v>67</v>
      </c>
      <c r="B33" s="54">
        <f>IF(OR(-431.59876="",-431.59876=0),"-",-431.59876)</f>
        <v>-431.59876</v>
      </c>
      <c r="C33" s="54">
        <f>IF(OR(-2647.72063="",-2647.72063=0),"-",-2647.72063)</f>
        <v>-2647.72063</v>
      </c>
      <c r="D33" s="54" t="s">
        <v>230</v>
      </c>
    </row>
    <row r="34" spans="1:4" ht="15.75" customHeight="1">
      <c r="A34" s="14" t="s">
        <v>68</v>
      </c>
      <c r="B34" s="54">
        <f>IF(OR(-29371.79905="",-29371.79905=0),"-",-29371.79905)</f>
        <v>-29371.79905</v>
      </c>
      <c r="C34" s="54">
        <f>IF(OR(-54838.31946="",-54838.31946=0),"-",-54838.31946)</f>
        <v>-54838.31946</v>
      </c>
      <c r="D34" s="54" t="s">
        <v>250</v>
      </c>
    </row>
    <row r="35" spans="1:4" ht="15">
      <c r="A35" s="14" t="s">
        <v>69</v>
      </c>
      <c r="B35" s="54">
        <f>IF(OR(-74284.04993="",-74284.04993=0),"-",-74284.04993)</f>
        <v>-74284.04993</v>
      </c>
      <c r="C35" s="54">
        <f>IF(OR(-58497.52098="",-58497.52098=0),"-",-58497.52098)</f>
        <v>-58497.52098</v>
      </c>
      <c r="D35" s="54">
        <f>IF(OR(-74284.04993="",-58497.52098="",-74284.04993=0,-58497.52098=0),"-",-58497.52098/-74284.04993*100)</f>
        <v>78.7484271995454</v>
      </c>
    </row>
    <row r="36" spans="1:4" ht="15">
      <c r="A36" s="14" t="s">
        <v>70</v>
      </c>
      <c r="B36" s="54">
        <f>IF(OR(-174.87511="",-174.87511=0),"-",-174.87511)</f>
        <v>-174.87511</v>
      </c>
      <c r="C36" s="54">
        <f>IF(OR(0.44486="",0.44486=0),"-",0.44486)</f>
        <v>0.44486</v>
      </c>
      <c r="D36" s="54" t="s">
        <v>37</v>
      </c>
    </row>
    <row r="37" spans="1:4" ht="14.25" customHeight="1">
      <c r="A37" s="15" t="s">
        <v>71</v>
      </c>
      <c r="B37" s="53">
        <f>IF(8467.438="","-",8467.438)</f>
        <v>8467.438</v>
      </c>
      <c r="C37" s="53">
        <f>IF(11064.30179="","-",11064.30179)</f>
        <v>11064.30179</v>
      </c>
      <c r="D37" s="53">
        <f>IF(8467.438="","-",11064.30179/8467.438*100)</f>
        <v>130.66882556447416</v>
      </c>
    </row>
    <row r="38" spans="1:4" ht="15">
      <c r="A38" s="14" t="s">
        <v>72</v>
      </c>
      <c r="B38" s="54">
        <f>IF(OR(-70.05245="",-70.05245=0),"-",-70.05245)</f>
        <v>-70.05245</v>
      </c>
      <c r="C38" s="54">
        <f>IF(OR(-129.76376="",-129.76376=0),"-",-129.76376)</f>
        <v>-129.76376</v>
      </c>
      <c r="D38" s="66">
        <v>185.23800381000237</v>
      </c>
    </row>
    <row r="39" spans="1:4" ht="26.25">
      <c r="A39" s="14" t="s">
        <v>73</v>
      </c>
      <c r="B39" s="54">
        <f>IF(OR(8847.02842="",8847.02842=0),"-",8847.02842)</f>
        <v>8847.02842</v>
      </c>
      <c r="C39" s="54">
        <f>IF(OR(11514.55693="",11514.55693=0),"-",11514.55693)</f>
        <v>11514.55693</v>
      </c>
      <c r="D39" s="54">
        <f>IF(OR(8847.02842="",11514.55693="",8847.02842=0,11514.55693=0),"-",11514.55693/8847.02842*100)</f>
        <v>130.1516891702265</v>
      </c>
    </row>
    <row r="40" spans="1:4" ht="27.75" customHeight="1">
      <c r="A40" s="14" t="s">
        <v>74</v>
      </c>
      <c r="B40" s="54">
        <f>IF(OR(-309.53797="",-309.53797=0),"-",-309.53797)</f>
        <v>-309.53797</v>
      </c>
      <c r="C40" s="54">
        <f>IF(OR(-320.49138="",-320.49138=0),"-",-320.49138)</f>
        <v>-320.49138</v>
      </c>
      <c r="D40" s="54">
        <f>IF(OR(-309.53797="",-320.49138="",-309.53797=0,-320.49138=0),"-",-320.49138/-309.53797*100)</f>
        <v>103.53863211030298</v>
      </c>
    </row>
    <row r="41" spans="1:4" ht="16.5" customHeight="1">
      <c r="A41" s="15" t="s">
        <v>75</v>
      </c>
      <c r="B41" s="53">
        <f>IF(-53746.61265="","-",-53746.61265)</f>
        <v>-53746.61265</v>
      </c>
      <c r="C41" s="53">
        <f>IF(-66095.58948="","-",-66095.58948)</f>
        <v>-66095.58948</v>
      </c>
      <c r="D41" s="53">
        <f>IF(-53746.61265="","-",-66095.58948/-53746.61265*100)</f>
        <v>122.97628859034708</v>
      </c>
    </row>
    <row r="42" spans="1:4" ht="15">
      <c r="A42" s="14" t="s">
        <v>76</v>
      </c>
      <c r="B42" s="54">
        <f>IF(OR(872.02091="",872.02091=0),"-",872.02091)</f>
        <v>872.02091</v>
      </c>
      <c r="C42" s="54">
        <f>IF(OR(1177.57727="",1177.57727=0),"-",1177.57727)</f>
        <v>1177.57727</v>
      </c>
      <c r="D42" s="54">
        <f>IF(OR(872.02091="",1177.57727="",872.02091=0,1177.57727=0),"-",1177.57727/872.02091*100)</f>
        <v>135.04002673513872</v>
      </c>
    </row>
    <row r="43" spans="1:4" ht="15">
      <c r="A43" s="14" t="s">
        <v>77</v>
      </c>
      <c r="B43" s="54">
        <f>IF(OR(-1656.68856="",-1656.68856=0),"-",-1656.68856)</f>
        <v>-1656.68856</v>
      </c>
      <c r="C43" s="54">
        <f>IF(OR(-1533.81447="",-1533.81447=0),"-",-1533.81447)</f>
        <v>-1533.81447</v>
      </c>
      <c r="D43" s="54">
        <f>IF(OR(-1656.68856="",-1533.81447="",-1656.68856=0,-1533.81447=0),"-",-1533.81447/-1656.68856*100)</f>
        <v>92.58315093332932</v>
      </c>
    </row>
    <row r="44" spans="1:4" ht="15">
      <c r="A44" s="14" t="s">
        <v>78</v>
      </c>
      <c r="B44" s="54">
        <f>IF(OR(-1785.57474="",-1785.57474=0),"-",-1785.57474)</f>
        <v>-1785.57474</v>
      </c>
      <c r="C44" s="54">
        <f>IF(OR(-2065.2863="",-2065.2863=0),"-",-2065.2863)</f>
        <v>-2065.2863</v>
      </c>
      <c r="D44" s="54">
        <f>IF(OR(-1785.57474="",-2065.2863="",-1785.57474=0,-2065.2863=0),"-",-2065.2863/-1785.57474*100)</f>
        <v>115.6650715164127</v>
      </c>
    </row>
    <row r="45" spans="1:4" ht="15">
      <c r="A45" s="14" t="s">
        <v>79</v>
      </c>
      <c r="B45" s="54">
        <f>IF(OR(-12780.9242599999="",-12780.9242599999=0),"-",-12780.9242599999)</f>
        <v>-12780.9242599999</v>
      </c>
      <c r="C45" s="54">
        <f>IF(OR(-21207.24468="",-21207.24468=0),"-",-21207.24468)</f>
        <v>-21207.24468</v>
      </c>
      <c r="D45" s="54">
        <f>IF(OR(-12780.9242599999="",-21207.24468="",-12780.9242599999=0,-21207.24468=0),"-",-21207.24468/-12780.9242599999*100)</f>
        <v>165.9288815783982</v>
      </c>
    </row>
    <row r="46" spans="1:4" ht="27.75" customHeight="1">
      <c r="A46" s="14" t="s">
        <v>80</v>
      </c>
      <c r="B46" s="54">
        <f>IF(OR(-8769.08695="",-8769.08695=0),"-",-8769.08695)</f>
        <v>-8769.08695</v>
      </c>
      <c r="C46" s="54">
        <f>IF(OR(-9968.13097="",-9968.13097=0),"-",-9968.13097)</f>
        <v>-9968.13097</v>
      </c>
      <c r="D46" s="54">
        <f>IF(OR(-8769.08695="",-9968.13097="",-8769.08695=0,-9968.13097=0),"-",-9968.13097/-8769.08695*100)</f>
        <v>113.67353325194249</v>
      </c>
    </row>
    <row r="47" spans="1:4" ht="15">
      <c r="A47" s="14" t="s">
        <v>81</v>
      </c>
      <c r="B47" s="54">
        <f>IF(OR(-9810.5709="",-9810.5709=0),"-",-9810.5709)</f>
        <v>-9810.5709</v>
      </c>
      <c r="C47" s="54">
        <f>IF(OR(-10518.05913="",-10518.05913=0),"-",-10518.05913)</f>
        <v>-10518.05913</v>
      </c>
      <c r="D47" s="54">
        <f>IF(OR(-9810.5709="",-10518.05913="",-9810.5709=0,-10518.05913=0),"-",-10518.05913/-9810.5709*100)</f>
        <v>107.2114888849129</v>
      </c>
    </row>
    <row r="48" spans="1:4" ht="15">
      <c r="A48" s="14" t="s">
        <v>82</v>
      </c>
      <c r="B48" s="54">
        <f>IF(OR(-4567.5389="",-4567.5389=0),"-",-4567.5389)</f>
        <v>-4567.5389</v>
      </c>
      <c r="C48" s="54">
        <f>IF(OR(-4490.83378="",-4490.83378=0),"-",-4490.83378)</f>
        <v>-4490.83378</v>
      </c>
      <c r="D48" s="54">
        <f>IF(OR(-4567.5389="",-4490.83378="",-4567.5389=0,-4490.83378=0),"-",-4490.83378/-4567.5389*100)</f>
        <v>98.32064659591624</v>
      </c>
    </row>
    <row r="49" spans="1:4" ht="15">
      <c r="A49" s="14" t="s">
        <v>83</v>
      </c>
      <c r="B49" s="54">
        <f>IF(OR(-7809.56365="",-7809.56365=0),"-",-7809.56365)</f>
        <v>-7809.56365</v>
      </c>
      <c r="C49" s="54">
        <f>IF(OR(-9349.99295="",-9349.99295=0),"-",-9349.99295)</f>
        <v>-9349.99295</v>
      </c>
      <c r="D49" s="54">
        <f>IF(OR(-7809.56365="",-9349.99295="",-7809.56365=0,-9349.99295=0),"-",-9349.99295/-7809.56365*100)</f>
        <v>119.72490870216545</v>
      </c>
    </row>
    <row r="50" spans="1:4" ht="15">
      <c r="A50" s="14" t="s">
        <v>84</v>
      </c>
      <c r="B50" s="54">
        <f>IF(OR(-7438.6856="",-7438.6856=0),"-",-7438.6856)</f>
        <v>-7438.6856</v>
      </c>
      <c r="C50" s="54">
        <f>IF(OR(-8139.80447="",-8139.80447=0),"-",-8139.80447)</f>
        <v>-8139.80447</v>
      </c>
      <c r="D50" s="54">
        <f>IF(OR(-7438.6856="",-8139.80447="",-7438.6856=0,-8139.80447=0),"-",-8139.80447/-7438.6856*100)</f>
        <v>109.42530586317562</v>
      </c>
    </row>
    <row r="51" spans="1:4" ht="14.25" customHeight="1">
      <c r="A51" s="15" t="s">
        <v>85</v>
      </c>
      <c r="B51" s="53">
        <f>IF(-73483.55342="","-",-73483.55342)</f>
        <v>-73483.55342</v>
      </c>
      <c r="C51" s="53">
        <f>IF(-85450.85076="","-",-85450.85076)</f>
        <v>-85450.85076</v>
      </c>
      <c r="D51" s="53">
        <f>IF(-73483.55342="","-",-85450.85076/-73483.55342*100)</f>
        <v>116.2856813300796</v>
      </c>
    </row>
    <row r="52" spans="1:4" ht="15">
      <c r="A52" s="14" t="s">
        <v>86</v>
      </c>
      <c r="B52" s="54">
        <f>IF(OR(-4944.18793="",-4944.18793=0),"-",-4944.18793)</f>
        <v>-4944.18793</v>
      </c>
      <c r="C52" s="54">
        <f>IF(OR(-5837.52081="",-5837.52081=0),"-",-5837.52081)</f>
        <v>-5837.52081</v>
      </c>
      <c r="D52" s="54">
        <f>IF(OR(-4944.18793="",-5837.52081="",-4944.18793=0,-5837.52081=0),"-",-5837.52081/-4944.18793*100)</f>
        <v>118.06834393530022</v>
      </c>
    </row>
    <row r="53" spans="1:4" ht="15">
      <c r="A53" s="14" t="s">
        <v>87</v>
      </c>
      <c r="B53" s="54">
        <f>IF(OR(-4353.92225="",-4353.92225=0),"-",-4353.92225)</f>
        <v>-4353.92225</v>
      </c>
      <c r="C53" s="54">
        <f>IF(OR(-6309.868="",-6309.868=0),"-",-6309.868)</f>
        <v>-6309.868</v>
      </c>
      <c r="D53" s="54">
        <f>IF(OR(-4353.92225="",-6309.868="",-4353.92225=0,-6309.868=0),"-",-6309.868/-4353.92225*100)</f>
        <v>144.92376385453372</v>
      </c>
    </row>
    <row r="54" spans="1:4" ht="15">
      <c r="A54" s="14" t="s">
        <v>88</v>
      </c>
      <c r="B54" s="54">
        <f>IF(OR(-4037.95179="",-4037.95179=0),"-",-4037.95179)</f>
        <v>-4037.95179</v>
      </c>
      <c r="C54" s="54">
        <f>IF(OR(-5115.59702="",-5115.59702=0),"-",-5115.59702)</f>
        <v>-5115.59702</v>
      </c>
      <c r="D54" s="54">
        <f>IF(OR(-4037.95179="",-5115.59702="",-4037.95179=0,-5115.59702=0),"-",-5115.59702/-4037.95179*100)</f>
        <v>126.68791719279047</v>
      </c>
    </row>
    <row r="55" spans="1:4" ht="26.25">
      <c r="A55" s="14" t="s">
        <v>89</v>
      </c>
      <c r="B55" s="54">
        <f>IF(OR(-8634.97968="",-8634.97968=0),"-",-8634.97968)</f>
        <v>-8634.97968</v>
      </c>
      <c r="C55" s="54">
        <f>IF(OR(-10099.00843="",-10099.00843=0),"-",-10099.00843)</f>
        <v>-10099.00843</v>
      </c>
      <c r="D55" s="54">
        <f>IF(OR(-8634.97968="",-10099.00843="",-8634.97968=0,-10099.00843=0),"-",-10099.00843/-8634.97968*100)</f>
        <v>116.95462878031925</v>
      </c>
    </row>
    <row r="56" spans="1:4" ht="27.75" customHeight="1">
      <c r="A56" s="14" t="s">
        <v>90</v>
      </c>
      <c r="B56" s="54">
        <f>IF(OR(-22059.73434="",-22059.73434=0),"-",-22059.73434)</f>
        <v>-22059.73434</v>
      </c>
      <c r="C56" s="54">
        <f>IF(OR(-25027.40082="",-25027.40082=0),"-",-25027.40082)</f>
        <v>-25027.40082</v>
      </c>
      <c r="D56" s="54">
        <f>IF(OR(-22059.73434="",-25027.40082="",-22059.73434=0,-25027.40082=0),"-",-25027.40082/-22059.73434*100)</f>
        <v>113.45286590609052</v>
      </c>
    </row>
    <row r="57" spans="1:4" ht="15">
      <c r="A57" s="14" t="s">
        <v>91</v>
      </c>
      <c r="B57" s="54">
        <f>IF(OR(-6171.42074="",-6171.42074=0),"-",-6171.42074)</f>
        <v>-6171.42074</v>
      </c>
      <c r="C57" s="54">
        <f>IF(OR(-5819.02047="",-5819.02047=0),"-",-5819.02047)</f>
        <v>-5819.02047</v>
      </c>
      <c r="D57" s="54">
        <f>IF(OR(-6171.42074="",-5819.02047="",-6171.42074=0,-5819.02047=0),"-",-5819.02047/-6171.42074*100)</f>
        <v>94.28980319368083</v>
      </c>
    </row>
    <row r="58" spans="1:4" ht="15">
      <c r="A58" s="14" t="s">
        <v>92</v>
      </c>
      <c r="B58" s="54">
        <f>IF(OR(-6798.305="",-6798.305=0),"-",-6798.305)</f>
        <v>-6798.305</v>
      </c>
      <c r="C58" s="54">
        <f>IF(OR(-9082.0257="",-9082.0257=0),"-",-9082.0257)</f>
        <v>-9082.0257</v>
      </c>
      <c r="D58" s="54">
        <f>IF(OR(-6798.305="",-9082.0257="",-6798.305=0,-9082.0257=0),"-",-9082.0257/-6798.305*100)</f>
        <v>133.59250136614935</v>
      </c>
    </row>
    <row r="59" spans="1:4" ht="15">
      <c r="A59" s="14" t="s">
        <v>93</v>
      </c>
      <c r="B59" s="54">
        <f>IF(OR(-7076.18648="",-7076.18648=0),"-",-7076.18648)</f>
        <v>-7076.18648</v>
      </c>
      <c r="C59" s="54">
        <f>IF(OR(-7372.157="",-7372.157=0),"-",-7372.157)</f>
        <v>-7372.157</v>
      </c>
      <c r="D59" s="54">
        <f>IF(OR(-7076.18648="",-7372.157="",-7076.18648=0,-7372.157=0),"-",-7372.157/-7076.18648*100)</f>
        <v>104.18262747648788</v>
      </c>
    </row>
    <row r="60" spans="1:4" ht="15">
      <c r="A60" s="14" t="s">
        <v>94</v>
      </c>
      <c r="B60" s="54">
        <f>IF(OR(-9406.86521="",-9406.86521=0),"-",-9406.86521)</f>
        <v>-9406.86521</v>
      </c>
      <c r="C60" s="54">
        <f>IF(OR(-10788.25251="",-10788.25251=0),"-",-10788.25251)</f>
        <v>-10788.25251</v>
      </c>
      <c r="D60" s="54">
        <f>IF(OR(-9406.86521="",-10788.25251="",-9406.86521=0,-10788.25251=0),"-",-10788.25251/-9406.86521*100)</f>
        <v>114.6848845939826</v>
      </c>
    </row>
    <row r="61" spans="1:4" ht="15">
      <c r="A61" s="15" t="s">
        <v>95</v>
      </c>
      <c r="B61" s="53">
        <f>IF(-55090.66878="","-",-55090.66878)</f>
        <v>-55090.66878</v>
      </c>
      <c r="C61" s="53">
        <f>IF(-69373.75235="","-",-69373.75235)</f>
        <v>-69373.75235</v>
      </c>
      <c r="D61" s="53">
        <f>IF(-55090.66878="","-",-69373.75235/-55090.66878*100)</f>
        <v>125.92650241193894</v>
      </c>
    </row>
    <row r="62" spans="1:4" ht="15">
      <c r="A62" s="14" t="s">
        <v>96</v>
      </c>
      <c r="B62" s="54">
        <f>IF(OR(-843.56125="",-843.56125=0),"-",-843.56125)</f>
        <v>-843.56125</v>
      </c>
      <c r="C62" s="54">
        <f>IF(OR(-2004.42633="",-2004.42633=0),"-",-2004.42633)</f>
        <v>-2004.42633</v>
      </c>
      <c r="D62" s="54" t="s">
        <v>133</v>
      </c>
    </row>
    <row r="63" spans="1:4" ht="15">
      <c r="A63" s="14" t="s">
        <v>97</v>
      </c>
      <c r="B63" s="54">
        <f>IF(OR(-10580.10786="",-10580.10786=0),"-",-10580.10786)</f>
        <v>-10580.10786</v>
      </c>
      <c r="C63" s="54">
        <f>IF(OR(-13530.21844="",-13530.21844=0),"-",-13530.21844)</f>
        <v>-13530.21844</v>
      </c>
      <c r="D63" s="54">
        <f>IF(OR(-10580.10786="",-13530.21844="",-10580.10786=0,-13530.21844=0),"-",-13530.21844/-10580.10786*100)</f>
        <v>127.88355864644276</v>
      </c>
    </row>
    <row r="64" spans="1:4" ht="15">
      <c r="A64" s="14" t="s">
        <v>98</v>
      </c>
      <c r="B64" s="54">
        <f>IF(OR(-593.5338="",-593.5338=0),"-",-593.5338)</f>
        <v>-593.5338</v>
      </c>
      <c r="C64" s="54">
        <f>IF(OR(-891.92749="",-891.92749=0),"-",-891.92749)</f>
        <v>-891.92749</v>
      </c>
      <c r="D64" s="54">
        <f>IF(OR(-593.5338="",-891.92749="",-593.5338=0,-891.92749=0),"-",-891.92749/-593.5338*100)</f>
        <v>150.27408548594875</v>
      </c>
    </row>
    <row r="65" spans="1:4" ht="27" customHeight="1">
      <c r="A65" s="14" t="s">
        <v>99</v>
      </c>
      <c r="B65" s="54">
        <f>IF(OR(-9124.46902="",-9124.46902=0),"-",-9124.46902)</f>
        <v>-9124.46902</v>
      </c>
      <c r="C65" s="54">
        <f>IF(OR(-11888.48543="",-11888.48543=0),"-",-11888.48543)</f>
        <v>-11888.48543</v>
      </c>
      <c r="D65" s="54">
        <f>IF(OR(-9124.46902="",-11888.48543="",-9124.46902=0,-11888.48543=0),"-",-11888.48543/-9124.46902*100)</f>
        <v>130.29235349412144</v>
      </c>
    </row>
    <row r="66" spans="1:4" ht="27" customHeight="1">
      <c r="A66" s="14" t="s">
        <v>100</v>
      </c>
      <c r="B66" s="54">
        <f>IF(OR(-3967.91629="",-3967.91629=0),"-",-3967.91629)</f>
        <v>-3967.91629</v>
      </c>
      <c r="C66" s="54">
        <f>IF(OR(-5712.12434="",-5712.12434=0),"-",-5712.12434)</f>
        <v>-5712.12434</v>
      </c>
      <c r="D66" s="54">
        <f>IF(OR(-3967.91629="",-5712.12434="",-3967.91629=0,-5712.12434=0),"-",-5712.12434/-3967.91629*100)</f>
        <v>143.95778344406557</v>
      </c>
    </row>
    <row r="67" spans="1:4" ht="27" customHeight="1">
      <c r="A67" s="14" t="s">
        <v>101</v>
      </c>
      <c r="B67" s="54">
        <f>IF(OR(-6091.06327="",-6091.06327=0),"-",-6091.06327)</f>
        <v>-6091.06327</v>
      </c>
      <c r="C67" s="54">
        <f>IF(OR(-13124.69221="",-13124.69221=0),"-",-13124.69221)</f>
        <v>-13124.69221</v>
      </c>
      <c r="D67" s="54" t="s">
        <v>222</v>
      </c>
    </row>
    <row r="68" spans="1:4" ht="39">
      <c r="A68" s="14" t="s">
        <v>102</v>
      </c>
      <c r="B68" s="54">
        <f>IF(OR(-801.26741="",-801.26741=0),"-",-801.26741)</f>
        <v>-801.26741</v>
      </c>
      <c r="C68" s="54">
        <f>IF(OR(4031.90228="",4031.90228=0),"-",4031.90228)</f>
        <v>4031.90228</v>
      </c>
      <c r="D68" s="54" t="s">
        <v>37</v>
      </c>
    </row>
    <row r="69" spans="1:4" ht="15">
      <c r="A69" s="14" t="s">
        <v>103</v>
      </c>
      <c r="B69" s="54">
        <f>IF(OR(-23154.72659="",-23154.72659=0),"-",-23154.72659)</f>
        <v>-23154.72659</v>
      </c>
      <c r="C69" s="54">
        <f>IF(OR(-26123.95431="",-26123.95431=0),"-",-26123.95431)</f>
        <v>-26123.95431</v>
      </c>
      <c r="D69" s="54">
        <f>IF(OR(-23154.72659="",-26123.95431="",-23154.72659=0,-26123.95431=0),"-",-26123.95431/-23154.72659*100)</f>
        <v>112.82341947964242</v>
      </c>
    </row>
    <row r="70" spans="1:4" ht="15">
      <c r="A70" s="14" t="s">
        <v>104</v>
      </c>
      <c r="B70" s="54">
        <f>IF(OR(65.97671="",65.97671=0),"-",65.97671)</f>
        <v>65.97671</v>
      </c>
      <c r="C70" s="54">
        <f>IF(OR(-129.82608="",-129.82608=0),"-",-129.82608)</f>
        <v>-129.82608</v>
      </c>
      <c r="D70" s="54" t="s">
        <v>37</v>
      </c>
    </row>
    <row r="71" spans="1:4" ht="15">
      <c r="A71" s="15" t="s">
        <v>105</v>
      </c>
      <c r="B71" s="53">
        <f>IF(24545.89747="","-",24545.89747)</f>
        <v>24545.89747</v>
      </c>
      <c r="C71" s="53">
        <f>IF(8141.74996="","-",8141.74996)</f>
        <v>8141.74996</v>
      </c>
      <c r="D71" s="53">
        <f>IF(24545.89747="","-",8141.74996/24545.89747*100)</f>
        <v>33.1694938836555</v>
      </c>
    </row>
    <row r="72" spans="1:4" ht="27.75" customHeight="1">
      <c r="A72" s="14" t="s">
        <v>106</v>
      </c>
      <c r="B72" s="54">
        <f>IF(OR(-2827.53006="",-2827.53006=0),"-",-2827.53006)</f>
        <v>-2827.53006</v>
      </c>
      <c r="C72" s="54">
        <f>IF(OR(-2910.16013="",-2910.16013=0),"-",-2910.16013)</f>
        <v>-2910.16013</v>
      </c>
      <c r="D72" s="54">
        <f>IF(OR(-2827.53006="",-2910.16013="",-2827.53006=0,-2910.16013=0),"-",-2910.16013/-2827.53006*100)</f>
        <v>102.92234099184078</v>
      </c>
    </row>
    <row r="73" spans="1:4" ht="15">
      <c r="A73" s="14" t="s">
        <v>107</v>
      </c>
      <c r="B73" s="54">
        <f>IF(OR(12940.85512="",12940.85512=0),"-",12940.85512)</f>
        <v>12940.85512</v>
      </c>
      <c r="C73" s="54">
        <f>IF(OR(12100.90163="",12100.90163=0),"-",12100.90163)</f>
        <v>12100.90163</v>
      </c>
      <c r="D73" s="54">
        <f>IF(OR(12940.85512="",12100.90163="",12940.85512=0,12100.90163=0),"-",12100.90163/12940.85512*100)</f>
        <v>93.50928912957338</v>
      </c>
    </row>
    <row r="74" spans="1:4" ht="15">
      <c r="A74" s="14" t="s">
        <v>108</v>
      </c>
      <c r="B74" s="54">
        <f>IF(OR(1480.15044="",1480.15044=0),"-",1480.15044)</f>
        <v>1480.15044</v>
      </c>
      <c r="C74" s="54">
        <f>IF(OR(-2509.41189="",-2509.41189=0),"-",-2509.41189)</f>
        <v>-2509.41189</v>
      </c>
      <c r="D74" s="54" t="s">
        <v>37</v>
      </c>
    </row>
    <row r="75" spans="1:4" ht="15">
      <c r="A75" s="14" t="s">
        <v>109</v>
      </c>
      <c r="B75" s="54">
        <f>IF(OR(24661.82492="",24661.82492=0),"-",24661.82492)</f>
        <v>24661.82492</v>
      </c>
      <c r="C75" s="54">
        <f>IF(OR(22056.00208="",22056.00208=0),"-",22056.00208)</f>
        <v>22056.00208</v>
      </c>
      <c r="D75" s="54">
        <f>IF(OR(24661.82492="",22056.00208="",24661.82492=0,22056.00208=0),"-",22056.00208/24661.82492*100)</f>
        <v>89.43377933931095</v>
      </c>
    </row>
    <row r="76" spans="1:4" ht="15">
      <c r="A76" s="14" t="s">
        <v>110</v>
      </c>
      <c r="B76" s="54">
        <f>IF(OR(2435.33899="",2435.33899=0),"-",2435.33899)</f>
        <v>2435.33899</v>
      </c>
      <c r="C76" s="54">
        <f>IF(OR(155.22354="",155.22354=0),"-",155.22354)</f>
        <v>155.22354</v>
      </c>
      <c r="D76" s="54">
        <f>IF(OR(2435.33899="",155.22354="",2435.33899=0,155.22354=0),"-",155.22354/2435.33899*100)</f>
        <v>6.373796035680438</v>
      </c>
    </row>
    <row r="77" spans="1:4" ht="15">
      <c r="A77" s="14" t="s">
        <v>111</v>
      </c>
      <c r="B77" s="54">
        <f>IF(OR(-856.04625="",-856.04625=0),"-",-856.04625)</f>
        <v>-856.04625</v>
      </c>
      <c r="C77" s="54">
        <f>IF(OR(-3751.31027="",-3751.31027=0),"-",-3751.31027)</f>
        <v>-3751.31027</v>
      </c>
      <c r="D77" s="54" t="s">
        <v>231</v>
      </c>
    </row>
    <row r="78" spans="1:4" ht="26.25">
      <c r="A78" s="14" t="s">
        <v>112</v>
      </c>
      <c r="B78" s="54">
        <f>IF(OR(-517.17454="",-517.17454=0),"-",-517.17454)</f>
        <v>-517.17454</v>
      </c>
      <c r="C78" s="54">
        <f>IF(OR(-1104.12296="",-1104.12296=0),"-",-1104.12296)</f>
        <v>-1104.12296</v>
      </c>
      <c r="D78" s="54" t="s">
        <v>197</v>
      </c>
    </row>
    <row r="79" spans="1:4" ht="15">
      <c r="A79" s="17" t="s">
        <v>113</v>
      </c>
      <c r="B79" s="55">
        <f>IF(OR(-12771.52115="",-12771.52115=0),"-",-12771.52115)</f>
        <v>-12771.52115</v>
      </c>
      <c r="C79" s="55">
        <f>IF(OR(-15895.37204="",-15895.37204=0),"-",-15895.37204)</f>
        <v>-15895.37204</v>
      </c>
      <c r="D79" s="55">
        <f>IF(OR(-12771.52115="",-15895.37204="",-12771.52115=0,-15895.37204=0),"-",-15895.37204/-12771.52115*100)</f>
        <v>124.45950527983895</v>
      </c>
    </row>
    <row r="80" spans="1:4" ht="15">
      <c r="A80" s="9" t="s">
        <v>31</v>
      </c>
      <c r="B80" s="34"/>
      <c r="C80" s="34"/>
      <c r="D80" s="35"/>
    </row>
    <row r="81" spans="2:4" ht="15">
      <c r="B81" s="36"/>
      <c r="C81" s="36"/>
      <c r="D81" s="37"/>
    </row>
    <row r="82" spans="2:4" ht="15">
      <c r="B82" s="36"/>
      <c r="C82" s="36"/>
      <c r="D82" s="37"/>
    </row>
    <row r="83" spans="2:4" ht="15">
      <c r="B83" s="36"/>
      <c r="C83" s="36"/>
      <c r="D83" s="37"/>
    </row>
  </sheetData>
  <sheetProtection/>
  <mergeCells count="5">
    <mergeCell ref="A1:D1"/>
    <mergeCell ref="A2:D2"/>
    <mergeCell ref="A4:A5"/>
    <mergeCell ref="B4:C4"/>
    <mergeCell ref="D4:D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2017-04-04T10:38:32Z</cp:lastPrinted>
  <dcterms:created xsi:type="dcterms:W3CDTF">2016-09-01T07:59:47Z</dcterms:created>
  <dcterms:modified xsi:type="dcterms:W3CDTF">2017-05-05T07:20:29Z</dcterms:modified>
  <cp:category/>
  <cp:version/>
  <cp:contentType/>
  <cp:contentStatus/>
</cp:coreProperties>
</file>