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75" tabRatio="797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</sheets>
  <definedNames>
    <definedName name="_xlnm.Print_Titles" localSheetId="2">'Balanta Comerciala_Tari'!$3:$4</definedName>
    <definedName name="_xlnm.Print_Titles" localSheetId="7">'Balanta_Comerciala_Gr_Marf_CSCI'!$4:$5</definedName>
    <definedName name="_xlnm.Print_Titles" localSheetId="5">'Export_Grupe_Marfuri_CSCI'!$4:$6</definedName>
    <definedName name="_xlnm.Print_Titles" localSheetId="0">'Export_Tari'!$3:$5</definedName>
    <definedName name="_xlnm.Print_Titles" localSheetId="6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<sst xmlns="http://schemas.openxmlformats.org/spreadsheetml/2006/main" count="811" uniqueCount="305">
  <si>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</si>
  <si>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</si>
  <si>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</si>
  <si>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</si>
  <si>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</si>
  <si>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</si>
  <si>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</si>
  <si>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</si>
  <si>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</si>
  <si>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</si>
  <si>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</si>
  <si>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</si>
  <si>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</si>
  <si>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</si>
  <si>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</si>
  <si>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</si>
  <si>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</si>
  <si>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</si>
  <si>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</si>
  <si>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</si>
  <si>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</si>
  <si>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</si>
  <si>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</si>
  <si>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</si>
  <si>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</si>
  <si>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</si>
  <si>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</si>
  <si>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</si>
  <si>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</si>
  <si>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</si>
  <si>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</si>
  <si>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</si>
  <si>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</si>
  <si>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</si>
  <si>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</si>
  <si>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</si>
  <si>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</si>
  <si>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</si>
  <si>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</si>
  <si>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</si>
  <si>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</si>
  <si>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</si>
  <si>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</si>
  <si>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</si>
  <si>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</si>
  <si>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</si>
  <si>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</si>
  <si>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</si>
  <si>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</si>
  <si>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</si>
  <si>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</si>
  <si>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</si>
  <si>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</si>
  <si>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</si>
  <si>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</si>
  <si>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</si>
  <si>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</si>
  <si>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</si>
  <si>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</si>
  <si>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</si>
  <si>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</si>
  <si>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</si>
  <si>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</si>
  <si>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</si>
  <si>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</si>
  <si>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</si>
  <si>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</si>
  <si>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</si>
  <si>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</si>
  <si>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</si>
  <si>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</si>
  <si>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</si>
  <si>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</si>
  <si>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</si>
  <si>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</si>
  <si>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</si>
  <si>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</si>
  <si>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</si>
  <si>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</si>
  <si>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</si>
  <si>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</si>
  <si>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</si>
  <si>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</si>
  <si>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</si>
  <si>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</si>
  <si>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</si>
  <si>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</si>
  <si>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</si>
  <si>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</si>
  <si>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</si>
  <si>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</si>
  <si>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</si>
  <si>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</si>
  <si>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</si>
  <si>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</si>
  <si>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</si>
  <si>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</si>
  <si>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Mongolia</t>
  </si>
  <si>
    <t>Peru</t>
  </si>
  <si>
    <t>Kenya</t>
  </si>
  <si>
    <t>mii dolari        SUA</t>
  </si>
  <si>
    <t>EXPORT - total</t>
  </si>
  <si>
    <t>Oman</t>
  </si>
  <si>
    <t>Ghana</t>
  </si>
  <si>
    <t>Albania</t>
  </si>
  <si>
    <t>de 1,8 ori</t>
  </si>
  <si>
    <t>de 1,7 ori</t>
  </si>
  <si>
    <t>de 1,6 ori</t>
  </si>
  <si>
    <t>Gradul de influenţă a grupelor de mărfuri  la creşterea (+),  scăderea (-) exporturilor, %</t>
  </si>
  <si>
    <t>Qatar</t>
  </si>
  <si>
    <t>Ponderea, %</t>
  </si>
  <si>
    <t>Swaziland</t>
  </si>
  <si>
    <t>2018¹</t>
  </si>
  <si>
    <t>mii dolari         SUA</t>
  </si>
  <si>
    <t>Belize</t>
  </si>
  <si>
    <t>-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</si>
  <si>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</si>
  <si>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</si>
  <si>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</si>
  <si>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</si>
  <si>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</si>
  <si>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</si>
  <si>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</si>
  <si>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r>
      <rPr>
        <b/>
        <sz val="12"/>
        <rFont val="Times New Roman"/>
        <family val="1"/>
      </rPr>
      <t xml:space="preserve">Anexa 1.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</si>
  <si>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</si>
  <si>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</si>
  <si>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rFont val="Times New Roman"/>
        <family val="1"/>
      </rPr>
      <t xml:space="preserve">Anexa 4. </t>
    </r>
    <r>
      <rPr>
        <b/>
        <i/>
        <sz val="12"/>
        <rFont val="Times New Roman"/>
        <family val="1"/>
      </rPr>
      <t xml:space="preserve">Exporturile structurate pe grupe de ţări și moduri de transport a mărfurilor </t>
    </r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</si>
  <si>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Importurile structurate pe grupe de ţări și moduri de transport a mărfurilor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</si>
  <si>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</si>
  <si>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Importurile structurate pe grupe de mărfuri, </t>
    </r>
  </si>
  <si>
    <r>
      <rPr>
        <b/>
        <sz val="12"/>
        <color indexed="8"/>
        <rFont val="Times New Roman"/>
        <family val="1"/>
      </rPr>
      <t xml:space="preserve">Anexa 8.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</si>
  <si>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</si>
  <si>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</si>
  <si>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</si>
  <si>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</si>
  <si>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de 1,5 ori</t>
  </si>
  <si>
    <t>Kârgâzstan</t>
  </si>
  <si>
    <t>Siria</t>
  </si>
  <si>
    <t>Afganistan</t>
  </si>
  <si>
    <t>Kuwait</t>
  </si>
  <si>
    <t>Statul Palestina</t>
  </si>
  <si>
    <t>Montenegro</t>
  </si>
  <si>
    <t>Libia</t>
  </si>
  <si>
    <t>IMPORT - total</t>
  </si>
  <si>
    <t>Insulele Faroe</t>
  </si>
  <si>
    <t>San Marino</t>
  </si>
  <si>
    <t>Tanzania</t>
  </si>
  <si>
    <t>Etiopia</t>
  </si>
  <si>
    <t>Bahrain</t>
  </si>
  <si>
    <t>Senegal</t>
  </si>
  <si>
    <t xml:space="preserve">   din care:</t>
  </si>
  <si>
    <t xml:space="preserve">IMPORT - total      </t>
  </si>
  <si>
    <t>BALANŢA COMERCIALĂ - total, mii dolari SUA</t>
  </si>
  <si>
    <t>Cote D'Ivoire</t>
  </si>
  <si>
    <t>Madagascar</t>
  </si>
  <si>
    <t xml:space="preserve">     din care:</t>
  </si>
  <si>
    <t>Franţa</t>
  </si>
  <si>
    <t>Regatul Unit al Marii Britanii şi Irlandei de Nord</t>
  </si>
  <si>
    <t>Croaţia</t>
  </si>
  <si>
    <t>Federaţia Rusă</t>
  </si>
  <si>
    <t>Şri Lanka</t>
  </si>
  <si>
    <t>Elveţia</t>
  </si>
  <si>
    <t>Gibraltar</t>
  </si>
  <si>
    <t>Mali</t>
  </si>
  <si>
    <t>Somalia</t>
  </si>
  <si>
    <t>Macedonia de Nord</t>
  </si>
  <si>
    <t>de 2,3 ori</t>
  </si>
  <si>
    <t>Niger</t>
  </si>
  <si>
    <t>de 2,2 ori</t>
  </si>
  <si>
    <t>de 2,4 ori</t>
  </si>
  <si>
    <t>Celelalte ţări ale lumii - total</t>
  </si>
  <si>
    <t>Insulele Folkland</t>
  </si>
  <si>
    <t>de 14,4 ori</t>
  </si>
  <si>
    <t>de 6,1 ori</t>
  </si>
  <si>
    <t>Liberia</t>
  </si>
  <si>
    <t>Ţările CSI - total</t>
  </si>
  <si>
    <t>de 1,9 ori</t>
  </si>
  <si>
    <t>de 14,3 ori</t>
  </si>
  <si>
    <t>de 3,5 ori</t>
  </si>
  <si>
    <t>Guinea</t>
  </si>
  <si>
    <t>Burkina Faso</t>
  </si>
  <si>
    <t>de 2,6 ori</t>
  </si>
  <si>
    <t>Zimbabwe</t>
  </si>
  <si>
    <t>Guatemala</t>
  </si>
  <si>
    <t>Mauritius</t>
  </si>
  <si>
    <t>Liechtenştein</t>
  </si>
  <si>
    <t>Jamaica</t>
  </si>
  <si>
    <t>Cuba</t>
  </si>
  <si>
    <t>de 2,1 ori</t>
  </si>
  <si>
    <t>Andorra</t>
  </si>
  <si>
    <t>Laos</t>
  </si>
  <si>
    <t>Kosovo</t>
  </si>
  <si>
    <t>de 8,6 ori</t>
  </si>
  <si>
    <t>de 8,5 ori</t>
  </si>
  <si>
    <t>de 2358,0 ori</t>
  </si>
  <si>
    <t>de 2,7 ori</t>
  </si>
  <si>
    <t>Bosnia şi Hertegovina</t>
  </si>
  <si>
    <t>de 3,2 ori</t>
  </si>
  <si>
    <t>de 10,9 ori</t>
  </si>
  <si>
    <t>de 6,9 ori</t>
  </si>
  <si>
    <t>de 2,8 ori</t>
  </si>
  <si>
    <t>de 3,0 ori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</si>
  <si>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</si>
  <si>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</si>
  <si>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</si>
  <si>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</si>
  <si>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</si>
  <si>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</si>
  <si>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</si>
  <si>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</si>
  <si>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</si>
  <si>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</si>
  <si>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</si>
  <si>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</si>
  <si>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</si>
  <si>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Piei crude, piei tăbăcite şi blănuri brute</t>
  </si>
  <si>
    <t>Seminţe şi fructe oleaginoase</t>
  </si>
  <si>
    <t>Lemn şi plută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</si>
  <si>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</si>
  <si>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</si>
  <si>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</si>
  <si>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</si>
  <si>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</si>
  <si>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</si>
  <si>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</si>
  <si>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Energie electrică</t>
  </si>
  <si>
    <t>Uleiuri, grăsimi şi ceruri de origine animală sau vegetală</t>
  </si>
  <si>
    <t>Grăsimi şi uleiuri vegetale fixate, brute, rafinate sau fracţionate</t>
  </si>
  <si>
    <t>Alte uleiuri şi grăsimi animale sau vegetale prelucrate; ceară de origine animală sau vegetală, amestecuri sau preparate necomestibile din uleiuri animale sau vegetale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</si>
  <si>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</si>
  <si>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</si>
  <si>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</si>
  <si>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</si>
  <si>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Alte materiale şi produse chimice</t>
  </si>
  <si>
    <t>Îngrăşăminte minerale sau chimice</t>
  </si>
  <si>
    <t>Mărfuri manufacturate, clasificate mai ales după materia primă</t>
  </si>
  <si>
    <t>Piele, altă piele şi blană prelucrate</t>
  </si>
  <si>
    <t>Articole din lemn (exclusiv mobilă)</t>
  </si>
  <si>
    <t>Hârtie, carton şi articole din pastă de celuloză, din hârtie sau din carton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</si>
  <si>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</si>
  <si>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</si>
  <si>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</si>
  <si>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</si>
  <si>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</si>
  <si>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</si>
  <si>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</si>
  <si>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</si>
  <si>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</si>
  <si>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</si>
  <si>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</si>
  <si>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</si>
  <si>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</si>
  <si>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Instrumente şi aparate, profesionale, ştiinţifice şi de control</t>
  </si>
  <si>
    <t>Aparate fotografice, echipamente şi furnituri de optică; ceasuri şi orologii</t>
  </si>
  <si>
    <t>Bunuri neclasificate în altă secţiune din CSCI</t>
  </si>
  <si>
    <t>Cauciuc brut (inclusiv cauciuc sintetic şi regenerat)</t>
  </si>
  <si>
    <t>Cărbune, cocs şi brichete</t>
  </si>
  <si>
    <t>Gaz şi produse industriale obţinute din gaz</t>
  </si>
  <si>
    <t>Uleiuri şi grăsimi de origine animală</t>
  </si>
  <si>
    <t>Încălţăminte</t>
  </si>
  <si>
    <t>Ianuarie - octombrie 2019</t>
  </si>
  <si>
    <t>în % faţă de ianuarie - octombrie 2018¹</t>
  </si>
  <si>
    <t>ianuarie - octombrie</t>
  </si>
  <si>
    <t>Ianuarie - octombrie</t>
  </si>
  <si>
    <t>Ianuarie - octombrie 2019  în % faţă de                          ianuarie - octombrie 2018¹</t>
  </si>
  <si>
    <t>Ianuarie - octombrie 2019 în % faţă de ianuarie - octombrie 2018¹</t>
  </si>
  <si>
    <t>de 4,9 ori</t>
  </si>
  <si>
    <t>de 49,8 ori</t>
  </si>
  <si>
    <t>de 840,3 ori</t>
  </si>
  <si>
    <t>de 10,1 ori</t>
  </si>
  <si>
    <t>de 3,8 ori</t>
  </si>
  <si>
    <t>de 4,4 ori</t>
  </si>
  <si>
    <r>
      <t xml:space="preserve">  </t>
    </r>
    <r>
      <rPr>
        <sz val="10"/>
        <rFont val="Times New Roman"/>
        <family val="1"/>
      </rPr>
      <t xml:space="preserve"> din care:</t>
    </r>
  </si>
  <si>
    <t>de 4,8 ori</t>
  </si>
  <si>
    <t>de 7,8 ori</t>
  </si>
  <si>
    <t>de 5,1 ori</t>
  </si>
  <si>
    <t>de 2,5 ori</t>
  </si>
  <si>
    <t>de 6,0 ori</t>
  </si>
  <si>
    <t>Fire, tesături, articole textile necuprinse în altă parte şi produse conexe</t>
  </si>
  <si>
    <t>Construcţii prefabricate; alte instalaţii şi accesorii pentru instalaţii sanitare, de încalzit şi de iluminat</t>
  </si>
  <si>
    <t>Bosnia şi Herţegovina</t>
  </si>
  <si>
    <t>Uganda</t>
  </si>
  <si>
    <t>El Salvador</t>
  </si>
  <si>
    <t>Trinidad Tobago</t>
  </si>
  <si>
    <t>Republica Dominicană</t>
  </si>
  <si>
    <t>Benin</t>
  </si>
  <si>
    <t>Angola</t>
  </si>
  <si>
    <t>Nepal</t>
  </si>
  <si>
    <t>Republica Yemen</t>
  </si>
  <si>
    <t>Sierra Leone</t>
  </si>
  <si>
    <t>de 9,1 ori</t>
  </si>
  <si>
    <t>de 5,7 ori</t>
  </si>
  <si>
    <t>de 9,9 ori</t>
  </si>
  <si>
    <t>de 6,5 ori</t>
  </si>
  <si>
    <t>de 5,0 ori</t>
  </si>
  <si>
    <t>de 4,0 ori</t>
  </si>
  <si>
    <t>Ţările Uniunii Europene (UE-28) - total</t>
  </si>
  <si>
    <t>de 5,9 ori</t>
  </si>
  <si>
    <t>de 4,5 ori</t>
  </si>
  <si>
    <t>de 13,1 ori</t>
  </si>
  <si>
    <t>Țările Uniunii Europene (UE-28) - total</t>
  </si>
  <si>
    <t xml:space="preserve">Țările CSI - total </t>
  </si>
  <si>
    <t>Celelalte țări ale lumii - total</t>
  </si>
  <si>
    <t xml:space="preserve">EXPORT - total      </t>
  </si>
  <si>
    <t xml:space="preserve">Celelalte țări ale lumii - total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</si>
</sst>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6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164" fontId="12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2" fontId="13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59" fillId="0" borderId="0" xfId="0" applyNumberFormat="1" applyFont="1" applyAlignment="1">
      <alignment horizontal="right" vertical="top" wrapText="1"/>
    </xf>
    <xf numFmtId="4" fontId="63" fillId="0" borderId="0" xfId="0" applyNumberFormat="1" applyFont="1" applyFill="1" applyAlignment="1" applyProtection="1">
      <alignment horizontal="right" vertical="top" wrapText="1"/>
      <protection/>
    </xf>
    <xf numFmtId="4" fontId="0" fillId="0" borderId="0" xfId="0" applyNumberFormat="1" applyAlignment="1">
      <alignment horizontal="right" vertical="top"/>
    </xf>
    <xf numFmtId="4" fontId="64" fillId="0" borderId="0" xfId="0" applyNumberFormat="1" applyFont="1" applyFill="1" applyBorder="1" applyAlignment="1" applyProtection="1">
      <alignment horizontal="right" vertical="top" wrapText="1"/>
      <protection/>
    </xf>
    <xf numFmtId="4" fontId="65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38" fontId="12" fillId="0" borderId="13" xfId="0" applyNumberFormat="1" applyFont="1" applyFill="1" applyBorder="1" applyAlignment="1" applyProtection="1">
      <alignment horizontal="left" vertical="top" wrapText="1"/>
      <protection/>
    </xf>
    <xf numFmtId="4" fontId="12" fillId="0" borderId="13" xfId="0" applyNumberFormat="1" applyFont="1" applyFill="1" applyBorder="1" applyAlignment="1" applyProtection="1">
      <alignment horizontal="right" vertical="top" wrapText="1"/>
      <protection/>
    </xf>
    <xf numFmtId="0" fontId="25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4" fontId="63" fillId="0" borderId="0" xfId="0" applyNumberFormat="1" applyFont="1" applyFill="1" applyBorder="1" applyAlignment="1" applyProtection="1">
      <alignment horizontal="right" vertical="top" wrapText="1"/>
      <protection/>
    </xf>
    <xf numFmtId="0" fontId="26" fillId="0" borderId="14" xfId="0" applyNumberFormat="1" applyFont="1" applyFill="1" applyBorder="1" applyAlignment="1" applyProtection="1">
      <alignment horizontal="left" vertical="top" wrapText="1"/>
      <protection/>
    </xf>
    <xf numFmtId="4" fontId="26" fillId="0" borderId="14" xfId="0" applyNumberFormat="1" applyFont="1" applyFill="1" applyBorder="1" applyAlignment="1" applyProtection="1">
      <alignment horizontal="right" vertical="top" wrapText="1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4" fontId="12" fillId="0" borderId="0" xfId="0" applyNumberFormat="1" applyFont="1" applyFill="1" applyAlignment="1" applyProtection="1">
      <alignment horizontal="right" vertical="top" wrapText="1"/>
      <protection/>
    </xf>
    <xf numFmtId="38" fontId="10" fillId="0" borderId="0" xfId="0" applyNumberFormat="1" applyFont="1" applyFill="1" applyAlignment="1" applyProtection="1">
      <alignment horizontal="left" vertical="top" wrapText="1"/>
      <protection/>
    </xf>
    <xf numFmtId="4" fontId="10" fillId="0" borderId="0" xfId="0" applyNumberFormat="1" applyFont="1" applyFill="1" applyAlignment="1" applyProtection="1">
      <alignment horizontal="right" vertical="top" wrapText="1"/>
      <protection/>
    </xf>
    <xf numFmtId="38" fontId="10" fillId="0" borderId="13" xfId="0" applyNumberFormat="1" applyFont="1" applyFill="1" applyBorder="1" applyAlignment="1" applyProtection="1">
      <alignment horizontal="left" vertical="top" wrapText="1"/>
      <protection/>
    </xf>
    <xf numFmtId="4" fontId="10" fillId="0" borderId="13" xfId="0" applyNumberFormat="1" applyFont="1" applyFill="1" applyBorder="1" applyAlignment="1" applyProtection="1">
      <alignment horizontal="right" vertical="top" wrapText="1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4" fontId="26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4" fontId="12" fillId="0" borderId="0" xfId="0" applyNumberFormat="1" applyFont="1" applyFill="1" applyAlignment="1" applyProtection="1">
      <alignment horizontal="right" vertical="top" wrapText="1" shrinkToFit="1"/>
      <protection/>
    </xf>
    <xf numFmtId="4" fontId="10" fillId="0" borderId="0" xfId="0" applyNumberFormat="1" applyFont="1" applyFill="1" applyAlignment="1" applyProtection="1">
      <alignment horizontal="right" vertical="top" wrapText="1" shrinkToFit="1"/>
      <protection/>
    </xf>
    <xf numFmtId="38" fontId="12" fillId="0" borderId="0" xfId="0" applyNumberFormat="1" applyFont="1" applyFill="1" applyAlignment="1" applyProtection="1">
      <alignment horizontal="left" vertical="top" wrapText="1"/>
      <protection/>
    </xf>
    <xf numFmtId="0" fontId="26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" fontId="27" fillId="0" borderId="0" xfId="0" applyNumberFormat="1" applyFont="1" applyAlignment="1">
      <alignment horizontal="right" vertical="top" wrapText="1"/>
    </xf>
    <xf numFmtId="38" fontId="10" fillId="0" borderId="0" xfId="0" applyNumberFormat="1" applyFont="1" applyFill="1" applyBorder="1" applyAlignment="1" applyProtection="1">
      <alignment horizontal="left" vertical="top" wrapText="1"/>
      <protection/>
    </xf>
    <xf numFmtId="4" fontId="10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4" fontId="26" fillId="0" borderId="0" xfId="0" applyNumberFormat="1" applyFont="1" applyFill="1" applyAlignment="1" applyProtection="1">
      <alignment horizontal="right" vertical="top" wrapText="1"/>
      <protection/>
    </xf>
    <xf numFmtId="4" fontId="10" fillId="0" borderId="0" xfId="0" applyNumberFormat="1" applyFont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13" xfId="0" applyNumberFormat="1" applyFont="1" applyBorder="1" applyAlignment="1">
      <alignment horizontal="right" vertical="top" wrapText="1"/>
    </xf>
    <xf numFmtId="0" fontId="17" fillId="0" borderId="0" xfId="0" applyFont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5"/>
  <sheetViews>
    <sheetView tabSelected="1" zoomScalePageLayoutView="0" workbookViewId="0" topLeftCell="A1">
      <selection activeCell="C64" sqref="C64"/>
    </sheetView>
  </sheetViews>
  <sheetFormatPr defaultColWidth="9.00390625" defaultRowHeight="15.75"/>
  <cols>
    <col min="1" max="1" width="32.50390625" style="9" customWidth="1"/>
    <col min="2" max="2" width="11.125" style="9" customWidth="1"/>
    <col min="3" max="3" width="10.00390625" style="9" customWidth="1"/>
    <col min="4" max="4" width="8.625" style="9" customWidth="1"/>
    <col min="5" max="5" width="8.25390625" style="9" customWidth="1"/>
    <col min="6" max="7" width="9.75390625" style="9" customWidth="1"/>
  </cols>
  <sheetData>
    <row r="1" spans="1:7" ht="15.75">
      <c r="A1" s="61" t="s">
        <v>123</v>
      </c>
      <c r="B1" s="61"/>
      <c r="C1" s="61"/>
      <c r="D1" s="61"/>
      <c r="E1" s="61"/>
      <c r="F1" s="61"/>
      <c r="G1" s="61"/>
    </row>
    <row r="2" ht="9" customHeight="1"/>
    <row r="3" spans="1:7" ht="54" customHeight="1">
      <c r="A3" s="62"/>
      <c r="B3" s="65" t="s">
        <v>260</v>
      </c>
      <c r="C3" s="66"/>
      <c r="D3" s="65" t="s">
        <v>110</v>
      </c>
      <c r="E3" s="66"/>
      <c r="F3" s="67" t="s">
        <v>1</v>
      </c>
      <c r="G3" s="68"/>
    </row>
    <row r="4" spans="1:7" ht="24" customHeight="1">
      <c r="A4" s="63"/>
      <c r="B4" s="69" t="s">
        <v>100</v>
      </c>
      <c r="C4" s="71" t="s">
        <v>261</v>
      </c>
      <c r="D4" s="73" t="s">
        <v>262</v>
      </c>
      <c r="E4" s="73"/>
      <c r="F4" s="73" t="s">
        <v>262</v>
      </c>
      <c r="G4" s="65"/>
    </row>
    <row r="5" spans="1:7" ht="30" customHeight="1">
      <c r="A5" s="64"/>
      <c r="B5" s="70"/>
      <c r="C5" s="72"/>
      <c r="D5" s="21">
        <v>2018</v>
      </c>
      <c r="E5" s="21">
        <v>2019</v>
      </c>
      <c r="F5" s="21" t="s">
        <v>112</v>
      </c>
      <c r="G5" s="17" t="s">
        <v>133</v>
      </c>
    </row>
    <row r="6" spans="1:7" ht="15.75" customHeight="1">
      <c r="A6" s="36" t="s">
        <v>101</v>
      </c>
      <c r="B6" s="37">
        <f>IF(2294411.91883="","-",2294411.91883)</f>
        <v>2294411.91883</v>
      </c>
      <c r="C6" s="37">
        <f>IF(2218501.69139="","-",2294411.91883/2218501.69139*100)</f>
        <v>103.42168895947239</v>
      </c>
      <c r="D6" s="37">
        <v>100</v>
      </c>
      <c r="E6" s="37">
        <v>100</v>
      </c>
      <c r="F6" s="37">
        <f>IF(1919782.20123="","-",(2218501.69139-1919782.20123)/1919782.20123*100)</f>
        <v>15.560071864850656</v>
      </c>
      <c r="G6" s="37">
        <f>IF(2218501.69139="","-",(2294411.91883-2218501.69139)/2218501.69139*100)</f>
        <v>3.4216889594723985</v>
      </c>
    </row>
    <row r="7" spans="1:7" ht="15.75" customHeight="1">
      <c r="A7" s="44" t="s">
        <v>272</v>
      </c>
      <c r="B7" s="45"/>
      <c r="C7" s="45"/>
      <c r="D7" s="45"/>
      <c r="E7" s="45"/>
      <c r="F7" s="45"/>
      <c r="G7" s="45"/>
    </row>
    <row r="8" spans="1:7" ht="15.75" customHeight="1">
      <c r="A8" s="38" t="s">
        <v>296</v>
      </c>
      <c r="B8" s="39">
        <f>IF(1503360.75936="","-",1503360.75936)</f>
        <v>1503360.75936</v>
      </c>
      <c r="C8" s="39">
        <f>IF(1541461.40924="","-",1503360.75936/1541461.40924*100)</f>
        <v>97.52827740924211</v>
      </c>
      <c r="D8" s="39">
        <f>IF(1541461.40924="","-",1541461.40924/2218501.69139*100)</f>
        <v>69.48209303704425</v>
      </c>
      <c r="E8" s="39">
        <f>IF(1503360.75936="","-",1503360.75936/2294411.91883*100)</f>
        <v>65.522705274588</v>
      </c>
      <c r="F8" s="39">
        <f>IF(1919782.20123="","-",(1541461.40924-1254334.60566)/1919782.20123*100)</f>
        <v>14.956217606145039</v>
      </c>
      <c r="G8" s="39">
        <f>IF(2218501.69139="","-",(1503360.75936-1541461.40924)/2218501.69139*100)</f>
        <v>-1.7174045901280337</v>
      </c>
    </row>
    <row r="9" spans="1:7" ht="15.75" customHeight="1">
      <c r="A9" s="40" t="s">
        <v>2</v>
      </c>
      <c r="B9" s="41">
        <f>IF(642141.89466="","-",642141.89466)</f>
        <v>642141.89466</v>
      </c>
      <c r="C9" s="41">
        <f>IF(OR(646563.95293="",642141.89466=""),"-",642141.89466/646563.95293*100)</f>
        <v>99.31606792337234</v>
      </c>
      <c r="D9" s="41">
        <f>IF(646563.95293="","-",646563.95293/2218501.69139*100)</f>
        <v>29.144172187892092</v>
      </c>
      <c r="E9" s="41">
        <f>IF(642141.89466="","-",642141.89466/2294411.91883*100)</f>
        <v>27.987210552299185</v>
      </c>
      <c r="F9" s="41">
        <f>IF(OR(1919782.20123="",480869.96889="",646563.95293=""),"-",(646563.95293-480869.96889)/1919782.20123*100)</f>
        <v>8.630874061330513</v>
      </c>
      <c r="G9" s="41">
        <f>IF(OR(2218501.69139="",642141.89466="",646563.95293=""),"-",(642141.89466-646563.95293)/2218501.69139*100)</f>
        <v>-0.19932634206059147</v>
      </c>
    </row>
    <row r="10" spans="1:7" ht="15.75" customHeight="1">
      <c r="A10" s="40" t="s">
        <v>3</v>
      </c>
      <c r="B10" s="41">
        <f>IF(225763.73733="","-",225763.73733)</f>
        <v>225763.73733</v>
      </c>
      <c r="C10" s="41">
        <f>IF(OR(259018.64449="",225763.73733=""),"-",225763.73733/259018.64449*100)</f>
        <v>87.16119172599412</v>
      </c>
      <c r="D10" s="41">
        <f>IF(259018.64449="","-",259018.64449/2218501.69139*100)</f>
        <v>11.67538638781529</v>
      </c>
      <c r="E10" s="41">
        <f>IF(225763.73733="","-",225763.73733/2294411.91883*100)</f>
        <v>9.83972125829632</v>
      </c>
      <c r="F10" s="41">
        <f>IF(OR(1919782.20123="",185446.28038="",259018.64449=""),"-",(259018.64449-185446.28038)/1919782.20123*100)</f>
        <v>3.832328691393344</v>
      </c>
      <c r="G10" s="41">
        <f>IF(OR(2218501.69139="",225763.73733="",259018.64449=""),"-",(225763.73733-259018.64449)/2218501.69139*100)</f>
        <v>-1.498980473580986</v>
      </c>
    </row>
    <row r="11" spans="1:7" ht="15.75" customHeight="1">
      <c r="A11" s="40" t="s">
        <v>4</v>
      </c>
      <c r="B11" s="41">
        <f>IF(204561.11428="","-",204561.11428)</f>
        <v>204561.11428</v>
      </c>
      <c r="C11" s="41">
        <f>IF(OR(184024.93483="",204561.11428=""),"-",204561.11428/184024.93483*100)</f>
        <v>111.15945481462666</v>
      </c>
      <c r="D11" s="41">
        <f>IF(184024.93483="","-",184024.93483/2218501.69139*100)</f>
        <v>8.295009895381211</v>
      </c>
      <c r="E11" s="41">
        <f>IF(204561.11428="","-",204561.11428/2294411.91883*100)</f>
        <v>8.915622892349374</v>
      </c>
      <c r="F11" s="41">
        <f>IF(OR(1919782.20123="",127774.60884="",184024.93483=""),"-",(184024.93483-127774.60884)/1919782.20123*100)</f>
        <v>2.9300368528242715</v>
      </c>
      <c r="G11" s="41">
        <f>IF(OR(2218501.69139="",204561.11428="",184024.93483=""),"-",(204561.11428-184024.93483)/2218501.69139*100)</f>
        <v>0.9256778811438758</v>
      </c>
    </row>
    <row r="12" spans="1:7" ht="15.75" customHeight="1">
      <c r="A12" s="40" t="s">
        <v>5</v>
      </c>
      <c r="B12" s="41">
        <f>IF(92739.01741="","-",92739.01741)</f>
        <v>92739.01741</v>
      </c>
      <c r="C12" s="41">
        <f>IF(OR(79646.62893="",92739.01741=""),"-",92739.01741/79646.62893*100)</f>
        <v>116.43809493997124</v>
      </c>
      <c r="D12" s="41">
        <f>IF(79646.62893="","-",79646.62893/2218501.69139*100)</f>
        <v>3.5901090019046817</v>
      </c>
      <c r="E12" s="41">
        <f>IF(92739.01741="","-",92739.01741/2294411.91883*100)</f>
        <v>4.041951519206317</v>
      </c>
      <c r="F12" s="41">
        <f>IF(OR(1919782.20123="",76083.37753="",79646.62893=""),"-",(79646.62893-76083.37753)/1919782.20123*100)</f>
        <v>0.18560706509920977</v>
      </c>
      <c r="G12" s="41">
        <f>IF(OR(2218501.69139="",92739.01741="",79646.62893=""),"-",(92739.01741-79646.62893)/2218501.69139*100)</f>
        <v>0.5901455261815453</v>
      </c>
    </row>
    <row r="13" spans="1:7" ht="13.5" customHeight="1">
      <c r="A13" s="40" t="s">
        <v>7</v>
      </c>
      <c r="B13" s="41">
        <f>IF(50085.46665="","-",50085.46665)</f>
        <v>50085.46665</v>
      </c>
      <c r="C13" s="41">
        <f>IF(OR(34526.6271399999="",50085.46665=""),"-",50085.46665/34526.6271399999*100)</f>
        <v>145.06330562470384</v>
      </c>
      <c r="D13" s="41">
        <f>IF(34526.6271399999="","-",34526.6271399999/2218501.69139*100)</f>
        <v>1.5563038456989988</v>
      </c>
      <c r="E13" s="41">
        <f>IF(50085.46665="","-",50085.46665/2294411.91883*100)</f>
        <v>2.1829326390328516</v>
      </c>
      <c r="F13" s="41">
        <f>IF(OR(1919782.20123="",24305.35429="",34526.6271399999=""),"-",(34526.6271399999-24305.35429)/1919782.20123*100)</f>
        <v>0.5324183568037644</v>
      </c>
      <c r="G13" s="41">
        <f>IF(OR(2218501.69139="",50085.46665="",34526.6271399999=""),"-",(50085.46665-34526.6271399999)/2218501.69139*100)</f>
        <v>0.7013219584363591</v>
      </c>
    </row>
    <row r="14" spans="1:7" ht="15.75" customHeight="1">
      <c r="A14" s="40" t="s">
        <v>6</v>
      </c>
      <c r="B14" s="41">
        <f>IF(44700.18474="","-",44700.18474)</f>
        <v>44700.18474</v>
      </c>
      <c r="C14" s="41">
        <f>IF(OR(42469.73951="",44700.18474=""),"-",44700.18474/42469.73951*100)</f>
        <v>105.25184579828849</v>
      </c>
      <c r="D14" s="41">
        <f>IF(42469.73951="","-",42469.73951/2218501.69139*100)</f>
        <v>1.914343345999012</v>
      </c>
      <c r="E14" s="41">
        <f>IF(44700.18474="","-",44700.18474/2294411.91883*100)</f>
        <v>1.948219688589927</v>
      </c>
      <c r="F14" s="41">
        <f>IF(OR(1919782.20123="",64791.29026="",42469.73951=""),"-",(42469.73951-64791.29026)/1919782.20123*100)</f>
        <v>-1.1627126627019793</v>
      </c>
      <c r="G14" s="41">
        <f>IF(OR(2218501.69139="",44700.18474="",42469.73951=""),"-",(44700.18474-42469.73951)/2218501.69139*100)</f>
        <v>0.10053836058166422</v>
      </c>
    </row>
    <row r="15" spans="1:7" s="12" customFormat="1" ht="15" customHeight="1">
      <c r="A15" s="40" t="s">
        <v>157</v>
      </c>
      <c r="B15" s="41">
        <f>IF(42024.30951="","-",42024.30951)</f>
        <v>42024.30951</v>
      </c>
      <c r="C15" s="41">
        <f>IF(OR(68396.99159="",42024.30951=""),"-",42024.30951/68396.99159*100)</f>
        <v>61.44175135934512</v>
      </c>
      <c r="D15" s="41">
        <f>IF(68396.99159="","-",68396.99159/2218501.69139*100)</f>
        <v>3.0830263441064107</v>
      </c>
      <c r="E15" s="41">
        <f>IF(42024.30951="","-",42024.30951/2294411.91883*100)</f>
        <v>1.8315939332911784</v>
      </c>
      <c r="F15" s="41">
        <f>IF(OR(1919782.20123="",112573.67446="",68396.99159=""),"-",(68396.99159-112573.67446)/1919782.20123*100)</f>
        <v>-2.301129932431715</v>
      </c>
      <c r="G15" s="41">
        <f>IF(OR(2218501.69139="",42024.30951="",68396.99159=""),"-",(42024.30951-68396.99159)/2218501.69139*100)</f>
        <v>-1.188760963417442</v>
      </c>
    </row>
    <row r="16" spans="1:7" s="12" customFormat="1" ht="15.75">
      <c r="A16" s="40" t="s">
        <v>10</v>
      </c>
      <c r="B16" s="41">
        <f>IF(29750.45275="","-",29750.45275)</f>
        <v>29750.45275</v>
      </c>
      <c r="C16" s="41">
        <f>IF(OR(30724.00627="",29750.45275=""),"-",29750.45275/30724.00627*100)</f>
        <v>96.83129370745309</v>
      </c>
      <c r="D16" s="41">
        <f>IF(30724.00627="","-",30724.00627/2218501.69139*100)</f>
        <v>1.384898933782192</v>
      </c>
      <c r="E16" s="41">
        <f>IF(29750.45275="","-",29750.45275/2294411.91883*100)</f>
        <v>1.2966482829801018</v>
      </c>
      <c r="F16" s="41">
        <f>IF(OR(1919782.20123="",19060.63679="",30724.00627=""),"-",(30724.00627-19060.63679)/1919782.20123*100)</f>
        <v>0.6075360774012442</v>
      </c>
      <c r="G16" s="41">
        <f>IF(OR(2218501.69139="",29750.45275="",30724.00627=""),"-",(29750.45275-30724.00627)/2218501.69139*100)</f>
        <v>-0.04388337966017156</v>
      </c>
    </row>
    <row r="17" spans="1:7" s="12" customFormat="1" ht="15.75">
      <c r="A17" s="40" t="s">
        <v>41</v>
      </c>
      <c r="B17" s="41">
        <f>IF(28064.78003="","-",28064.78003)</f>
        <v>28064.78003</v>
      </c>
      <c r="C17" s="41">
        <f>IF(OR(20402.43149="",28064.78003=""),"-",28064.78003/20402.43149*100)</f>
        <v>137.5560557267677</v>
      </c>
      <c r="D17" s="41">
        <f>IF(20402.43149="","-",20402.43149/2218501.69139*100)</f>
        <v>0.9196491293732969</v>
      </c>
      <c r="E17" s="41">
        <f>IF(28064.78003="","-",28064.78003/2294411.91883*100)</f>
        <v>1.2231796653284126</v>
      </c>
      <c r="F17" s="41">
        <f>IF(OR(1919782.20123="",21404.75103="",20402.43149=""),"-",(20402.43149-21404.75103)/1919782.20123*100)</f>
        <v>-0.05221006525416355</v>
      </c>
      <c r="G17" s="41">
        <f>IF(OR(2218501.69139="",28064.78003="",20402.43149=""),"-",(28064.78003-20402.43149)/2218501.69139*100)</f>
        <v>0.3453839395181694</v>
      </c>
    </row>
    <row r="18" spans="1:7" s="12" customFormat="1" ht="15.75">
      <c r="A18" s="40" t="s">
        <v>9</v>
      </c>
      <c r="B18" s="41">
        <f>IF(27688.09767="","-",27688.09767)</f>
        <v>27688.09767</v>
      </c>
      <c r="C18" s="41">
        <f>IF(OR(30096.55625="",27688.09767=""),"-",27688.09767/30096.55625*100)</f>
        <v>91.99756091695707</v>
      </c>
      <c r="D18" s="41">
        <f>IF(30096.55625="","-",30096.55625/2218501.69139*100)</f>
        <v>1.3566163310492243</v>
      </c>
      <c r="E18" s="41">
        <f>IF(27688.09767="","-",27688.09767/2294411.91883*100)</f>
        <v>1.2067622837367022</v>
      </c>
      <c r="F18" s="41">
        <f>IF(OR(1919782.20123="",24915.50694="",30096.55625=""),"-",(30096.55625-24915.50694)/1919782.20123*100)</f>
        <v>0.2698769322207757</v>
      </c>
      <c r="G18" s="41">
        <f>IF(OR(2218501.69139="",27688.09767="",30096.55625=""),"-",(27688.09767-30096.55625)/2218501.69139*100)</f>
        <v>-0.10856239548282631</v>
      </c>
    </row>
    <row r="19" spans="1:7" s="12" customFormat="1" ht="15.75">
      <c r="A19" s="40" t="s">
        <v>156</v>
      </c>
      <c r="B19" s="41">
        <f>IF(26655.4169="","-",26655.4169)</f>
        <v>26655.4169</v>
      </c>
      <c r="C19" s="41">
        <f>IF(OR(41654.66366="",26655.4169=""),"-",26655.4169/41654.66366*100)</f>
        <v>63.99143471081865</v>
      </c>
      <c r="D19" s="41">
        <f>IF(41654.66366="","-",41654.66366/2218501.69139*100)</f>
        <v>1.8776034213389</v>
      </c>
      <c r="E19" s="41">
        <f>IF(26655.4169="","-",26655.4169/2294411.91883*100)</f>
        <v>1.1617537671087639</v>
      </c>
      <c r="F19" s="41">
        <f>IF(OR(1919782.20123="",33598.22948="",41654.66366=""),"-",(41654.66366-33598.22948)/1919782.20123*100)</f>
        <v>0.41965355105585717</v>
      </c>
      <c r="G19" s="41">
        <f>IF(OR(2218501.69139="",26655.4169="",41654.66366=""),"-",(26655.4169-41654.66366)/2218501.69139*100)</f>
        <v>-0.6760980538447205</v>
      </c>
    </row>
    <row r="20" spans="1:7" s="12" customFormat="1" ht="15.75">
      <c r="A20" s="40" t="s">
        <v>8</v>
      </c>
      <c r="B20" s="41">
        <f>IF(25245.17321="","-",25245.17321)</f>
        <v>25245.17321</v>
      </c>
      <c r="C20" s="41">
        <f>IF(OR(33767.9496="",25245.17321=""),"-",25245.17321/33767.9496*100)</f>
        <v>74.7607524562285</v>
      </c>
      <c r="D20" s="41">
        <f>IF(33767.9496="","-",33767.9496/2218501.69139*100)</f>
        <v>1.5221061012057524</v>
      </c>
      <c r="E20" s="41">
        <f>IF(25245.17321="","-",25245.17321/2294411.91883*100)</f>
        <v>1.100289490427394</v>
      </c>
      <c r="F20" s="41">
        <f>IF(OR(1919782.20123="",31341.6287="",33767.9496=""),"-",(33767.9496-31341.6287)/1919782.20123*100)</f>
        <v>0.12638521695041555</v>
      </c>
      <c r="G20" s="41">
        <f>IF(OR(2218501.69139="",25245.17321="",33767.9496=""),"-",(25245.17321-33767.9496)/2218501.69139*100)</f>
        <v>-0.38416812676216905</v>
      </c>
    </row>
    <row r="21" spans="1:7" s="14" customFormat="1" ht="15.75">
      <c r="A21" s="40" t="s">
        <v>42</v>
      </c>
      <c r="B21" s="41">
        <f>IF(11407.41929="","-",11407.41929)</f>
        <v>11407.41929</v>
      </c>
      <c r="C21" s="41">
        <f>IF(OR(12202.91975="",11407.41929=""),"-",11407.41929/12202.91975*100)</f>
        <v>93.48106456243802</v>
      </c>
      <c r="D21" s="41">
        <f>IF(12202.91975="","-",12202.91975/2218501.69139*100)</f>
        <v>0.5500523077065709</v>
      </c>
      <c r="E21" s="41">
        <f>IF(11407.41929="","-",11407.41929/2294411.91883*100)</f>
        <v>0.49718270709720847</v>
      </c>
      <c r="F21" s="41">
        <f>IF(OR(1919782.20123="",10421.89298="",12202.91975=""),"-",(12202.91975-10421.89298)/1919782.20123*100)</f>
        <v>0.09277233473978969</v>
      </c>
      <c r="G21" s="41">
        <f>IF(OR(2218501.69139="",11407.41929="",12202.91975=""),"-",(11407.41929-12202.91975)/2218501.69139*100)</f>
        <v>-0.03585755481221109</v>
      </c>
    </row>
    <row r="22" spans="1:7" s="12" customFormat="1" ht="15.75">
      <c r="A22" s="40" t="s">
        <v>45</v>
      </c>
      <c r="B22" s="41">
        <f>IF(10638.31462="","-",10638.31462)</f>
        <v>10638.31462</v>
      </c>
      <c r="C22" s="41">
        <f>IF(OR(16002.99729="",10638.31462=""),"-",10638.31462/16002.99729*100)</f>
        <v>66.47701319457012</v>
      </c>
      <c r="D22" s="41">
        <f>IF(16002.99729="","-",16002.99729/2218501.69139*100)</f>
        <v>0.7213425778356445</v>
      </c>
      <c r="E22" s="41">
        <f>IF(10638.31462="","-",10638.31462/2294411.91883*100)</f>
        <v>0.46366193152556684</v>
      </c>
      <c r="F22" s="41">
        <f>IF(OR(1919782.20123="",8374.82237="",16002.99729=""),"-",(16002.99729-8374.82237)/1919782.20123*100)</f>
        <v>0.39734585074872797</v>
      </c>
      <c r="G22" s="41">
        <f>IF(OR(2218501.69139="",10638.31462="",16002.99729=""),"-",(10638.31462-16002.99729)/2218501.69139*100)</f>
        <v>-0.24181557718979085</v>
      </c>
    </row>
    <row r="23" spans="1:7" s="12" customFormat="1" ht="15.75">
      <c r="A23" s="40" t="s">
        <v>48</v>
      </c>
      <c r="B23" s="41">
        <f>IF(9406.37675="","-",9406.37675)</f>
        <v>9406.37675</v>
      </c>
      <c r="C23" s="41">
        <f>IF(OR(6922.02227="",9406.37675=""),"-",9406.37675/6922.02227*100)</f>
        <v>135.89058779494505</v>
      </c>
      <c r="D23" s="41">
        <f>IF(6922.02227="","-",6922.02227/2218501.69139*100)</f>
        <v>0.31201338709203397</v>
      </c>
      <c r="E23" s="41">
        <f>IF(9406.37675="","-",9406.37675/2294411.91883*100)</f>
        <v>0.4099689629749063</v>
      </c>
      <c r="F23" s="41">
        <f>IF(OR(1919782.20123="",6714.12157="",6922.02227=""),"-",(6922.02227-6714.12157)/1919782.20123*100)</f>
        <v>0.010829389910313715</v>
      </c>
      <c r="G23" s="41">
        <f>IF(OR(2218501.69139="",9406.37675="",6922.02227=""),"-",(9406.37675-6922.02227)/2218501.69139*100)</f>
        <v>0.11198343862624821</v>
      </c>
    </row>
    <row r="24" spans="1:7" s="12" customFormat="1" ht="15.75">
      <c r="A24" s="40" t="s">
        <v>43</v>
      </c>
      <c r="B24" s="41">
        <f>IF(8455.41692="","-",8455.41692)</f>
        <v>8455.41692</v>
      </c>
      <c r="C24" s="41">
        <f>IF(OR(6640.06499="",8455.41692=""),"-",8455.41692/6640.06499*100)</f>
        <v>127.33936991179962</v>
      </c>
      <c r="D24" s="41">
        <f>IF(6640.06499="","-",6640.06499/2218501.69139*100)</f>
        <v>0.2993040309939847</v>
      </c>
      <c r="E24" s="41">
        <f>IF(8455.41692="","-",8455.41692/2294411.91883*100)</f>
        <v>0.36852218429512473</v>
      </c>
      <c r="F24" s="41">
        <f>IF(OR(1919782.20123="",8190.78547="",6640.06499=""),"-",(6640.06499-8190.78547)/1919782.20123*100)</f>
        <v>-0.08077585462592876</v>
      </c>
      <c r="G24" s="41">
        <f>IF(OR(2218501.69139="",8455.41692="",6640.06499=""),"-",(8455.41692-6640.06499)/2218501.69139*100)</f>
        <v>0.08182783619437284</v>
      </c>
    </row>
    <row r="25" spans="1:7" s="12" customFormat="1" ht="15.75">
      <c r="A25" s="40" t="s">
        <v>44</v>
      </c>
      <c r="B25" s="41">
        <f>IF(7125.90825="","-",7125.90825)</f>
        <v>7125.90825</v>
      </c>
      <c r="C25" s="41">
        <f>IF(OR(7344.78759="",7125.90825=""),"-",7125.90825/7344.78759*100)</f>
        <v>97.0199364199721</v>
      </c>
      <c r="D25" s="41">
        <f>IF(7344.78759="","-",7344.78759/2218501.69139*100)</f>
        <v>0.33106973136442064</v>
      </c>
      <c r="E25" s="41">
        <f>IF(7125.90825="","-",7125.90825/2294411.91883*100)</f>
        <v>0.31057667507383535</v>
      </c>
      <c r="F25" s="41">
        <f>IF(OR(1919782.20123="",6689.53318="",7344.78759=""),"-",(7344.78759-6689.53318)/1919782.20123*100)</f>
        <v>0.034131705647660424</v>
      </c>
      <c r="G25" s="41">
        <f>IF(OR(2218501.69139="",7125.90825="",7344.78759=""),"-",(7125.90825-7344.78759)/2218501.69139*100)</f>
        <v>-0.009866088488887332</v>
      </c>
    </row>
    <row r="26" spans="1:7" s="12" customFormat="1" ht="15.75">
      <c r="A26" s="40" t="s">
        <v>46</v>
      </c>
      <c r="B26" s="41">
        <f>IF(6336.04084="","-",6336.04084)</f>
        <v>6336.04084</v>
      </c>
      <c r="C26" s="41">
        <f>IF(OR(4866.6653="",6336.04084=""),"-",6336.04084/4866.6653*100)</f>
        <v>130.1926565609515</v>
      </c>
      <c r="D26" s="41">
        <f>IF(4866.6653="","-",4866.6653/2218501.69139*100)</f>
        <v>0.21936721161347397</v>
      </c>
      <c r="E26" s="41">
        <f>IF(6336.04084="","-",6336.04084/2294411.91883*100)</f>
        <v>0.276150973066378</v>
      </c>
      <c r="F26" s="41">
        <f>IF(OR(1919782.20123="",4690.53543="",4866.6653=""),"-",(4866.6653-4690.53543)/1919782.20123*100)</f>
        <v>0.009174471452394639</v>
      </c>
      <c r="G26" s="41">
        <f>IF(OR(2218501.69139="",6336.04084="",4866.6653=""),"-",(6336.04084-4866.6653)/2218501.69139*100)</f>
        <v>0.06623278880979191</v>
      </c>
    </row>
    <row r="27" spans="1:7" s="12" customFormat="1" ht="15.75">
      <c r="A27" s="40" t="s">
        <v>52</v>
      </c>
      <c r="B27" s="41">
        <f>IF(3971.71629="","-",3971.71629)</f>
        <v>3971.71629</v>
      </c>
      <c r="C27" s="41">
        <f>IF(OR(9350.49588="",3971.71629=""),"-",3971.71629/9350.49588*100)</f>
        <v>42.47599636394899</v>
      </c>
      <c r="D27" s="41">
        <f>IF(9350.49588="","-",9350.49588/2218501.69139*100)</f>
        <v>0.4214779694011167</v>
      </c>
      <c r="E27" s="41">
        <f>IF(3971.71629="","-",3971.71629/2294411.91883*100)</f>
        <v>0.17310389025634576</v>
      </c>
      <c r="F27" s="41">
        <f>IF(OR(1919782.20123="",643.60723="",9350.49588=""),"-",(9350.49588-643.60723)/1919782.20123*100)</f>
        <v>0.45353523146644015</v>
      </c>
      <c r="G27" s="41">
        <f>IF(OR(2218501.69139="",3971.71629="",9350.49588=""),"-",(3971.71629-9350.49588)/2218501.69139*100)</f>
        <v>-0.24245100244345233</v>
      </c>
    </row>
    <row r="28" spans="1:7" s="9" customFormat="1" ht="15.75">
      <c r="A28" s="40" t="s">
        <v>47</v>
      </c>
      <c r="B28" s="41">
        <f>IF(2899.42463="","-",2899.42463)</f>
        <v>2899.42463</v>
      </c>
      <c r="C28" s="41">
        <f>IF(OR(2581.53379="",2899.42463=""),"-",2899.42463/2581.53379*100)</f>
        <v>112.31402979234295</v>
      </c>
      <c r="D28" s="41">
        <f>IF(2581.53379="","-",2581.53379/2218501.69139*100)</f>
        <v>0.11636384141688631</v>
      </c>
      <c r="E28" s="41">
        <f>IF(2899.42463="","-",2899.42463/2294411.91883*100)</f>
        <v>0.12636896654017196</v>
      </c>
      <c r="F28" s="41">
        <f>IF(OR(1919782.20123="",2684.3069="",2581.53379=""),"-",(2581.53379-2684.3069)/1919782.20123*100)</f>
        <v>-0.005353373415700677</v>
      </c>
      <c r="G28" s="41">
        <f>IF(OR(2218501.69139="",2899.42463="",2581.53379=""),"-",(2899.42463-2581.53379)/2218501.69139*100)</f>
        <v>0.014329078099590083</v>
      </c>
    </row>
    <row r="29" spans="1:7" s="9" customFormat="1" ht="15.75">
      <c r="A29" s="40" t="s">
        <v>158</v>
      </c>
      <c r="B29" s="41">
        <f>IF(902.66121="","-",902.66121)</f>
        <v>902.66121</v>
      </c>
      <c r="C29" s="41">
        <f>IF(OR(896.62975="",902.66121=""),"-",902.66121/896.62975*100)</f>
        <v>100.67268122655979</v>
      </c>
      <c r="D29" s="41">
        <f>IF(896.62975="","-",896.62975/2218501.69139*100)</f>
        <v>0.040416004796382084</v>
      </c>
      <c r="E29" s="41">
        <f>IF(902.66121="","-",902.66121/2294411.91883*100)</f>
        <v>0.03934172423844007</v>
      </c>
      <c r="F29" s="41">
        <f>IF(OR(1919782.20123="",686.23523="",896.62975=""),"-",(896.62975-686.23523)/1919782.20123*100)</f>
        <v>0.010959291104230504</v>
      </c>
      <c r="G29" s="41">
        <f>IF(OR(2218501.69139="",902.66121="",896.62975=""),"-",(902.66121-896.62975)/2218501.69139*100)</f>
        <v>0.00027187087679076923</v>
      </c>
    </row>
    <row r="30" spans="1:7" s="12" customFormat="1" ht="15.75">
      <c r="A30" s="40" t="s">
        <v>50</v>
      </c>
      <c r="B30" s="41">
        <f>IF(888.74537="","-",888.74537)</f>
        <v>888.74537</v>
      </c>
      <c r="C30" s="41" t="s">
        <v>197</v>
      </c>
      <c r="D30" s="41">
        <f>IF(275.12532="","-",275.12532/2218501.69139*100)</f>
        <v>0.012401402309845459</v>
      </c>
      <c r="E30" s="41">
        <f>IF(888.74537="","-",888.74537/2294411.91883*100)</f>
        <v>0.038735214139455916</v>
      </c>
      <c r="F30" s="41">
        <f>IF(OR(1919782.20123="",87.26865="",275.12532=""),"-",(275.12532-87.26865)/1919782.20123*100)</f>
        <v>0.00978531157751336</v>
      </c>
      <c r="G30" s="41">
        <f>IF(OR(2218501.69139="",888.74537="",275.12532=""),"-",(888.74537-275.12532)/2218501.69139*100)</f>
        <v>0.027659210375248218</v>
      </c>
    </row>
    <row r="31" spans="1:7" s="12" customFormat="1" ht="15.75">
      <c r="A31" s="40" t="s">
        <v>49</v>
      </c>
      <c r="B31" s="41">
        <f>IF(619.34915="","-",619.34915)</f>
        <v>619.34915</v>
      </c>
      <c r="C31" s="41">
        <f>IF(OR(1475.37991="",619.34915=""),"-",619.34915/1475.37991*100)</f>
        <v>41.978960524140525</v>
      </c>
      <c r="D31" s="41">
        <f>IF(1475.37991="","-",1475.37991/2218501.69139*100)</f>
        <v>0.06650343859217897</v>
      </c>
      <c r="E31" s="41">
        <f>IF(619.34915="","-",619.34915/2294411.91883*100)</f>
        <v>0.02699380808289331</v>
      </c>
      <c r="F31" s="41">
        <f>IF(OR(1919782.20123="",1156.50875="",1475.37991=""),"-",(1475.37991-1156.50875)/1919782.20123*100)</f>
        <v>0.016609757075344282</v>
      </c>
      <c r="G31" s="41">
        <f>IF(OR(2218501.69139="",619.34915="",1475.37991=""),"-",(619.34915-1475.37991)/2218501.69139*100)</f>
        <v>-0.03858598635837212</v>
      </c>
    </row>
    <row r="32" spans="1:7" s="9" customFormat="1" ht="15.75">
      <c r="A32" s="40" t="s">
        <v>51</v>
      </c>
      <c r="B32" s="41">
        <f>IF(561.45356="","-",561.45356)</f>
        <v>561.45356</v>
      </c>
      <c r="C32" s="41">
        <f>IF(OR(659.03762="",561.45356=""),"-",561.45356/659.03762*100)</f>
        <v>85.19294543458689</v>
      </c>
      <c r="D32" s="41">
        <f>IF(659.03762="","-",659.03762/2218501.69139*100)</f>
        <v>0.029706428557513546</v>
      </c>
      <c r="E32" s="41">
        <f>IF(561.45356="","-",561.45356/2294411.91883*100)</f>
        <v>0.0244704778332177</v>
      </c>
      <c r="F32" s="41">
        <f>IF(OR(1919782.20123="",918.53794="",659.03762=""),"-",(659.03762-918.53794)/1919782.20123*100)</f>
        <v>-0.013517175012547717</v>
      </c>
      <c r="G32" s="41">
        <f>IF(OR(2218501.69139="",561.45356="",659.03762=""),"-",(561.45356-659.03762)/2218501.69139*100)</f>
        <v>-0.004398647085946494</v>
      </c>
    </row>
    <row r="33" spans="1:7" s="9" customFormat="1" ht="15.75">
      <c r="A33" s="40" t="s">
        <v>56</v>
      </c>
      <c r="B33" s="41">
        <f>IF(461.08919="","-",461.08919)</f>
        <v>461.08919</v>
      </c>
      <c r="C33" s="41">
        <f>IF(OR(573.68424="",461.08919=""),"-",461.08919/573.68424*100)</f>
        <v>80.37334091659899</v>
      </c>
      <c r="D33" s="41">
        <f>IF(573.68424="","-",573.68424/2218501.69139*100)</f>
        <v>0.02585908508550917</v>
      </c>
      <c r="E33" s="41">
        <f>IF(461.08919="","-",461.08919/2294411.91883*100)</f>
        <v>0.0200961817804331</v>
      </c>
      <c r="F33" s="41">
        <f>IF(OR(1919782.20123="",16.26047="",573.68424=""),"-",(573.68424-16.26047)/1919782.20123*100)</f>
        <v>0.029035781748724405</v>
      </c>
      <c r="G33" s="41">
        <f>IF(OR(2218501.69139="",461.08919="",573.68424=""),"-",(461.08919-573.68424)/2218501.69139*100)</f>
        <v>-0.005075274471819481</v>
      </c>
    </row>
    <row r="34" spans="1:7" s="9" customFormat="1" ht="15.75">
      <c r="A34" s="40" t="s">
        <v>54</v>
      </c>
      <c r="B34" s="41">
        <f>IF(141.6943="","-",141.6943)</f>
        <v>141.6943</v>
      </c>
      <c r="C34" s="41">
        <f>IF(OR(326.34669="",141.6943=""),"-",141.6943/326.34669*100)</f>
        <v>43.41833526793239</v>
      </c>
      <c r="D34" s="41">
        <f>IF(326.34669="","-",326.34669/2218501.69139*100)</f>
        <v>0.014710229488061732</v>
      </c>
      <c r="E34" s="41">
        <f>IF(141.6943="","-",141.6943/2294411.91883*100)</f>
        <v>0.006175626043306767</v>
      </c>
      <c r="F34" s="41">
        <f>IF(OR(1919782.20123="",614.41806="",326.34669=""),"-",(326.34669-614.41806)/1919782.20123*100)</f>
        <v>-0.01500541935514525</v>
      </c>
      <c r="G34" s="41">
        <f>IF(OR(2218501.69139="",141.6943="",326.34669=""),"-",(141.6943-326.34669)/2218501.69139*100)</f>
        <v>-0.008323292730252835</v>
      </c>
    </row>
    <row r="35" spans="1:7" s="9" customFormat="1" ht="15.75">
      <c r="A35" s="40" t="s">
        <v>53</v>
      </c>
      <c r="B35" s="41">
        <f>IF(63.81918="","-",63.81918)</f>
        <v>63.81918</v>
      </c>
      <c r="C35" s="41" t="s">
        <v>192</v>
      </c>
      <c r="D35" s="41">
        <f>IF(7.42765="","-",7.42765/2218501.69139*100)</f>
        <v>0.00033480479320014463</v>
      </c>
      <c r="E35" s="41">
        <f>IF(63.81918="","-",63.81918/2294411.91883*100)</f>
        <v>0.0027815049022471786</v>
      </c>
      <c r="F35" s="41">
        <f>IF(OR(1919782.20123="",247.44813="",7.42765=""),"-",(7.42765-247.44813)/1919782.20123*100)</f>
        <v>-0.012502484909289159</v>
      </c>
      <c r="G35" s="41">
        <f>IF(OR(2218501.69139="",63.81918="",7.42765=""),"-",(63.81918-7.42765)/2218501.69139*100)</f>
        <v>0.002541874555194409</v>
      </c>
    </row>
    <row r="36" spans="1:7" s="9" customFormat="1" ht="15.75">
      <c r="A36" s="40" t="s">
        <v>55</v>
      </c>
      <c r="B36" s="41">
        <f>IF(61.68467="","-",61.68467)</f>
        <v>61.68467</v>
      </c>
      <c r="C36" s="41">
        <f>IF(OR(43.16451="",61.68467=""),"-",61.68467/43.16451*100)</f>
        <v>142.90598920270378</v>
      </c>
      <c r="D36" s="41">
        <f>IF(43.16451="","-",43.16451/2218501.69139*100)</f>
        <v>0.0019456604503625744</v>
      </c>
      <c r="E36" s="41">
        <f>IF(61.68467="","-",61.68467/2294411.91883*100)</f>
        <v>0.0026884740919344225</v>
      </c>
      <c r="F36" s="41">
        <f>IF(OR(1919782.20123="",33.01571="",43.16451=""),"-",(43.16451-33.01571)/1919782.20123*100)</f>
        <v>0.0005286433009691249</v>
      </c>
      <c r="G36" s="41">
        <f>IF(OR(2218501.69139="",61.68467="",43.16451=""),"-",(61.68467-43.16451)/2218501.69139*100)</f>
        <v>0.000834804862753844</v>
      </c>
    </row>
    <row r="37" spans="1:7" s="9" customFormat="1" ht="15.75">
      <c r="A37" s="38" t="s">
        <v>175</v>
      </c>
      <c r="B37" s="39">
        <f>IF(354770.32381="","-",354770.32381)</f>
        <v>354770.32381</v>
      </c>
      <c r="C37" s="39">
        <f>IF(348586.66869="","-",354770.32381/348586.66869*100)</f>
        <v>101.77392186087847</v>
      </c>
      <c r="D37" s="39">
        <f>IF(348586.66869="","-",348586.66869/2218501.69139*100)</f>
        <v>15.712706915792046</v>
      </c>
      <c r="E37" s="39">
        <f>IF(354770.32381="","-",354770.32381/2294411.91883*100)</f>
        <v>15.462364054964883</v>
      </c>
      <c r="F37" s="39">
        <f>IF(1919782.20123="","-",(348586.66869-379972.0228)/1919782.20123*100)</f>
        <v>-1.6348393109328463</v>
      </c>
      <c r="G37" s="39">
        <f>IF(2218501.69139="","-",(354770.32381-348586.66869)/2218501.69139*100)</f>
        <v>0.27873114291499995</v>
      </c>
    </row>
    <row r="38" spans="1:7" s="9" customFormat="1" ht="15.75">
      <c r="A38" s="40" t="s">
        <v>159</v>
      </c>
      <c r="B38" s="41">
        <f>IF(202809.7664="","-",202809.7664)</f>
        <v>202809.7664</v>
      </c>
      <c r="C38" s="41">
        <f>IF(OR(182212.58211="",202809.7664=""),"-",202809.7664/182212.58211*100)</f>
        <v>111.3039308545475</v>
      </c>
      <c r="D38" s="41">
        <f>IF(182212.58211="","-",182212.58211/2218501.69139*100)</f>
        <v>8.213317249978516</v>
      </c>
      <c r="E38" s="41">
        <f>IF(202809.7664="","-",202809.7664/2294411.91883*100)</f>
        <v>8.839291878479246</v>
      </c>
      <c r="F38" s="41">
        <f>IF(OR(1919782.20123="",208775.94764="",182212.58211=""),"-",(182212.58211-208775.94764)/1919782.20123*100)</f>
        <v>-1.3836655800319912</v>
      </c>
      <c r="G38" s="41">
        <f>IF(OR(2218501.69139="",202809.7664="",182212.58211=""),"-",(202809.7664-182212.58211)/2218501.69139*100)</f>
        <v>0.9284277028021944</v>
      </c>
    </row>
    <row r="39" spans="1:7" s="9" customFormat="1" ht="15.75">
      <c r="A39" s="40" t="s">
        <v>11</v>
      </c>
      <c r="B39" s="41">
        <f>IF(66637.01021="","-",66637.01021)</f>
        <v>66637.01021</v>
      </c>
      <c r="C39" s="41">
        <f>IF(OR(74835.17236="",66637.01021=""),"-",66637.01021/74835.17236*100)</f>
        <v>89.04504140036966</v>
      </c>
      <c r="D39" s="41">
        <f>IF(74835.17236="","-",74835.17236/2218501.69139*100)</f>
        <v>3.373230349583917</v>
      </c>
      <c r="E39" s="41">
        <f>IF(66637.01021="","-",66637.01021/2294411.91883*100)</f>
        <v>2.9043176451062247</v>
      </c>
      <c r="F39" s="41">
        <f>IF(OR(1919782.20123="",91518.02927="",74835.17236=""),"-",(74835.17236-91518.02927)/1919782.20123*100)</f>
        <v>-0.8689973737287143</v>
      </c>
      <c r="G39" s="41">
        <f>IF(OR(2218501.69139="",66637.01021="",74835.17236=""),"-",(66637.01021-74835.17236)/2218501.69139*100)</f>
        <v>-0.3695359882670837</v>
      </c>
    </row>
    <row r="40" spans="1:7" s="9" customFormat="1" ht="14.25" customHeight="1">
      <c r="A40" s="40" t="s">
        <v>12</v>
      </c>
      <c r="B40" s="41">
        <f>IF(65619.29269="","-",65619.29269)</f>
        <v>65619.29269</v>
      </c>
      <c r="C40" s="41">
        <f>IF(OR(67148.13339="",65619.29269=""),"-",65619.29269/67148.13339*100)</f>
        <v>97.72318213058819</v>
      </c>
      <c r="D40" s="41">
        <f>IF(67148.13339="","-",67148.13339/2218501.69139*100)</f>
        <v>3.026733477400615</v>
      </c>
      <c r="E40" s="41">
        <f>IF(65619.29269="","-",65619.29269/2294411.91883*100)</f>
        <v>2.8599612890549118</v>
      </c>
      <c r="F40" s="41">
        <f>IF(OR(1919782.20123="",54269.70948="",67148.13339=""),"-",(67148.13339-54269.70948)/1919782.20123*100)</f>
        <v>0.6708273418593437</v>
      </c>
      <c r="G40" s="41">
        <f>IF(OR(2218501.69139="",65619.29269="",67148.13339=""),"-",(65619.29269-67148.13339)/2218501.69139*100)</f>
        <v>-0.06891320867292679</v>
      </c>
    </row>
    <row r="41" spans="1:7" s="13" customFormat="1" ht="14.25" customHeight="1">
      <c r="A41" s="40" t="s">
        <v>13</v>
      </c>
      <c r="B41" s="41">
        <f>IF(8404.13061="","-",8404.13061)</f>
        <v>8404.13061</v>
      </c>
      <c r="C41" s="41">
        <f>IF(OR(14491.88235="",8404.13061=""),"-",8404.13061/14491.88235*100)</f>
        <v>57.991987562609495</v>
      </c>
      <c r="D41" s="41">
        <f>IF(14491.88235="","-",14491.88235/2218501.69139*100)</f>
        <v>0.6532283660744079</v>
      </c>
      <c r="E41" s="41">
        <f>IF(8404.13061="","-",8404.13061/2294411.91883*100)</f>
        <v>0.3662869139158568</v>
      </c>
      <c r="F41" s="41">
        <f>IF(OR(1919782.20123="",13770.28686="",14491.88235=""),"-",(14491.88235-13770.28686)/1919782.20123*100)</f>
        <v>0.03758736222982353</v>
      </c>
      <c r="G41" s="41">
        <f>IF(OR(2218501.69139="",8404.13061="",14491.88235=""),"-",(8404.13061-14491.88235)/2218501.69139*100)</f>
        <v>-0.27440825326510004</v>
      </c>
    </row>
    <row r="42" spans="1:7" s="13" customFormat="1" ht="14.25" customHeight="1">
      <c r="A42" s="40" t="s">
        <v>14</v>
      </c>
      <c r="B42" s="41">
        <f>IF(3928.83473="","-",3928.83473)</f>
        <v>3928.83473</v>
      </c>
      <c r="C42" s="41">
        <f>IF(OR(3556.20312="",3928.83473=""),"-",3928.83473/3556.20312*100)</f>
        <v>110.47835563453417</v>
      </c>
      <c r="D42" s="41">
        <f>IF(3556.20312="","-",3556.20312/2218501.69139*100)</f>
        <v>0.1602975167340019</v>
      </c>
      <c r="E42" s="41">
        <f>IF(3928.83473="","-",3928.83473/2294411.91883*100)</f>
        <v>0.1712349337865822</v>
      </c>
      <c r="F42" s="41">
        <f>IF(OR(1919782.20123="",4299.8266="",3556.20312=""),"-",(3556.20312-4299.8266)/1919782.20123*100)</f>
        <v>-0.03873478353552619</v>
      </c>
      <c r="G42" s="41">
        <f>IF(OR(2218501.69139="",3928.83473="",3556.20312=""),"-",(3928.83473-3556.20312)/2218501.69139*100)</f>
        <v>0.01679654387671564</v>
      </c>
    </row>
    <row r="43" spans="1:7" s="13" customFormat="1" ht="14.25" customHeight="1">
      <c r="A43" s="40" t="s">
        <v>17</v>
      </c>
      <c r="B43" s="41">
        <f>IF(3303.85509="","-",3303.85509)</f>
        <v>3303.85509</v>
      </c>
      <c r="C43" s="41" t="s">
        <v>20</v>
      </c>
      <c r="D43" s="41">
        <f>IF(1640.27304="","-",1640.27304/2218501.69139*100)</f>
        <v>0.0739360734483952</v>
      </c>
      <c r="E43" s="41">
        <f>IF(3303.85509="","-",3303.85509/2294411.91883*100)</f>
        <v>0.14399572556634688</v>
      </c>
      <c r="F43" s="41">
        <f>IF(OR(1919782.20123="",843.96477="",1640.27304=""),"-",(1640.27304-843.96477)/1919782.20123*100)</f>
        <v>0.04147909432068946</v>
      </c>
      <c r="G43" s="41">
        <f>IF(OR(2218501.69139="",3303.85509="",1640.27304=""),"-",(3303.85509-1640.27304)/2218501.69139*100)</f>
        <v>0.07498673796176754</v>
      </c>
    </row>
    <row r="44" spans="1:7" s="13" customFormat="1" ht="14.25" customHeight="1">
      <c r="A44" s="40" t="s">
        <v>15</v>
      </c>
      <c r="B44" s="41">
        <f>IF(2554.45641="","-",2554.45641)</f>
        <v>2554.45641</v>
      </c>
      <c r="C44" s="41">
        <f>IF(OR(2956.88836="",2554.45641=""),"-",2554.45641/2956.88836*100)</f>
        <v>86.39001879665149</v>
      </c>
      <c r="D44" s="41">
        <f>IF(2956.88836="","-",2956.88836/2218501.69139*100)</f>
        <v>0.13328312398749467</v>
      </c>
      <c r="E44" s="41">
        <f>IF(2554.45641="","-",2554.45641/2294411.91883*100)</f>
        <v>0.11133381887689137</v>
      </c>
      <c r="F44" s="41">
        <f>IF(OR(1919782.20123="",4746.9065="",2956.88836=""),"-",(2956.88836-4746.9065)/1919782.20123*100)</f>
        <v>-0.09324068838919017</v>
      </c>
      <c r="G44" s="41">
        <f>IF(OR(2218501.69139="",2554.45641="",2956.88836=""),"-",(2554.45641-2956.88836)/2218501.69139*100)</f>
        <v>-0.01813980812193372</v>
      </c>
    </row>
    <row r="45" spans="1:7" s="11" customFormat="1" ht="14.25" customHeight="1">
      <c r="A45" s="40" t="s">
        <v>136</v>
      </c>
      <c r="B45" s="41">
        <f>IF(817.7545="","-",817.7545)</f>
        <v>817.7545</v>
      </c>
      <c r="C45" s="41">
        <f>IF(OR(888.617="",817.7545=""),"-",817.7545/888.617*100)</f>
        <v>92.02552955885382</v>
      </c>
      <c r="D45" s="41">
        <f>IF(888.617="","-",888.617/2218501.69139*100)</f>
        <v>0.04005482634738213</v>
      </c>
      <c r="E45" s="41">
        <f>IF(817.7545="","-",817.7545/2294411.91883*100)</f>
        <v>0.0356411372033406</v>
      </c>
      <c r="F45" s="41">
        <f>IF(OR(1919782.20123="",866.87937="",888.617=""),"-",(888.617-866.87937)/1919782.20123*100)</f>
        <v>0.00113229667334517</v>
      </c>
      <c r="G45" s="41">
        <f>IF(OR(2218501.69139="",817.7545="",888.617=""),"-",(817.7545-888.617)/2218501.69139*100)</f>
        <v>-0.003194160287324421</v>
      </c>
    </row>
    <row r="46" spans="1:7" s="13" customFormat="1" ht="14.25" customHeight="1">
      <c r="A46" s="40" t="s">
        <v>16</v>
      </c>
      <c r="B46" s="41">
        <f>IF(554.18406="","-",554.18406)</f>
        <v>554.18406</v>
      </c>
      <c r="C46" s="41">
        <f>IF(OR(552.3187="",554.18406=""),"-",554.18406/552.3187*100)</f>
        <v>100.3377325446341</v>
      </c>
      <c r="D46" s="41">
        <f>IF(552.3187="","-",552.3187/2218501.69139*100)</f>
        <v>0.024896023390180304</v>
      </c>
      <c r="E46" s="41">
        <f>IF(554.18406="","-",554.18406/2294411.91883*100)</f>
        <v>0.024153642833349545</v>
      </c>
      <c r="F46" s="41">
        <f>IF(OR(1919782.20123="",507.9163="",552.3187=""),"-",(552.3187-507.9163)/1919782.20123*100)</f>
        <v>0.002312887366678967</v>
      </c>
      <c r="G46" s="41">
        <f>IF(OR(2218501.69139="",554.18406="",552.3187=""),"-",(554.18406-552.3187)/2218501.69139*100)</f>
        <v>8.408197330835797E-05</v>
      </c>
    </row>
    <row r="47" spans="1:7" s="11" customFormat="1" ht="14.25" customHeight="1">
      <c r="A47" s="40" t="s">
        <v>18</v>
      </c>
      <c r="B47" s="41">
        <f>IF(141.03911="","-",141.03911)</f>
        <v>141.03911</v>
      </c>
      <c r="C47" s="41">
        <f>IF(OR(304.59826="",141.03911=""),"-",141.03911/304.59826*100)</f>
        <v>46.303320971039035</v>
      </c>
      <c r="D47" s="41">
        <f>IF(304.59826="","-",304.59826/2218501.69139*100)</f>
        <v>0.013729908847135217</v>
      </c>
      <c r="E47" s="41">
        <f>IF(141.03911="","-",141.03911/2294411.91883*100)</f>
        <v>0.0061470701421356255</v>
      </c>
      <c r="F47" s="41">
        <f>IF(OR(1919782.20123="",372.55601="",304.59826=""),"-",(304.59826-372.55601)/1919782.20123*100)</f>
        <v>-0.0035398676973075207</v>
      </c>
      <c r="G47" s="41">
        <f>IF(OR(2218501.69139="",141.03911="",304.59826=""),"-",(141.03911-304.59826)/2218501.69139*100)</f>
        <v>-0.0073725050846151115</v>
      </c>
    </row>
    <row r="48" spans="1:7" s="11" customFormat="1" ht="14.25" customHeight="1">
      <c r="A48" s="38" t="s">
        <v>170</v>
      </c>
      <c r="B48" s="39">
        <f>IF(436280.83566="","-",436280.83566)</f>
        <v>436280.83566</v>
      </c>
      <c r="C48" s="39">
        <f>IF(328453.61346="","-",436280.83566/328453.61346*100)</f>
        <v>132.8287520006631</v>
      </c>
      <c r="D48" s="39">
        <f>IF(328453.61346="","-",328453.61346/2218501.69139*100)</f>
        <v>14.805200047163714</v>
      </c>
      <c r="E48" s="39">
        <f>IF(436280.83566="","-",436280.83566/2294411.91883*100)</f>
        <v>19.01493067044712</v>
      </c>
      <c r="F48" s="39">
        <f>IF(1919782.20123="","-",(328453.61346-285475.57277)/1919782.20123*100)</f>
        <v>2.238693569638476</v>
      </c>
      <c r="G48" s="39">
        <f>IF(2218501.69139="","-",(436280.83566-328453.61346)/2218501.69139*100)</f>
        <v>4.86036240668543</v>
      </c>
    </row>
    <row r="49" spans="1:7" s="11" customFormat="1" ht="14.25" customHeight="1">
      <c r="A49" s="40" t="s">
        <v>57</v>
      </c>
      <c r="B49" s="41">
        <f>IF(158573.431="","-",158573.431)</f>
        <v>158573.431</v>
      </c>
      <c r="C49" s="41" t="s">
        <v>168</v>
      </c>
      <c r="D49" s="41">
        <f>IF(71661.43447="","-",71661.43447/2218501.69139*100)</f>
        <v>3.2301726317414077</v>
      </c>
      <c r="E49" s="41">
        <f>IF(158573.431="","-",158573.431/2294411.91883*100)</f>
        <v>6.911288670469516</v>
      </c>
      <c r="F49" s="41">
        <f>IF(OR(1919782.20123="",76742.33561="",71661.43447=""),"-",(71661.43447-76742.33561)/1919782.20123*100)</f>
        <v>-0.26466028994042556</v>
      </c>
      <c r="G49" s="41">
        <f>IF(OR(2218501.69139="",158573.431="",71661.43447=""),"-",(158573.431-71661.43447)/2218501.69139*100)</f>
        <v>3.9175988401228308</v>
      </c>
    </row>
    <row r="50" spans="1:7" s="11" customFormat="1" ht="14.25" customHeight="1">
      <c r="A50" s="40" t="s">
        <v>161</v>
      </c>
      <c r="B50" s="41">
        <f>IF(68824.1839="","-",68824.1839)</f>
        <v>68824.1839</v>
      </c>
      <c r="C50" s="41" t="s">
        <v>135</v>
      </c>
      <c r="D50" s="41">
        <f>IF(44814.10232="","-",44814.10232/2218501.69139*100)</f>
        <v>2.0200165947099986</v>
      </c>
      <c r="E50" s="41">
        <f>IF(68824.1839="","-",68824.1839/2294411.91883*100)</f>
        <v>2.9996437577388386</v>
      </c>
      <c r="F50" s="41">
        <f>IF(OR(1919782.20123="",28966.48527="",44814.10232=""),"-",(44814.10232-28966.48527)/1919782.20123*100)</f>
        <v>0.8254903623883201</v>
      </c>
      <c r="G50" s="41">
        <f>IF(OR(2218501.69139="",68824.1839="",44814.10232=""),"-",(68824.1839-44814.10232)/2218501.69139*100)</f>
        <v>1.082265642310893</v>
      </c>
    </row>
    <row r="51" spans="1:7" s="11" customFormat="1" ht="14.25" customHeight="1">
      <c r="A51" s="40" t="s">
        <v>19</v>
      </c>
      <c r="B51" s="41">
        <f>IF(20474.18055="","-",20474.18055)</f>
        <v>20474.18055</v>
      </c>
      <c r="C51" s="41">
        <f>IF(OR(17855.76366="",20474.18055=""),"-",20474.18055/17855.76366*100)</f>
        <v>114.66426717926217</v>
      </c>
      <c r="D51" s="41">
        <f>IF(17855.76366="","-",17855.76366/2218501.69139*100)</f>
        <v>0.8048568873892763</v>
      </c>
      <c r="E51" s="41">
        <f>IF(20474.18055="","-",20474.18055/2294411.91883*100)</f>
        <v>0.8923498166118531</v>
      </c>
      <c r="F51" s="41">
        <f>IF(OR(1919782.20123="",15044.81293="",17855.76366=""),"-",(17855.76366-15044.81293)/1919782.20123*100)</f>
        <v>0.14642029331238882</v>
      </c>
      <c r="G51" s="41">
        <f>IF(OR(2218501.69139="",20474.18055="",17855.76366=""),"-",(20474.18055-17855.76366)/2218501.69139*100)</f>
        <v>0.11802636437745666</v>
      </c>
    </row>
    <row r="52" spans="1:7" s="9" customFormat="1" ht="15.75">
      <c r="A52" s="40" t="s">
        <v>59</v>
      </c>
      <c r="B52" s="41">
        <f>IF(17267.84419="","-",17267.84419)</f>
        <v>17267.84419</v>
      </c>
      <c r="C52" s="41">
        <f>IF(OR(17734.50035="",17267.84419=""),"-",17267.84419/17734.50035*100)</f>
        <v>97.36865346758981</v>
      </c>
      <c r="D52" s="41">
        <f>IF(17734.50035="","-",17734.50035/2218501.69139*100)</f>
        <v>0.7993908870490184</v>
      </c>
      <c r="E52" s="41">
        <f>IF(17267.84419="","-",17267.84419/2294411.91883*100)</f>
        <v>0.7526043622892908</v>
      </c>
      <c r="F52" s="41">
        <f>IF(OR(1919782.20123="",14573.40519="",17734.50035=""),"-",(17734.50035-14573.40519)/1919782.20123*100)</f>
        <v>0.16465905132231629</v>
      </c>
      <c r="G52" s="41">
        <f>IF(OR(2218501.69139="",17267.84419="",17734.50035=""),"-",(17267.84419-17734.50035)/2218501.69139*100)</f>
        <v>-0.02103474438676744</v>
      </c>
    </row>
    <row r="53" spans="1:7" s="9" customFormat="1" ht="15.75">
      <c r="A53" s="40" t="s">
        <v>60</v>
      </c>
      <c r="B53" s="41">
        <f>IF(14407.51174="","-",14407.51174)</f>
        <v>14407.51174</v>
      </c>
      <c r="C53" s="41">
        <f>IF(OR(14906.97913="",14407.51174=""),"-",14407.51174/14906.97913*100)</f>
        <v>96.64943926167555</v>
      </c>
      <c r="D53" s="41">
        <f>IF(14906.97913="","-",14906.97913/2218501.69139*100)</f>
        <v>0.6719390473243249</v>
      </c>
      <c r="E53" s="41">
        <f>IF(14407.51174="","-",14407.51174/2294411.91883*100)</f>
        <v>0.6279391953013777</v>
      </c>
      <c r="F53" s="41">
        <f>IF(OR(1919782.20123="",14789.9454="",14906.97913=""),"-",(14906.97913-14789.9454)/1919782.20123*100)</f>
        <v>0.006096198304423072</v>
      </c>
      <c r="G53" s="41">
        <f>IF(OR(2218501.69139="",14407.51174="",14906.97913=""),"-",(14407.51174-14906.97913)/2218501.69139*100)</f>
        <v>-0.022513725905120182</v>
      </c>
    </row>
    <row r="54" spans="1:7" s="9" customFormat="1" ht="15.75">
      <c r="A54" s="40" t="s">
        <v>137</v>
      </c>
      <c r="B54" s="41">
        <f>IF(11393.55253="","-",11393.55253)</f>
        <v>11393.55253</v>
      </c>
      <c r="C54" s="41" t="s">
        <v>266</v>
      </c>
      <c r="D54" s="41">
        <f>IF(2310.30496="","-",2310.30496/2218501.69139*100)</f>
        <v>0.10413807521383862</v>
      </c>
      <c r="E54" s="41">
        <f>IF(11393.55253="","-",11393.55253/2294411.91883*100)</f>
        <v>0.4965783361084512</v>
      </c>
      <c r="F54" s="41">
        <f>IF(OR(1919782.20123="",5000.26374="",2310.30496=""),"-",(2310.30496-5000.26374)/1919782.20123*100)</f>
        <v>-0.1401179143278102</v>
      </c>
      <c r="G54" s="41">
        <f>IF(OR(2218501.69139="",11393.55253="",2310.30496=""),"-",(11393.55253-2310.30496)/2218501.69139*100)</f>
        <v>0.4094316269963672</v>
      </c>
    </row>
    <row r="55" spans="1:7" s="12" customFormat="1" ht="15.75">
      <c r="A55" s="40" t="s">
        <v>61</v>
      </c>
      <c r="B55" s="41">
        <f>IF(11161.23548="","-",11161.23548)</f>
        <v>11161.23548</v>
      </c>
      <c r="C55" s="41">
        <f>IF(OR(12438.68073="",11161.23548=""),"-",11161.23548/12438.68073*100)</f>
        <v>89.7300583741247</v>
      </c>
      <c r="D55" s="41">
        <f>IF(12438.68073="","-",12438.68073/2218501.69139*100)</f>
        <v>0.5606793440038605</v>
      </c>
      <c r="E55" s="41">
        <f>IF(11161.23548="","-",11161.23548/2294411.91883*100)</f>
        <v>0.48645299426841804</v>
      </c>
      <c r="F55" s="41">
        <f>IF(OR(1919782.20123="",7176.69949="",12438.68073=""),"-",(12438.68073-7176.69949)/1919782.20123*100)</f>
        <v>0.274092615122104</v>
      </c>
      <c r="G55" s="41">
        <f>IF(OR(2218501.69139="",11161.23548="",12438.68073=""),"-",(11161.23548-12438.68073)/2218501.69139*100)</f>
        <v>-0.057581441337537086</v>
      </c>
    </row>
    <row r="56" spans="1:7" s="14" customFormat="1" ht="15.75">
      <c r="A56" s="40" t="s">
        <v>66</v>
      </c>
      <c r="B56" s="41">
        <f>IF(10916.25196="","-",10916.25196)</f>
        <v>10916.25196</v>
      </c>
      <c r="C56" s="41" t="s">
        <v>20</v>
      </c>
      <c r="D56" s="41">
        <f>IF(5568.57223="","-",5568.57223/2218501.69139*100)</f>
        <v>0.2510059943434624</v>
      </c>
      <c r="E56" s="41">
        <f>IF(10916.25196="","-",10916.25196/2294411.91883*100)</f>
        <v>0.4757755950625716</v>
      </c>
      <c r="F56" s="41">
        <f>IF(OR(1919782.20123="",4296.82077="",5568.57223=""),"-",(5568.57223-4296.82077)/1919782.20123*100)</f>
        <v>0.06624456978428028</v>
      </c>
      <c r="G56" s="41">
        <f>IF(OR(2218501.69139="",10916.25196="",5568.57223=""),"-",(10916.25196-5568.57223)/2218501.69139*100)</f>
        <v>0.2410491617272294</v>
      </c>
    </row>
    <row r="57" spans="1:7" s="9" customFormat="1" ht="15.75">
      <c r="A57" s="40" t="s">
        <v>62</v>
      </c>
      <c r="B57" s="41">
        <f>IF(8608.51206="","-",8608.51206)</f>
        <v>8608.51206</v>
      </c>
      <c r="C57" s="41">
        <f>IF(OR(7147.25497="",8608.51206=""),"-",8608.51206/7147.25497*100)</f>
        <v>120.44501135237937</v>
      </c>
      <c r="D57" s="41">
        <f>IF(7147.25497="","-",7147.25497/2218501.69139*100)</f>
        <v>0.3221658562505713</v>
      </c>
      <c r="E57" s="41">
        <f>IF(8608.51206="","-",8608.51206/2294411.91883*100)</f>
        <v>0.37519470629274704</v>
      </c>
      <c r="F57" s="41">
        <f>IF(OR(1919782.20123="",5905.93634="",7147.25497=""),"-",(7147.25497-5905.93634)/1919782.20123*100)</f>
        <v>0.06465934673238921</v>
      </c>
      <c r="G57" s="41">
        <f>IF(OR(2218501.69139="",8608.51206="",7147.25497=""),"-",(8608.51206-7147.25497)/2218501.69139*100)</f>
        <v>0.06586684588391953</v>
      </c>
    </row>
    <row r="58" spans="1:7" s="14" customFormat="1" ht="15.75">
      <c r="A58" s="40" t="s">
        <v>58</v>
      </c>
      <c r="B58" s="41">
        <f>IF(7914.93943="","-",7914.93943)</f>
        <v>7914.93943</v>
      </c>
      <c r="C58" s="41">
        <f>IF(OR(10180.46486="",7914.93943=""),"-",7914.93943/10180.46486*100)</f>
        <v>77.74634595615116</v>
      </c>
      <c r="D58" s="41">
        <f>IF(10180.46486="","-",10180.46486/2218501.69139*100)</f>
        <v>0.45888920885254947</v>
      </c>
      <c r="E58" s="41">
        <f>IF(7914.93943="","-",7914.93943/2294411.91883*100)</f>
        <v>0.3449659307050716</v>
      </c>
      <c r="F58" s="41">
        <f>IF(OR(1919782.20123="",11934.61383="",10180.46486=""),"-",(10180.46486-11934.61383)/1919782.20123*100)</f>
        <v>-0.0913722905065023</v>
      </c>
      <c r="G58" s="41">
        <f>IF(OR(2218501.69139="",7914.93943="",10180.46486=""),"-",(7914.93943-10180.46486)/2218501.69139*100)</f>
        <v>-0.10211961698260132</v>
      </c>
    </row>
    <row r="59" spans="1:7" s="12" customFormat="1" ht="15.75">
      <c r="A59" s="40" t="s">
        <v>67</v>
      </c>
      <c r="B59" s="41">
        <f>IF(7156.21127="","-",7156.21127)</f>
        <v>7156.21127</v>
      </c>
      <c r="C59" s="41">
        <f>IF(OR(18260.98685="",7156.21127=""),"-",7156.21127/18260.98685*100)</f>
        <v>39.188524304753</v>
      </c>
      <c r="D59" s="41">
        <f>IF(18260.98685="","-",18260.98685/2218501.69139*100)</f>
        <v>0.8231225119579962</v>
      </c>
      <c r="E59" s="41">
        <f>IF(7156.21127="","-",7156.21127/2294411.91883*100)</f>
        <v>0.3118974065323545</v>
      </c>
      <c r="F59" s="41">
        <f>IF(OR(1919782.20123="",7394.69773="",18260.98685=""),"-",(18260.98685-7394.69773)/1919782.20123*100)</f>
        <v>0.5660167654975651</v>
      </c>
      <c r="G59" s="41">
        <f>IF(OR(2218501.69139="",7156.21127="",18260.98685=""),"-",(7156.21127-18260.98685)/2218501.69139*100)</f>
        <v>-0.5005529463014435</v>
      </c>
    </row>
    <row r="60" spans="1:7" s="9" customFormat="1" ht="15.75">
      <c r="A60" s="40" t="s">
        <v>69</v>
      </c>
      <c r="B60" s="41">
        <f>IF(6168.77351="","-",6168.77351)</f>
        <v>6168.77351</v>
      </c>
      <c r="C60" s="41" t="s">
        <v>106</v>
      </c>
      <c r="D60" s="41">
        <f>IF(3572.75741="","-",3572.75741/2218501.69139*100)</f>
        <v>0.16104370908824925</v>
      </c>
      <c r="E60" s="41">
        <f>IF(6168.77351="","-",6168.77351/2294411.91883*100)</f>
        <v>0.26886076817216287</v>
      </c>
      <c r="F60" s="41">
        <f>IF(OR(1919782.20123="",4088.39892="",3572.75741=""),"-",(3572.75741-4088.39892)/1919782.20123*100)</f>
        <v>-0.026859375489033582</v>
      </c>
      <c r="G60" s="41">
        <f>IF(OR(2218501.69139="",6168.77351="",3572.75741=""),"-",(6168.77351-3572.75741)/2218501.69139*100)</f>
        <v>0.11701663830481324</v>
      </c>
    </row>
    <row r="61" spans="1:7" s="9" customFormat="1" ht="15.75">
      <c r="A61" s="40" t="s">
        <v>63</v>
      </c>
      <c r="B61" s="41">
        <f>IF(5687.42598="","-",5687.42598)</f>
        <v>5687.42598</v>
      </c>
      <c r="C61" s="41">
        <f>IF(OR(4124.50043="",5687.42598=""),"-",5687.42598/4124.50043*100)</f>
        <v>137.8936934672595</v>
      </c>
      <c r="D61" s="41">
        <f>IF(4124.50043="","-",4124.50043/2218501.69139*100)</f>
        <v>0.1859137834335298</v>
      </c>
      <c r="E61" s="41">
        <f>IF(5687.42598="","-",5687.42598/2294411.91883*100)</f>
        <v>0.2478816438026619</v>
      </c>
      <c r="F61" s="41">
        <f>IF(OR(1919782.20123="",3228.58472="",4124.50043=""),"-",(4124.50043-3228.58472)/1919782.20123*100)</f>
        <v>0.046667570385119164</v>
      </c>
      <c r="G61" s="41">
        <f>IF(OR(2218501.69139="",5687.42598="",4124.50043=""),"-",(5687.42598-4124.50043)/2218501.69139*100)</f>
        <v>0.07044959920768645</v>
      </c>
    </row>
    <row r="62" spans="1:7" s="14" customFormat="1" ht="15.75">
      <c r="A62" s="40" t="s">
        <v>138</v>
      </c>
      <c r="B62" s="41">
        <f>IF(3056.10171="","-",3056.10171)</f>
        <v>3056.10171</v>
      </c>
      <c r="C62" s="41" t="s">
        <v>267</v>
      </c>
      <c r="D62" s="41">
        <f>IF(61.34355="","-",61.34355/2218501.69139*100)</f>
        <v>0.002765089169779504</v>
      </c>
      <c r="E62" s="41">
        <f>IF(3056.10171="","-",3056.10171/2294411.91883*100)</f>
        <v>0.13319760435861108</v>
      </c>
      <c r="F62" s="41">
        <f>IF(OR(1919782.20123="",1251.1606="",61.34355=""),"-",(61.34355-1251.1606)/1919782.20123*100)</f>
        <v>-0.061976668459457894</v>
      </c>
      <c r="G62" s="41">
        <f>IF(OR(2218501.69139="",3056.10171="",61.34355=""),"-",(3056.10171-61.34355)/2218501.69139*100)</f>
        <v>0.1349901229114519</v>
      </c>
    </row>
    <row r="63" spans="1:7" s="9" customFormat="1" ht="15.75">
      <c r="A63" s="40" t="s">
        <v>71</v>
      </c>
      <c r="B63" s="41">
        <f>IF(2722.79827="","-",2722.79827)</f>
        <v>2722.79827</v>
      </c>
      <c r="C63" s="41" t="s">
        <v>176</v>
      </c>
      <c r="D63" s="41">
        <f>IF(1396.67112="","-",1396.67112/2218501.69139*100)</f>
        <v>0.06295560311810793</v>
      </c>
      <c r="E63" s="41">
        <f>IF(2722.79827="","-",2722.79827/2294411.91883*100)</f>
        <v>0.11867085625097559</v>
      </c>
      <c r="F63" s="41">
        <f>IF(OR(1919782.20123="",1081.39834="",1396.67112=""),"-",(1396.67112-1081.39834)/1919782.20123*100)</f>
        <v>0.016422320188092455</v>
      </c>
      <c r="G63" s="41">
        <f>IF(OR(2218501.69139="",2722.79827="",1396.67112=""),"-",(2722.79827-1396.67112)/2218501.69139*100)</f>
        <v>0.05977580071931865</v>
      </c>
    </row>
    <row r="64" spans="1:7" s="12" customFormat="1" ht="15.75">
      <c r="A64" s="40" t="s">
        <v>38</v>
      </c>
      <c r="B64" s="41">
        <f>IF(2587.84366="","-",2587.84366)</f>
        <v>2587.84366</v>
      </c>
      <c r="C64" s="41">
        <f>IF(OR(6011.18924="",2587.84366=""),"-",2587.84366/6011.18924*100)</f>
        <v>43.05044404158536</v>
      </c>
      <c r="D64" s="41">
        <f>IF(6011.18924="","-",6011.18924/2218501.69139*100)</f>
        <v>0.2709571628153096</v>
      </c>
      <c r="E64" s="41">
        <f>IF(2587.84366="","-",2587.84366/2294411.91883*100)</f>
        <v>0.11278897388746269</v>
      </c>
      <c r="F64" s="41">
        <f>IF(OR(1919782.20123="",3382.83234="",6011.18924=""),"-",(6011.18924-3382.83234)/1919782.20123*100)</f>
        <v>0.13690911908215514</v>
      </c>
      <c r="G64" s="41">
        <f>IF(OR(2218501.69139="",2587.84366="",6011.18924=""),"-",(2587.84366-6011.18924)/2218501.69139*100)</f>
        <v>-0.15430890106083742</v>
      </c>
    </row>
    <row r="65" spans="1:7" s="9" customFormat="1" ht="15.75">
      <c r="A65" s="40" t="s">
        <v>64</v>
      </c>
      <c r="B65" s="41">
        <f>IF(2348.39035="","-",2348.39035)</f>
        <v>2348.39035</v>
      </c>
      <c r="C65" s="41" t="s">
        <v>105</v>
      </c>
      <c r="D65" s="41">
        <f>IF(1274.50041="","-",1274.50041/2218501.69139*100)</f>
        <v>0.05744870129900435</v>
      </c>
      <c r="E65" s="41">
        <f>IF(2348.39035="","-",2348.39035/2294411.91883*100)</f>
        <v>0.10235260420010048</v>
      </c>
      <c r="F65" s="41">
        <f>IF(OR(1919782.20123="",1229.76969="",1274.50041=""),"-",(1274.50041-1229.76969)/1919782.20123*100)</f>
        <v>0.002329989306669327</v>
      </c>
      <c r="G65" s="41">
        <f>IF(OR(2218501.69139="",2348.39035="",1274.50041=""),"-",(2348.39035-1274.50041)/2218501.69139*100)</f>
        <v>0.04840609065874344</v>
      </c>
    </row>
    <row r="66" spans="1:7" s="12" customFormat="1" ht="15.75">
      <c r="A66" s="40" t="s">
        <v>87</v>
      </c>
      <c r="B66" s="41">
        <f>IF(1915.06864="","-",1915.06864)</f>
        <v>1915.06864</v>
      </c>
      <c r="C66" s="41">
        <f>IF(OR(1657.78746="",1915.06864=""),"-",1915.06864/1657.78746*100)</f>
        <v>115.51955158353049</v>
      </c>
      <c r="D66" s="41">
        <f>IF(1657.78746="","-",1657.78746/2218501.69139*100)</f>
        <v>0.07472554411086858</v>
      </c>
      <c r="E66" s="41">
        <f>IF(1915.06864="","-",1915.06864/2294411.91883*100)</f>
        <v>0.08346664451501629</v>
      </c>
      <c r="F66" s="41">
        <f>IF(OR(1919782.20123="",716.27311="",1657.78746=""),"-",(1657.78746-716.27311)/1919782.20123*100)</f>
        <v>0.04904276898685559</v>
      </c>
      <c r="G66" s="41">
        <f>IF(OR(2218501.69139="",1915.06864="",1657.78746=""),"-",(1915.06864-1657.78746)/2218501.69139*100)</f>
        <v>0.011597069364360084</v>
      </c>
    </row>
    <row r="67" spans="1:7" s="9" customFormat="1" ht="15.75">
      <c r="A67" s="40" t="s">
        <v>76</v>
      </c>
      <c r="B67" s="41">
        <f>IF(1727.61902="","-",1727.61902)</f>
        <v>1727.61902</v>
      </c>
      <c r="C67" s="41">
        <f>IF(OR(11422.66023="",1727.61902=""),"-",1727.61902/11422.66023*100)</f>
        <v>15.124489262690782</v>
      </c>
      <c r="D67" s="41">
        <f>IF(11422.66023="","-",11422.66023/2218501.69139*100)</f>
        <v>0.5148817453838921</v>
      </c>
      <c r="E67" s="41">
        <f>IF(1727.61902="","-",1727.61902/2294411.91883*100)</f>
        <v>0.0752968116065651</v>
      </c>
      <c r="F67" s="41">
        <f>IF(OR(1919782.20123="",2142.40049="",11422.66023=""),"-",(11422.66023-2142.40049)/1919782.20123*100)</f>
        <v>0.4834016970286608</v>
      </c>
      <c r="G67" s="41">
        <f>IF(OR(2218501.69139="",1727.61902="",11422.66023=""),"-",(1727.61902-11422.66023)/2218501.69139*100)</f>
        <v>-0.4370085110877505</v>
      </c>
    </row>
    <row r="68" spans="1:7" s="12" customFormat="1" ht="15.75">
      <c r="A68" s="40" t="s">
        <v>77</v>
      </c>
      <c r="B68" s="41">
        <f>IF(1510.39452="","-",1510.39452)</f>
        <v>1510.39452</v>
      </c>
      <c r="C68" s="41">
        <f>IF(OR(1387.07023="",1510.39452=""),"-",1510.39452/1387.07023*100)</f>
        <v>108.89099104953036</v>
      </c>
      <c r="D68" s="41">
        <f>IF(1387.07023="","-",1387.07023/2218501.69139*100)</f>
        <v>0.0625228385167889</v>
      </c>
      <c r="E68" s="41">
        <f>IF(1510.39452="","-",1510.39452/2294411.91883*100)</f>
        <v>0.06582926577413364</v>
      </c>
      <c r="F68" s="41">
        <f>IF(OR(1919782.20123="",974.36421="",1387.07023=""),"-",(1387.07023-974.36421)/1919782.20123*100)</f>
        <v>0.021497543822188804</v>
      </c>
      <c r="G68" s="41">
        <f>IF(OR(2218501.69139="",1510.39452="",1387.07023=""),"-",(1510.39452-1387.07023)/2218501.69139*100)</f>
        <v>0.005558899976440015</v>
      </c>
    </row>
    <row r="69" spans="1:7" s="9" customFormat="1" ht="15.75">
      <c r="A69" s="40" t="s">
        <v>40</v>
      </c>
      <c r="B69" s="41">
        <f>IF(1443.63853="","-",1443.63853)</f>
        <v>1443.63853</v>
      </c>
      <c r="C69" s="41">
        <f>IF(OR(1142.48452="",1443.63853=""),"-",1443.63853/1142.48452*100)</f>
        <v>126.3595702810923</v>
      </c>
      <c r="D69" s="41">
        <f>IF(1142.48452="","-",1142.48452/2218501.69139*100)</f>
        <v>0.05149802339272402</v>
      </c>
      <c r="E69" s="41">
        <f>IF(1443.63853="","-",1443.63853/2294411.91883*100)</f>
        <v>0.06291976249566213</v>
      </c>
      <c r="F69" s="41">
        <f>IF(OR(1919782.20123="",131.43172="",1142.48452=""),"-",(1142.48452-131.43172)/1919782.20123*100)</f>
        <v>0.05266497414926656</v>
      </c>
      <c r="G69" s="41">
        <f>IF(OR(2218501.69139="",1443.63853="",1142.48452=""),"-",(1443.63853-1142.48452)/2218501.69139*100)</f>
        <v>0.013574657669578436</v>
      </c>
    </row>
    <row r="70" spans="1:7" s="9" customFormat="1" ht="15.75">
      <c r="A70" s="40" t="s">
        <v>78</v>
      </c>
      <c r="B70" s="41">
        <f>IF(1389.4716="","-",1389.4716)</f>
        <v>1389.4716</v>
      </c>
      <c r="C70" s="41">
        <f>IF(OR(1239.26758="",1389.4716=""),"-",1389.4716/1239.26758*100)</f>
        <v>112.12038646246198</v>
      </c>
      <c r="D70" s="41">
        <f>IF(1239.26758="","-",1239.26758/2218501.69139*100)</f>
        <v>0.05586056502952396</v>
      </c>
      <c r="E70" s="41">
        <f>IF(1389.4716="","-",1389.4716/2294411.91883*100)</f>
        <v>0.060558942733724114</v>
      </c>
      <c r="F70" s="41">
        <f>IF(OR(1919782.20123="",787.44382="",1239.26758=""),"-",(1239.26758-787.44382)/1919782.20123*100)</f>
        <v>0.023535157254323827</v>
      </c>
      <c r="G70" s="41">
        <f>IF(OR(2218501.69139="",1389.4716="",1239.26758=""),"-",(1389.4716-1239.26758)/2218501.69139*100)</f>
        <v>0.006770516361693191</v>
      </c>
    </row>
    <row r="71" spans="1:7" s="12" customFormat="1" ht="15.75">
      <c r="A71" s="40" t="s">
        <v>65</v>
      </c>
      <c r="B71" s="41">
        <f>IF(1381.08767="","-",1381.08767)</f>
        <v>1381.08767</v>
      </c>
      <c r="C71" s="41">
        <f>IF(OR(2435.67125="",1381.08767=""),"-",1381.08767/2435.67125*100)</f>
        <v>56.70254842479254</v>
      </c>
      <c r="D71" s="41">
        <f>IF(2435.67125="","-",2435.67125/2218501.69139*100)</f>
        <v>0.1097890192940954</v>
      </c>
      <c r="E71" s="41">
        <f>IF(1381.08767="","-",1381.08767/2294411.91883*100)</f>
        <v>0.06019353624628416</v>
      </c>
      <c r="F71" s="41">
        <f>IF(OR(1919782.20123="",3427.3256="",2435.67125=""),"-",(2435.67125-3427.3256)/1919782.20123*100)</f>
        <v>-0.05165452358942851</v>
      </c>
      <c r="G71" s="41">
        <f>IF(OR(2218501.69139="",1381.08767="",2435.67125=""),"-",(1381.08767-2435.67125)/2218501.69139*100)</f>
        <v>-0.04753584746375612</v>
      </c>
    </row>
    <row r="72" spans="1:7" s="14" customFormat="1" ht="15.75">
      <c r="A72" s="40" t="s">
        <v>72</v>
      </c>
      <c r="B72" s="41">
        <f>IF(1362.36235="","-",1362.36235)</f>
        <v>1362.36235</v>
      </c>
      <c r="C72" s="41">
        <f>IF(OR(1852.94373="",1362.36235=""),"-",1362.36235/1852.94373*100)</f>
        <v>73.52421597821538</v>
      </c>
      <c r="D72" s="41">
        <f>IF(1852.94373="","-",1852.94373/2218501.69139*100)</f>
        <v>0.08352230413847644</v>
      </c>
      <c r="E72" s="41">
        <f>IF(1362.36235="","-",1362.36235/2294411.91883*100)</f>
        <v>0.059377409035371295</v>
      </c>
      <c r="F72" s="41">
        <f>IF(OR(1919782.20123="",283.66265="",1852.94373=""),"-",(1852.94373-283.66265)/1919782.20123*100)</f>
        <v>0.08174266221421186</v>
      </c>
      <c r="G72" s="41">
        <f>IF(OR(2218501.69139="",1362.36235="",1852.94373=""),"-",(1362.36235-1852.94373)/2218501.69139*100)</f>
        <v>-0.0221131848537211</v>
      </c>
    </row>
    <row r="73" spans="1:7" s="9" customFormat="1" ht="15.75">
      <c r="A73" s="40" t="s">
        <v>196</v>
      </c>
      <c r="B73" s="41">
        <f>IF(1194.64838="","-",1194.64838)</f>
        <v>1194.64838</v>
      </c>
      <c r="C73" s="41">
        <f>IF(OR(1258.86002="",1194.64838=""),"-",1194.64838/1258.86002*100)</f>
        <v>94.89922318765831</v>
      </c>
      <c r="D73" s="41">
        <f>IF(1258.86002="","-",1258.86002/2218501.69139*100)</f>
        <v>0.05674370341413906</v>
      </c>
      <c r="E73" s="41">
        <f>IF(1194.64838="","-",1194.64838/2294411.91883*100)</f>
        <v>0.05206773771508268</v>
      </c>
      <c r="F73" s="41">
        <f>IF(OR(1919782.20123="",1276.62825="",1258.86002=""),"-",(1258.86002-1276.62825)/1919782.20123*100)</f>
        <v>-0.000925533635462181</v>
      </c>
      <c r="G73" s="41">
        <f>IF(OR(2218501.69139="",1194.64838="",1258.86002=""),"-",(1194.64838-1258.86002)/2218501.69139*100)</f>
        <v>-0.002894369666212346</v>
      </c>
    </row>
    <row r="74" spans="1:7" s="9" customFormat="1" ht="15.75">
      <c r="A74" s="40" t="s">
        <v>93</v>
      </c>
      <c r="B74" s="41">
        <f>IF(1176.88262="","-",1176.88262)</f>
        <v>1176.88262</v>
      </c>
      <c r="C74" s="41">
        <f>IF(OR(1123.36773="",1176.88262=""),"-",1176.88262/1123.36773*100)</f>
        <v>104.76379092712588</v>
      </c>
      <c r="D74" s="41">
        <f>IF(1123.36773="","-",1123.36773/2218501.69139*100)</f>
        <v>0.050636325154034705</v>
      </c>
      <c r="E74" s="41">
        <f>IF(1176.88262="","-",1176.88262/2294411.91883*100)</f>
        <v>0.051293432113974254</v>
      </c>
      <c r="F74" s="41">
        <f>IF(OR(1919782.20123="",17.77175="",1123.36773=""),"-",(1123.36773-17.77175)/1919782.20123*100)</f>
        <v>0.05758965674812731</v>
      </c>
      <c r="G74" s="41">
        <f>IF(OR(2218501.69139="",1176.88262="",1123.36773=""),"-",(1176.88262-1123.36773)/2218501.69139*100)</f>
        <v>0.002412208663517874</v>
      </c>
    </row>
    <row r="75" spans="1:7" s="9" customFormat="1" ht="15.75">
      <c r="A75" s="40" t="s">
        <v>165</v>
      </c>
      <c r="B75" s="41">
        <f>IF(1108.07383="","-",1108.07383)</f>
        <v>1108.07383</v>
      </c>
      <c r="C75" s="41">
        <f>IF(OR(1803.37088="",1108.07383=""),"-",1108.07383/1803.37088*100)</f>
        <v>61.44458925720261</v>
      </c>
      <c r="D75" s="41">
        <f>IF(1803.37088="","-",1803.37088/2218501.69139*100)</f>
        <v>0.08128778476928272</v>
      </c>
      <c r="E75" s="41">
        <f>IF(1108.07383="","-",1108.07383/2294411.91883*100)</f>
        <v>0.04829445928632751</v>
      </c>
      <c r="F75" s="41">
        <f>IF(OR(1919782.20123="",3438.86595="",1803.37088=""),"-",(1803.37088-3438.86595)/1919782.20123*100)</f>
        <v>-0.08519169877458714</v>
      </c>
      <c r="G75" s="41">
        <f>IF(OR(2218501.69139="",1108.07383="",1803.37088=""),"-",(1108.07383-1803.37088)/2218501.69139*100)</f>
        <v>-0.031340839301518056</v>
      </c>
    </row>
    <row r="76" spans="1:7" s="9" customFormat="1" ht="15.75">
      <c r="A76" s="40" t="s">
        <v>73</v>
      </c>
      <c r="B76" s="41">
        <f>IF(1076.64457="","-",1076.64457)</f>
        <v>1076.64457</v>
      </c>
      <c r="C76" s="41">
        <f>IF(OR(807.05274="",1076.64457=""),"-",1076.64457/807.05274*100)</f>
        <v>133.40448729534083</v>
      </c>
      <c r="D76" s="41">
        <f>IF(807.05274="","-",807.05274/2218501.69139*100)</f>
        <v>0.036378279229273065</v>
      </c>
      <c r="E76" s="41">
        <f>IF(1076.64457="","-",1076.64457/2294411.91883*100)</f>
        <v>0.04692464161139027</v>
      </c>
      <c r="F76" s="41">
        <f>IF(OR(1919782.20123="",2737.63836="",807.05274=""),"-",(807.05274-2737.63836)/1919782.20123*100)</f>
        <v>-0.10056274189661088</v>
      </c>
      <c r="G76" s="41">
        <f>IF(OR(2218501.69139="",1076.64457="",807.05274=""),"-",(1076.64457-807.05274)/2218501.69139*100)</f>
        <v>0.012151977663406128</v>
      </c>
    </row>
    <row r="77" spans="1:7" s="9" customFormat="1" ht="15.75">
      <c r="A77" s="40" t="s">
        <v>140</v>
      </c>
      <c r="B77" s="41">
        <f>IF(1063.66979="","-",1063.66979)</f>
        <v>1063.66979</v>
      </c>
      <c r="C77" s="41" t="str">
        <f>IF(OR(""="",1063.66979=""),"-",1063.66979/""*100)</f>
        <v>-</v>
      </c>
      <c r="D77" s="41" t="str">
        <f>IF(""="","-",""/2218501.69139*100)</f>
        <v>-</v>
      </c>
      <c r="E77" s="41">
        <f>IF(1063.66979="","-",1063.66979/2294411.91883*100)</f>
        <v>0.046359146815380996</v>
      </c>
      <c r="F77" s="41" t="str">
        <f>IF(OR(1919782.20123="",""="",""=""),"-",(""-"")/1919782.20123*100)</f>
        <v>-</v>
      </c>
      <c r="G77" s="41" t="str">
        <f>IF(OR(2218501.69139="",1063.66979="",""=""),"-",(1063.66979-"")/2218501.69139*100)</f>
        <v>-</v>
      </c>
    </row>
    <row r="78" spans="1:7" s="9" customFormat="1" ht="15.75">
      <c r="A78" s="40" t="s">
        <v>162</v>
      </c>
      <c r="B78" s="41">
        <f>IF(1001.23142="","-",1001.23142)</f>
        <v>1001.23142</v>
      </c>
      <c r="C78" s="41" t="s">
        <v>177</v>
      </c>
      <c r="D78" s="41">
        <f>IF(69.77432="","-",69.77432/2218501.69139*100)</f>
        <v>0.0031451100655363025</v>
      </c>
      <c r="E78" s="41">
        <f>IF(1001.23142="","-",1001.23142/2294411.91883*100)</f>
        <v>0.043637823347368355</v>
      </c>
      <c r="F78" s="41">
        <f>IF(OR(1919782.20123="",1034.90358="",69.77432=""),"-",(69.77432-1034.90358)/1919782.20123*100)</f>
        <v>-0.05027285175274799</v>
      </c>
      <c r="G78" s="41">
        <f>IF(OR(2218501.69139="",1001.23142="",69.77432=""),"-",(1001.23142-69.77432)/2218501.69139*100)</f>
        <v>0.041985863865463026</v>
      </c>
    </row>
    <row r="79" spans="1:7" s="9" customFormat="1" ht="15.75">
      <c r="A79" s="40" t="s">
        <v>111</v>
      </c>
      <c r="B79" s="41">
        <f>IF(962.50047="","-",962.50047)</f>
        <v>962.50047</v>
      </c>
      <c r="C79" s="41" t="s">
        <v>105</v>
      </c>
      <c r="D79" s="41">
        <f>IF(545.57265="","-",545.57265/2218501.69139*100)</f>
        <v>0.02459194203535504</v>
      </c>
      <c r="E79" s="41">
        <f>IF(962.50047="","-",962.50047/2294411.91883*100)</f>
        <v>0.04194976769867951</v>
      </c>
      <c r="F79" s="41">
        <f>IF(OR(1919782.20123="",175.37435="",545.57265=""),"-",(545.57265-175.37435)/1919782.20123*100)</f>
        <v>0.019283348900870877</v>
      </c>
      <c r="G79" s="41">
        <f>IF(OR(2218501.69139="",962.50047="",545.57265=""),"-",(962.50047-545.57265)/2218501.69139*100)</f>
        <v>0.0187932162331945</v>
      </c>
    </row>
    <row r="80" spans="1:7" s="9" customFormat="1" ht="15.75">
      <c r="A80" s="40" t="s">
        <v>190</v>
      </c>
      <c r="B80" s="41">
        <f>IF(842.6295="","-",842.6295)</f>
        <v>842.6295</v>
      </c>
      <c r="C80" s="41" t="str">
        <f>IF(OR(""="",842.6295=""),"-",842.6295/""*100)</f>
        <v>-</v>
      </c>
      <c r="D80" s="41" t="str">
        <f>IF(""="","-",""/2218501.69139*100)</f>
        <v>-</v>
      </c>
      <c r="E80" s="41">
        <f>IF(842.6295="","-",842.6295/2294411.91883*100)</f>
        <v>0.036725293007965454</v>
      </c>
      <c r="F80" s="41" t="str">
        <f>IF(OR(1919782.20123="",""="",""=""),"-",(""-"")/1919782.20123*100)</f>
        <v>-</v>
      </c>
      <c r="G80" s="41" t="str">
        <f>IF(OR(2218501.69139="",842.6295="",""=""),"-",(842.6295-"")/2218501.69139*100)</f>
        <v>-</v>
      </c>
    </row>
    <row r="81" spans="1:7" s="9" customFormat="1" ht="15.75">
      <c r="A81" s="40" t="s">
        <v>103</v>
      </c>
      <c r="B81" s="41">
        <f>IF(790.71753="","-",790.71753)</f>
        <v>790.71753</v>
      </c>
      <c r="C81" s="41">
        <f>IF(OR(868.39056="",790.71753=""),"-",790.71753/868.39056*100)</f>
        <v>91.05551884396348</v>
      </c>
      <c r="D81" s="41">
        <f>IF(868.39056="","-",868.39056/2218501.69139*100)</f>
        <v>0.03914311011662609</v>
      </c>
      <c r="E81" s="41">
        <f>IF(790.71753="","-",790.71753/2294411.91883*100)</f>
        <v>0.03446275376756299</v>
      </c>
      <c r="F81" s="41">
        <f>IF(OR(1919782.20123="",448.52158="",868.39056=""),"-",(868.39056-448.52158)/1919782.20123*100)</f>
        <v>0.021870656980306984</v>
      </c>
      <c r="G81" s="41">
        <f>IF(OR(2218501.69139="",790.71753="",868.39056=""),"-",(790.71753-868.39056)/2218501.69139*100)</f>
        <v>-0.0035011481082682467</v>
      </c>
    </row>
    <row r="82" spans="1:7" ht="15.75">
      <c r="A82" s="40" t="s">
        <v>39</v>
      </c>
      <c r="B82" s="41">
        <f>IF(777.77764="","-",777.77764)</f>
        <v>777.77764</v>
      </c>
      <c r="C82" s="41">
        <f>IF(OR(521.73539="",777.77764=""),"-",777.77764/521.73539*100)</f>
        <v>149.07511641102207</v>
      </c>
      <c r="D82" s="41">
        <f>IF(521.73539="","-",521.73539/2218501.69139*100)</f>
        <v>0.023517466406487494</v>
      </c>
      <c r="E82" s="41">
        <f>IF(777.77764="","-",777.77764/2294411.91883*100)</f>
        <v>0.03389877962265014</v>
      </c>
      <c r="F82" s="41">
        <f>IF(OR(1919782.20123="",751.26123="",521.73539=""),"-",(521.73539-751.26123)/1919782.20123*100)</f>
        <v>-0.01195582706480679</v>
      </c>
      <c r="G82" s="41">
        <f>IF(OR(2218501.69139="",777.77764="",521.73539=""),"-",(777.77764-521.73539)/2218501.69139*100)</f>
        <v>0.011541224015906744</v>
      </c>
    </row>
    <row r="83" spans="1:7" ht="15.75">
      <c r="A83" s="40" t="s">
        <v>75</v>
      </c>
      <c r="B83" s="41">
        <f>IF(717.01412="","-",717.01412)</f>
        <v>717.01412</v>
      </c>
      <c r="C83" s="41" t="s">
        <v>105</v>
      </c>
      <c r="D83" s="41">
        <f>IF(396.83861="","-",396.83861/2218501.69139*100)</f>
        <v>0.017887685708788494</v>
      </c>
      <c r="E83" s="41">
        <f>IF(717.01412="","-",717.01412/2294411.91883*100)</f>
        <v>0.03125045307320537</v>
      </c>
      <c r="F83" s="41">
        <f>IF(OR(1919782.20123="",625.24773="",396.83861=""),"-",(396.83861-625.24773)/1919782.20123*100)</f>
        <v>-0.011897657966286949</v>
      </c>
      <c r="G83" s="41">
        <f>IF(OR(2218501.69139="",717.01412="",396.83861=""),"-",(717.01412-396.83861)/2218501.69139*100)</f>
        <v>0.014432060667007848</v>
      </c>
    </row>
    <row r="84" spans="1:7" ht="15.75">
      <c r="A84" s="40" t="s">
        <v>85</v>
      </c>
      <c r="B84" s="41">
        <f>IF(686.30107="","-",686.30107)</f>
        <v>686.30107</v>
      </c>
      <c r="C84" s="41" t="s">
        <v>268</v>
      </c>
      <c r="D84" s="41">
        <f>IF(0.81674="","-",0.81674/2218501.69139*100)</f>
        <v>3.681493699868547E-05</v>
      </c>
      <c r="E84" s="41">
        <f>IF(686.30107="","-",686.30107/2294411.91883*100)</f>
        <v>0.029911850804452265</v>
      </c>
      <c r="F84" s="41">
        <f>IF(OR(1919782.20123="",0.72611="",0.81674=""),"-",(0.81674-0.72611)/1919782.20123*100)</f>
        <v>4.720848018172768E-06</v>
      </c>
      <c r="G84" s="41">
        <f>IF(OR(2218501.69139="",686.30107="",0.81674=""),"-",(686.30107-0.81674)/2218501.69139*100)</f>
        <v>0.030898526364003382</v>
      </c>
    </row>
    <row r="85" spans="1:7" ht="15.75">
      <c r="A85" s="40" t="s">
        <v>97</v>
      </c>
      <c r="B85" s="41">
        <f>IF(643.61443="","-",643.61443)</f>
        <v>643.61443</v>
      </c>
      <c r="C85" s="41">
        <f>IF(OR(482.3859="",643.61443=""),"-",643.61443/482.3859*100)</f>
        <v>133.4231431723025</v>
      </c>
      <c r="D85" s="41">
        <f>IF(482.3859="","-",482.3859/2218501.69139*100)</f>
        <v>0.0217437697646181</v>
      </c>
      <c r="E85" s="41">
        <f>IF(643.61443="","-",643.61443/2294411.91883*100)</f>
        <v>0.028051389757781646</v>
      </c>
      <c r="F85" s="41">
        <f>IF(OR(1919782.20123="",292.62645="",482.3859=""),"-",(482.3859-292.62645)/1919782.20123*100)</f>
        <v>0.00988442594573601</v>
      </c>
      <c r="G85" s="41">
        <f>IF(OR(2218501.69139="",643.61443="",482.3859=""),"-",(643.61443-482.3859)/2218501.69139*100)</f>
        <v>0.007267451299484131</v>
      </c>
    </row>
    <row r="86" spans="1:7" ht="15.75">
      <c r="A86" s="40" t="s">
        <v>148</v>
      </c>
      <c r="B86" s="41">
        <f>IF(533.40478="","-",533.40478)</f>
        <v>533.40478</v>
      </c>
      <c r="C86" s="41" t="s">
        <v>269</v>
      </c>
      <c r="D86" s="41">
        <f>IF(52.753="","-",52.753/2218501.69139*100)</f>
        <v>0.002377866115889579</v>
      </c>
      <c r="E86" s="41">
        <f>IF(533.40478="","-",533.40478/2294411.91883*100)</f>
        <v>0.023247995515644007</v>
      </c>
      <c r="F86" s="41" t="str">
        <f>IF(OR(1919782.20123="",""="",52.753=""),"-",(52.753-"")/1919782.20123*100)</f>
        <v>-</v>
      </c>
      <c r="G86" s="41">
        <f>IF(OR(2218501.69139="",533.40478="",52.753=""),"-",(533.40478-52.753)/2218501.69139*100)</f>
        <v>0.021665603495611856</v>
      </c>
    </row>
    <row r="87" spans="1:7" ht="15.75">
      <c r="A87" s="40" t="s">
        <v>102</v>
      </c>
      <c r="B87" s="41">
        <f>IF(477.81045="","-",477.81045)</f>
        <v>477.81045</v>
      </c>
      <c r="C87" s="41">
        <f>IF(OR(444.85709="",477.81045=""),"-",477.81045/444.85709*100)</f>
        <v>107.40762836892179</v>
      </c>
      <c r="D87" s="41">
        <f>IF(444.85709="","-",444.85709/2218501.69139*100)</f>
        <v>0.020052141124187076</v>
      </c>
      <c r="E87" s="41">
        <f>IF(477.81045="","-",477.81045/2294411.91883*100)</f>
        <v>0.020824963733785524</v>
      </c>
      <c r="F87" s="41">
        <f>IF(OR(1919782.20123="",782.2788="",444.85709=""),"-",(444.85709-782.2788)/1919782.20123*100)</f>
        <v>-0.017576041166743533</v>
      </c>
      <c r="G87" s="41">
        <f>IF(OR(2218501.69139="",477.81045="",444.85709=""),"-",(477.81045-444.85709)/2218501.69139*100)</f>
        <v>0.0014853880944915162</v>
      </c>
    </row>
    <row r="88" spans="1:7" ht="15.75">
      <c r="A88" s="40" t="s">
        <v>84</v>
      </c>
      <c r="B88" s="41">
        <f>IF(441.71995="","-",441.71995)</f>
        <v>441.71995</v>
      </c>
      <c r="C88" s="41">
        <f>IF(OR(1477.32679="",441.71995=""),"-",441.71995/1477.32679*100)</f>
        <v>29.89994854151396</v>
      </c>
      <c r="D88" s="41">
        <f>IF(1477.32679="","-",1477.32679/2218501.69139*100)</f>
        <v>0.06659119511756526</v>
      </c>
      <c r="E88" s="41">
        <f>IF(441.71995="","-",441.71995/2294411.91883*100)</f>
        <v>0.019251989861752822</v>
      </c>
      <c r="F88" s="41">
        <f>IF(OR(1919782.20123="",505.37697="",1477.32679=""),"-",(1477.32679-505.37697)/1919782.20123*100)</f>
        <v>0.05062812955434601</v>
      </c>
      <c r="G88" s="41">
        <f>IF(OR(2218501.69139="",441.71995="",1477.32679=""),"-",(441.71995-1477.32679)/2218501.69139*100)</f>
        <v>-0.04668046204423409</v>
      </c>
    </row>
    <row r="89" spans="1:7" ht="15.75">
      <c r="A89" s="40" t="s">
        <v>89</v>
      </c>
      <c r="B89" s="41">
        <f>IF(441.48425="","-",441.48425)</f>
        <v>441.48425</v>
      </c>
      <c r="C89" s="41" t="s">
        <v>107</v>
      </c>
      <c r="D89" s="41">
        <f>IF(272.31989="","-",272.31989/2218501.69139*100)</f>
        <v>0.012274946242181057</v>
      </c>
      <c r="E89" s="41">
        <f>IF(441.48425="","-",441.48425/2294411.91883*100)</f>
        <v>0.01924171707690257</v>
      </c>
      <c r="F89" s="41">
        <f>IF(OR(1919782.20123="",37.58665="",272.31989=""),"-",(272.31989-37.58665)/1919782.20123*100)</f>
        <v>0.012227076584500417</v>
      </c>
      <c r="G89" s="41">
        <f>IF(OR(2218501.69139="",441.48425="",272.31989=""),"-",(441.48425-272.31989)/2218501.69139*100)</f>
        <v>0.0076251625435548006</v>
      </c>
    </row>
    <row r="90" spans="1:7" ht="15.75">
      <c r="A90" s="40" t="s">
        <v>109</v>
      </c>
      <c r="B90" s="41">
        <f>IF(423.15841="","-",423.15841)</f>
        <v>423.15841</v>
      </c>
      <c r="C90" s="41">
        <f>IF(OR(415.10095="",423.15841=""),"-",423.15841/415.10095*100)</f>
        <v>101.94108445186647</v>
      </c>
      <c r="D90" s="41">
        <f>IF(415.10095="","-",415.10095/2218501.69139*100)</f>
        <v>0.018710869214614793</v>
      </c>
      <c r="E90" s="41">
        <f>IF(423.15841="","-",423.15841/2294411.91883*100)</f>
        <v>0.01844300086341005</v>
      </c>
      <c r="F90" s="41">
        <f>IF(OR(1919782.20123="",743.49168="",415.10095=""),"-",(415.10095-743.49168)/1919782.20123*100)</f>
        <v>-0.017105624262460647</v>
      </c>
      <c r="G90" s="41">
        <f>IF(OR(2218501.69139="",423.15841="",415.10095=""),"-",(423.15841-415.10095)/2218501.69139*100)</f>
        <v>0.00036319377313395686</v>
      </c>
    </row>
    <row r="91" spans="1:7" ht="15.75">
      <c r="A91" s="40" t="s">
        <v>142</v>
      </c>
      <c r="B91" s="41">
        <f>IF(413.69755="","-",413.69755)</f>
        <v>413.69755</v>
      </c>
      <c r="C91" s="41" t="s">
        <v>270</v>
      </c>
      <c r="D91" s="41">
        <f>IF(108.99352="","-",108.99352/2218501.69139*100)</f>
        <v>0.004912933824797322</v>
      </c>
      <c r="E91" s="41">
        <f>IF(413.69755="","-",413.69755/2294411.91883*100)</f>
        <v>0.018030657294133945</v>
      </c>
      <c r="F91" s="41">
        <f>IF(OR(1919782.20123="",391.7119="",108.99352=""),"-",(108.99352-391.7119)/1919782.20123*100)</f>
        <v>-0.014726586162683611</v>
      </c>
      <c r="G91" s="41">
        <f>IF(OR(2218501.69139="",413.69755="",108.99352=""),"-",(413.69755-108.99352)/2218501.69139*100)</f>
        <v>0.01373467647929031</v>
      </c>
    </row>
    <row r="92" spans="1:7" ht="15.75">
      <c r="A92" s="40" t="s">
        <v>141</v>
      </c>
      <c r="B92" s="41">
        <f>IF(406.86074="","-",406.86074)</f>
        <v>406.86074</v>
      </c>
      <c r="C92" s="41" t="s">
        <v>193</v>
      </c>
      <c r="D92" s="41">
        <f>IF(47.72707="","-",47.72707/2218501.69139*100)</f>
        <v>0.0021513199735311746</v>
      </c>
      <c r="E92" s="41">
        <f>IF(406.86074="","-",406.86074/2294411.91883*100)</f>
        <v>0.017732680721405616</v>
      </c>
      <c r="F92" s="41">
        <f>IF(OR(1919782.20123="",48.51914="",47.72707=""),"-",(47.72707-48.51914)/1919782.20123*100)</f>
        <v>-4.1258326048263445E-05</v>
      </c>
      <c r="G92" s="41">
        <f>IF(OR(2218501.69139="",406.86074="",47.72707=""),"-",(406.86074-47.72707)/2218501.69139*100)</f>
        <v>0.01618811792633727</v>
      </c>
    </row>
    <row r="93" spans="1:7" ht="15.75">
      <c r="A93" s="40" t="s">
        <v>80</v>
      </c>
      <c r="B93" s="41">
        <f>IF(406.0211="","-",406.0211)</f>
        <v>406.0211</v>
      </c>
      <c r="C93" s="41" t="str">
        <f>IF(OR(""="",406.0211=""),"-",406.0211/""*100)</f>
        <v>-</v>
      </c>
      <c r="D93" s="41" t="str">
        <f>IF(""="","-",""/2218501.69139*100)</f>
        <v>-</v>
      </c>
      <c r="E93" s="41">
        <f>IF(406.0211="","-",406.0211/2294411.91883*100)</f>
        <v>0.01769608572322289</v>
      </c>
      <c r="F93" s="41" t="str">
        <f>IF(OR(1919782.20123="",2.55="",""=""),"-",(""-2.55)/1919782.20123*100)</f>
        <v>-</v>
      </c>
      <c r="G93" s="41" t="str">
        <f>IF(OR(2218501.69139="",406.0211="",""=""),"-",(406.0211-"")/2218501.69139*100)</f>
        <v>-</v>
      </c>
    </row>
    <row r="94" spans="1:7" ht="15.75">
      <c r="A94" s="40" t="s">
        <v>149</v>
      </c>
      <c r="B94" s="41">
        <f>IF(398.35659="","-",398.35659)</f>
        <v>398.35659</v>
      </c>
      <c r="C94" s="41">
        <f>IF(OR(432.85815="",398.35659=""),"-",398.35659/432.85815*100)</f>
        <v>92.02936111980333</v>
      </c>
      <c r="D94" s="41">
        <f>IF(432.85815="","-",432.85815/2218501.69139*100)</f>
        <v>0.019511283298990555</v>
      </c>
      <c r="E94" s="41">
        <f>IF(398.35659="","-",398.35659/2294411.91883*100)</f>
        <v>0.017362034547098056</v>
      </c>
      <c r="F94" s="41">
        <f>IF(OR(1919782.20123="",235.61856="",432.85815=""),"-",(432.85815-235.61856)/1919782.20123*100)</f>
        <v>0.010274060769686741</v>
      </c>
      <c r="G94" s="41">
        <f>IF(OR(2218501.69139="",398.35659="",432.85815=""),"-",(398.35659-432.85815)/2218501.69139*100)</f>
        <v>-0.0015551739326546614</v>
      </c>
    </row>
    <row r="95" spans="1:7" ht="15.75">
      <c r="A95" s="40" t="s">
        <v>163</v>
      </c>
      <c r="B95" s="41">
        <f>IF(381.63628="","-",381.63628)</f>
        <v>381.63628</v>
      </c>
      <c r="C95" s="41">
        <f>IF(OR(312.79111="",381.63628=""),"-",381.63628/312.79111*100)</f>
        <v>122.00995098613896</v>
      </c>
      <c r="D95" s="41">
        <f>IF(312.79111="","-",312.79111/2218501.69139*100)</f>
        <v>0.014099205387759748</v>
      </c>
      <c r="E95" s="41">
        <f>IF(381.63628="","-",381.63628/2294411.91883*100)</f>
        <v>0.01663329399869094</v>
      </c>
      <c r="F95" s="41">
        <f>IF(OR(1919782.20123="",17.03616="",312.79111=""),"-",(312.79111-17.03616)/1919782.20123*100)</f>
        <v>0.015405651214523737</v>
      </c>
      <c r="G95" s="41">
        <f>IF(OR(2218501.69139="",381.63628="",312.79111=""),"-",(381.63628-312.79111)/2218501.69139*100)</f>
        <v>0.0031032281952809836</v>
      </c>
    </row>
    <row r="96" spans="1:7" ht="15.75">
      <c r="A96" s="40" t="s">
        <v>37</v>
      </c>
      <c r="B96" s="41">
        <f>IF(305.41804="","-",305.41804)</f>
        <v>305.41804</v>
      </c>
      <c r="C96" s="41">
        <f>IF(OR(466.4719="",305.41804=""),"-",305.41804/466.4719*100)</f>
        <v>65.47404891913104</v>
      </c>
      <c r="D96" s="41">
        <f>IF(466.4719="","-",466.4719/2218501.69139*100)</f>
        <v>0.02102643878119978</v>
      </c>
      <c r="E96" s="41">
        <f>IF(305.41804="","-",305.41804/2294411.91883*100)</f>
        <v>0.013311386568970723</v>
      </c>
      <c r="F96" s="41">
        <f>IF(OR(1919782.20123="",270.00269="",466.4719=""),"-",(466.4719-270.00269)/1919782.20123*100)</f>
        <v>0.010233932259301219</v>
      </c>
      <c r="G96" s="41">
        <f>IF(OR(2218501.69139="",305.41804="",466.4719=""),"-",(305.41804-466.4719)/2218501.69139*100)</f>
        <v>-0.007259577967645896</v>
      </c>
    </row>
    <row r="97" spans="1:7" ht="15.75">
      <c r="A97" s="40" t="s">
        <v>139</v>
      </c>
      <c r="B97" s="41">
        <f>IF(285.36054="","-",285.36054)</f>
        <v>285.36054</v>
      </c>
      <c r="C97" s="41">
        <f>IF(OR(311.86855="",285.36054=""),"-",285.36054/311.86855*100)</f>
        <v>91.50026188918375</v>
      </c>
      <c r="D97" s="41">
        <f>IF(311.86855="","-",311.86855/2218501.69139*100)</f>
        <v>0.014057620564832618</v>
      </c>
      <c r="E97" s="41">
        <f>IF(285.36054="","-",285.36054/2294411.91883*100)</f>
        <v>0.01243719742118125</v>
      </c>
      <c r="F97" s="41">
        <f>IF(OR(1919782.20123="",37.38395="",311.86855=""),"-",(311.86855-37.38395)/1919782.20123*100)</f>
        <v>0.014297694802261339</v>
      </c>
      <c r="G97" s="41">
        <f>IF(OR(2218501.69139="",285.36054="",311.86855=""),"-",(285.36054-311.86855)/2218501.69139*100)</f>
        <v>-0.0011948609326230195</v>
      </c>
    </row>
    <row r="98" spans="1:7" ht="15.75">
      <c r="A98" s="40" t="s">
        <v>114</v>
      </c>
      <c r="B98" s="41">
        <f>IF(256.45194="","-",256.45194)</f>
        <v>256.45194</v>
      </c>
      <c r="C98" s="41">
        <f>IF(OR(410.61178="",256.45194=""),"-",256.45194/410.61178*100)</f>
        <v>62.45606007699048</v>
      </c>
      <c r="D98" s="41">
        <f>IF(410.61178="","-",410.61178/2218501.69139*100)</f>
        <v>0.018508517779976613</v>
      </c>
      <c r="E98" s="41">
        <f>IF(256.45194="","-",256.45194/2294411.91883*100)</f>
        <v>0.011177240577218311</v>
      </c>
      <c r="F98" s="41" t="str">
        <f>IF(OR(1919782.20123="",""="",410.61178=""),"-",(410.61178-"")/1919782.20123*100)</f>
        <v>-</v>
      </c>
      <c r="G98" s="41">
        <f>IF(OR(2218501.69139="",256.45194="",410.61178=""),"-",(256.45194-410.61178)/2218501.69139*100)</f>
        <v>-0.006948826795953955</v>
      </c>
    </row>
    <row r="99" spans="1:7" ht="15.75">
      <c r="A99" s="40" t="s">
        <v>153</v>
      </c>
      <c r="B99" s="41">
        <f>IF(251.06181="","-",251.06181)</f>
        <v>251.06181</v>
      </c>
      <c r="C99" s="41">
        <f>IF(OR(658.80202="",251.06181=""),"-",251.06181/658.80202*100)</f>
        <v>38.10884034630009</v>
      </c>
      <c r="D99" s="41">
        <f>IF(658.80202="","-",658.80202/2218501.69139*100)</f>
        <v>0.029695808777464954</v>
      </c>
      <c r="E99" s="41">
        <f>IF(251.06181="","-",251.06181/2294411.91883*100)</f>
        <v>0.010942316326879314</v>
      </c>
      <c r="F99" s="41">
        <f>IF(OR(1919782.20123="",523.97839="",658.80202=""),"-",(658.80202-523.97839)/1919782.20123*100)</f>
        <v>0.007022860713763197</v>
      </c>
      <c r="G99" s="41">
        <f>IF(OR(2218501.69139="",251.06181="",658.80202=""),"-",(251.06181-658.80202)/2218501.69139*100)</f>
        <v>-0.01837908042091826</v>
      </c>
    </row>
    <row r="100" spans="1:7" ht="15.75">
      <c r="A100" s="40" t="s">
        <v>70</v>
      </c>
      <c r="B100" s="41">
        <f>IF(236.3049="","-",236.3049)</f>
        <v>236.3049</v>
      </c>
      <c r="C100" s="41" t="s">
        <v>271</v>
      </c>
      <c r="D100" s="41">
        <f>IF(53.52752="","-",53.52752/2218501.69139*100)</f>
        <v>0.0024127779666673317</v>
      </c>
      <c r="E100" s="41">
        <f>IF(236.3049="","-",236.3049/2294411.91883*100)</f>
        <v>0.010299148904373721</v>
      </c>
      <c r="F100" s="41">
        <f>IF(OR(1919782.20123="",635.90845="",53.52752=""),"-",(53.52752-635.90845)/1919782.20123*100)</f>
        <v>-0.030335781299924015</v>
      </c>
      <c r="G100" s="41">
        <f>IF(OR(2218501.69139="",236.3049="",53.52752=""),"-",(236.3049-53.52752)/2218501.69139*100)</f>
        <v>0.008238775778686966</v>
      </c>
    </row>
    <row r="101" spans="1:7" ht="15.75">
      <c r="A101" s="40" t="s">
        <v>147</v>
      </c>
      <c r="B101" s="41">
        <f>IF(212.47362="","-",212.47362)</f>
        <v>212.47362</v>
      </c>
      <c r="C101" s="41">
        <f>IF(OR(1739.08352="",212.47362=""),"-",212.47362/1739.08352*100)</f>
        <v>12.217562730972233</v>
      </c>
      <c r="D101" s="41">
        <f>IF(1739.08352="","-",1739.08352/2218501.69139*100)</f>
        <v>0.07839000198870162</v>
      </c>
      <c r="E101" s="41">
        <f>IF(212.47362="","-",212.47362/2294411.91883*100)</f>
        <v>0.00926048275186557</v>
      </c>
      <c r="F101" s="41" t="str">
        <f>IF(OR(1919782.20123="",""="",1739.08352=""),"-",(1739.08352-"")/1919782.20123*100)</f>
        <v>-</v>
      </c>
      <c r="G101" s="41">
        <f>IF(OR(2218501.69139="",212.47362="",1739.08352=""),"-",(212.47362-1739.08352)/2218501.69139*100)</f>
        <v>-0.06881265432092162</v>
      </c>
    </row>
    <row r="102" spans="1:7" ht="15.75">
      <c r="A102" s="40" t="s">
        <v>95</v>
      </c>
      <c r="B102" s="41">
        <f>IF(211.31273="","-",211.31273)</f>
        <v>211.31273</v>
      </c>
      <c r="C102" s="41">
        <f>IF(OR(257.42783="",211.31273=""),"-",211.31273/257.42783*100)</f>
        <v>82.08620256791971</v>
      </c>
      <c r="D102" s="41">
        <f>IF(257.42783="","-",257.42783/2218501.69139*100)</f>
        <v>0.011603679681610198</v>
      </c>
      <c r="E102" s="41">
        <f>IF(211.31273="","-",211.31273/2294411.91883*100)</f>
        <v>0.009209886344547743</v>
      </c>
      <c r="F102" s="41">
        <f>IF(OR(1919782.20123="",346.01784="",257.42783=""),"-",(257.42783-346.01784)/1919782.20123*100)</f>
        <v>-0.00461458648503151</v>
      </c>
      <c r="G102" s="41">
        <f>IF(OR(2218501.69139="",211.31273="",257.42783=""),"-",(211.31273-257.42783)/2218501.69139*100)</f>
        <v>-0.002078659672831109</v>
      </c>
    </row>
    <row r="103" spans="1:7" ht="15.75">
      <c r="A103" s="40" t="s">
        <v>174</v>
      </c>
      <c r="B103" s="41">
        <f>IF(197.6455="","-",197.6455)</f>
        <v>197.6455</v>
      </c>
      <c r="C103" s="41">
        <f>IF(OR(149.798="",197.6455=""),"-",197.6455/149.798*100)</f>
        <v>131.94134768154447</v>
      </c>
      <c r="D103" s="41">
        <f>IF(149.798="","-",149.798/2218501.69139*100)</f>
        <v>0.0067522148205415265</v>
      </c>
      <c r="E103" s="41">
        <f>IF(197.6455="","-",197.6455/2294411.91883*100)</f>
        <v>0.008614211701828427</v>
      </c>
      <c r="F103" s="41" t="str">
        <f>IF(OR(1919782.20123="",""="",149.798=""),"-",(149.798-"")/1919782.20123*100)</f>
        <v>-</v>
      </c>
      <c r="G103" s="41">
        <f>IF(OR(2218501.69139="",197.6455="",149.798=""),"-",(197.6455-149.798)/2218501.69139*100)</f>
        <v>0.0021567484120339434</v>
      </c>
    </row>
    <row r="104" spans="1:7" ht="15.75">
      <c r="A104" s="40" t="s">
        <v>88</v>
      </c>
      <c r="B104" s="41">
        <f>IF(135.5068="","-",135.5068)</f>
        <v>135.5068</v>
      </c>
      <c r="C104" s="41">
        <f>IF(OR(274.65585="",135.5068=""),"-",135.5068/274.65585*100)</f>
        <v>49.336942941502976</v>
      </c>
      <c r="D104" s="41">
        <f>IF(274.65585="","-",274.65585/2218501.69139*100)</f>
        <v>0.012380240730306349</v>
      </c>
      <c r="E104" s="41">
        <f>IF(135.5068="","-",135.5068/2294411.91883*100)</f>
        <v>0.005905949096930233</v>
      </c>
      <c r="F104" s="41">
        <f>IF(OR(1919782.20123="",287.20418="",274.65585=""),"-",(274.65585-287.20418)/1919782.20123*100)</f>
        <v>-0.0006536330002413991</v>
      </c>
      <c r="G104" s="41">
        <f>IF(OR(2218501.69139="",135.5068="",274.65585=""),"-",(135.5068-274.65585)/2218501.69139*100)</f>
        <v>-0.006272208425174393</v>
      </c>
    </row>
    <row r="105" spans="1:7" ht="15.75">
      <c r="A105" s="40" t="s">
        <v>191</v>
      </c>
      <c r="B105" s="41">
        <f>IF(128.68687="","-",128.68687)</f>
        <v>128.68687</v>
      </c>
      <c r="C105" s="41">
        <f>IF(OR(326.76673="",128.68687=""),"-",128.68687/326.76673*100)</f>
        <v>39.38187648418185</v>
      </c>
      <c r="D105" s="41">
        <f>IF(326.76673="","-",326.76673/2218501.69139*100)</f>
        <v>0.01472916298726212</v>
      </c>
      <c r="E105" s="41">
        <f>IF(128.68687="","-",128.68687/2294411.91883*100)</f>
        <v>0.005608708224703692</v>
      </c>
      <c r="F105" s="41">
        <f>IF(OR(1919782.20123="",7.414="",326.76673=""),"-",(326.76673-7.414)/1919782.20123*100)</f>
        <v>0.016634841691697707</v>
      </c>
      <c r="G105" s="41">
        <f>IF(OR(2218501.69139="",128.68687="",326.76673=""),"-",(128.68687-326.76673)/2218501.69139*100)</f>
        <v>-0.008928542212464724</v>
      </c>
    </row>
    <row r="106" spans="1:7" ht="15.75">
      <c r="A106" s="40" t="s">
        <v>180</v>
      </c>
      <c r="B106" s="41">
        <f>IF(117.36746="","-",117.36746)</f>
        <v>117.36746</v>
      </c>
      <c r="C106" s="41">
        <f>IF(OR(122.30547="",117.36746=""),"-",117.36746/122.30547*100)</f>
        <v>95.96255997380983</v>
      </c>
      <c r="D106" s="41">
        <f>IF(122.30547="","-",122.30547/2218501.69139*100)</f>
        <v>0.005512976189049901</v>
      </c>
      <c r="E106" s="41">
        <f>IF(117.36746="","-",117.36746/2294411.91883*100)</f>
        <v>0.0051153613279628415</v>
      </c>
      <c r="F106" s="41">
        <f>IF(OR(1919782.20123="",25.98037="",122.30547=""),"-",(122.30547-25.98037)/1919782.20123*100)</f>
        <v>0.005017501461274343</v>
      </c>
      <c r="G106" s="41">
        <f>IF(OR(2218501.69139="",117.36746="",122.30547=""),"-",(117.36746-122.30547)/2218501.69139*100)</f>
        <v>-0.00022258310729103393</v>
      </c>
    </row>
    <row r="107" spans="1:7" ht="15.75">
      <c r="A107" s="40" t="s">
        <v>92</v>
      </c>
      <c r="B107" s="41">
        <f>IF(109.51939="","-",109.51939)</f>
        <v>109.51939</v>
      </c>
      <c r="C107" s="41">
        <f>IF(OR(130.40643="",109.51939=""),"-",109.51939/130.40643*100)</f>
        <v>83.98312107769532</v>
      </c>
      <c r="D107" s="41">
        <f>IF(130.40643="","-",130.40643/2218501.69139*100)</f>
        <v>0.005878130745002677</v>
      </c>
      <c r="E107" s="41">
        <f>IF(109.51939="","-",109.51939/2294411.91883*100)</f>
        <v>0.004773309844722552</v>
      </c>
      <c r="F107" s="41">
        <f>IF(OR(1919782.20123="",80.95778="",130.40643=""),"-",(130.40643-80.95778)/1919782.20123*100)</f>
        <v>0.0025757427049963462</v>
      </c>
      <c r="G107" s="41">
        <f>IF(OR(2218501.69139="",109.51939="",130.40643=""),"-",(109.51939-130.40643)/2218501.69139*100)</f>
        <v>-0.0009414930843218445</v>
      </c>
    </row>
    <row r="108" spans="1:7" ht="15.75">
      <c r="A108" s="40" t="s">
        <v>104</v>
      </c>
      <c r="B108" s="41">
        <f>IF(100.98459="","-",100.98459)</f>
        <v>100.98459</v>
      </c>
      <c r="C108" s="41">
        <f>IF(OR(132.43385="",100.98459=""),"-",100.98459/132.43385*100)</f>
        <v>76.25285378322837</v>
      </c>
      <c r="D108" s="41">
        <f>IF(132.43385="","-",132.43385/2218501.69139*100)</f>
        <v>0.005969517648509149</v>
      </c>
      <c r="E108" s="41">
        <f>IF(100.98459="","-",100.98459/2294411.91883*100)</f>
        <v>0.004401327816127086</v>
      </c>
      <c r="F108" s="41">
        <f>IF(OR(1919782.20123="",89.758="",132.43385=""),"-",(132.43385-89.758)/1919782.20123*100)</f>
        <v>0.0022229526856045283</v>
      </c>
      <c r="G108" s="41">
        <f>IF(OR(2218501.69139="",100.98459="",132.43385=""),"-",(100.98459-132.43385)/2218501.69139*100)</f>
        <v>-0.0014175900844274547</v>
      </c>
    </row>
    <row r="109" spans="1:7" ht="15.75">
      <c r="A109" s="40" t="s">
        <v>79</v>
      </c>
      <c r="B109" s="41">
        <f>IF(98.36857="","-",98.36857)</f>
        <v>98.36857</v>
      </c>
      <c r="C109" s="41">
        <f>IF(OR(312.21592="",98.36857=""),"-",98.36857/312.21592*100)</f>
        <v>31.506583648905544</v>
      </c>
      <c r="D109" s="41">
        <f>IF(312.21592="","-",312.21592/2218501.69139*100)</f>
        <v>0.014073278429838897</v>
      </c>
      <c r="E109" s="41">
        <f>IF(98.36857="","-",98.36857/2294411.91883*100)</f>
        <v>0.0042873108003274995</v>
      </c>
      <c r="F109" s="41">
        <f>IF(OR(1919782.20123="",104.96327="",312.21592=""),"-",(312.21592-104.96327)/1919782.20123*100)</f>
        <v>0.010795633476923252</v>
      </c>
      <c r="G109" s="41">
        <f>IF(OR(2218501.69139="",98.36857="",312.21592=""),"-",(98.36857-312.21592)/2218501.69139*100)</f>
        <v>-0.009639269189198326</v>
      </c>
    </row>
    <row r="110" spans="1:7" ht="15.75">
      <c r="A110" s="40" t="s">
        <v>179</v>
      </c>
      <c r="B110" s="41">
        <f>IF(97.79062="","-",97.79062)</f>
        <v>97.79062</v>
      </c>
      <c r="C110" s="41" t="s">
        <v>105</v>
      </c>
      <c r="D110" s="41">
        <f>IF(55.6754="","-",55.6754/2218501.69139*100)</f>
        <v>0.002509594660940585</v>
      </c>
      <c r="E110" s="41">
        <f>IF(97.79062="","-",97.79062/2294411.91883*100)</f>
        <v>0.004262121339130195</v>
      </c>
      <c r="F110" s="41">
        <f>IF(OR(1919782.20123="",55.15="",55.6754=""),"-",(55.6754-55.15)/1919782.20123*100)</f>
        <v>2.7367687837890267E-05</v>
      </c>
      <c r="G110" s="41">
        <f>IF(OR(2218501.69139="",97.79062="",55.6754=""),"-",(97.79062-55.6754)/2218501.69139*100)</f>
        <v>0.0018983632134899457</v>
      </c>
    </row>
    <row r="111" spans="1:7" ht="15.75">
      <c r="A111" s="40" t="s">
        <v>167</v>
      </c>
      <c r="B111" s="41">
        <f>IF(90.33513="","-",90.33513)</f>
        <v>90.33513</v>
      </c>
      <c r="C111" s="41" t="s">
        <v>194</v>
      </c>
      <c r="D111" s="41">
        <f>IF(0.03831="","-",0.03831/2218501.69139*100)</f>
        <v>1.7268411445743325E-06</v>
      </c>
      <c r="E111" s="41">
        <f>IF(90.33513="","-",90.33513/2294411.91883*100)</f>
        <v>0.003937180122654917</v>
      </c>
      <c r="F111" s="41">
        <f>IF(OR(1919782.20123="",0.17028="",0.03831=""),"-",(0.03831-0.17028)/1919782.20123*100)</f>
        <v>-6.874217289619995E-06</v>
      </c>
      <c r="G111" s="41">
        <f>IF(OR(2218501.69139="",90.33513="",0.03831=""),"-",(90.33513-0.03831)/2218501.69139*100)</f>
        <v>0.004070171339081767</v>
      </c>
    </row>
    <row r="112" spans="1:7" ht="15.75">
      <c r="A112" s="40" t="s">
        <v>164</v>
      </c>
      <c r="B112" s="41">
        <f>IF(89.75482="","-",89.75482)</f>
        <v>89.75482</v>
      </c>
      <c r="C112" s="41">
        <f>IF(OR(74.06953="",89.75482=""),"-",89.75482/74.06953*100)</f>
        <v>121.17644056874668</v>
      </c>
      <c r="D112" s="41">
        <f>IF(74.06953="","-",74.06953/2218501.69139*100)</f>
        <v>0.0033387186625759035</v>
      </c>
      <c r="E112" s="41">
        <f>IF(89.75482="","-",89.75482/2294411.91883*100)</f>
        <v>0.00391188780285665</v>
      </c>
      <c r="F112" s="41">
        <f>IF(OR(1919782.20123="",45.3129="",74.06953=""),"-",(74.06953-45.3129)/1919782.20123*100)</f>
        <v>0.0014979110641600748</v>
      </c>
      <c r="G112" s="41">
        <f>IF(OR(2218501.69139="",89.75482="",74.06953=""),"-",(89.75482-74.06953)/2218501.69139*100)</f>
        <v>0.0007070217733380403</v>
      </c>
    </row>
    <row r="113" spans="1:7" ht="15.75">
      <c r="A113" s="40" t="s">
        <v>96</v>
      </c>
      <c r="B113" s="41">
        <f>IF(81.87974="","-",81.87974)</f>
        <v>81.87974</v>
      </c>
      <c r="C113" s="41" t="s">
        <v>178</v>
      </c>
      <c r="D113" s="41">
        <f>IF(23.65="","-",23.65/2218501.69139*100)</f>
        <v>0.0010660347968985374</v>
      </c>
      <c r="E113" s="41">
        <f>IF(81.87974="","-",81.87974/2294411.91883*100)</f>
        <v>0.0035686591116451884</v>
      </c>
      <c r="F113" s="41">
        <f>IF(OR(1919782.20123="",0.162="",23.65=""),"-",(23.65-0.162)/1919782.20123*100)</f>
        <v>0.0012234721201681781</v>
      </c>
      <c r="G113" s="41">
        <f>IF(OR(2218501.69139="",81.87974="",23.65=""),"-",(81.87974-23.65)/2218501.69139*100)</f>
        <v>0.0026247327295710206</v>
      </c>
    </row>
    <row r="114" spans="1:7" ht="15.75">
      <c r="A114" s="42" t="s">
        <v>99</v>
      </c>
      <c r="B114" s="43">
        <f>IF(79.41187="","-",79.41187)</f>
        <v>79.41187</v>
      </c>
      <c r="C114" s="43">
        <f>IF(OR(85.68156="",79.41187=""),"-",79.41187/85.68156*100)</f>
        <v>92.68256787107984</v>
      </c>
      <c r="D114" s="43">
        <f>IF(85.68156="","-",85.68156/2218501.69139*100)</f>
        <v>0.003862136338797034</v>
      </c>
      <c r="E114" s="43">
        <f>IF(79.41187="","-",79.41187/2294411.91883*100)</f>
        <v>0.003461099088105106</v>
      </c>
      <c r="F114" s="43">
        <f>IF(OR(1919782.20123="",20.74439="",85.68156=""),"-",(85.68156-20.74439)/1919782.20123*100)</f>
        <v>0.0033825279741834732</v>
      </c>
      <c r="G114" s="43">
        <f>IF(OR(2218501.69139="",79.41187="",85.68156=""),"-",(79.41187-85.68156)/2218501.69139*100)</f>
        <v>-0.0002826092053178352</v>
      </c>
    </row>
    <row r="115" ht="15.75">
      <c r="A115" s="30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7"/>
  <sheetViews>
    <sheetView zoomScalePageLayoutView="0" workbookViewId="0" topLeftCell="A1">
      <selection activeCell="J19" sqref="J19"/>
    </sheetView>
  </sheetViews>
  <sheetFormatPr defaultColWidth="9.00390625" defaultRowHeight="15.75"/>
  <cols>
    <col min="1" max="1" width="32.375" style="0" customWidth="1"/>
    <col min="2" max="2" width="11.875" style="0" customWidth="1"/>
    <col min="3" max="3" width="9.75390625" style="0" customWidth="1"/>
    <col min="4" max="5" width="8.50390625" style="0" customWidth="1"/>
    <col min="6" max="6" width="9.375" style="0" customWidth="1"/>
    <col min="7" max="7" width="9.625" style="0" customWidth="1"/>
  </cols>
  <sheetData>
    <row r="1" spans="1:7" ht="15.75">
      <c r="A1" s="74" t="s">
        <v>124</v>
      </c>
      <c r="B1" s="74"/>
      <c r="C1" s="74"/>
      <c r="D1" s="74"/>
      <c r="E1" s="74"/>
      <c r="F1" s="74"/>
      <c r="G1" s="74"/>
    </row>
    <row r="2" ht="15.75">
      <c r="A2" s="2"/>
    </row>
    <row r="3" spans="1:7" ht="55.5" customHeight="1">
      <c r="A3" s="62"/>
      <c r="B3" s="65" t="s">
        <v>260</v>
      </c>
      <c r="C3" s="66"/>
      <c r="D3" s="65" t="s">
        <v>110</v>
      </c>
      <c r="E3" s="66"/>
      <c r="F3" s="67" t="s">
        <v>132</v>
      </c>
      <c r="G3" s="68"/>
    </row>
    <row r="4" spans="1:8" ht="27" customHeight="1">
      <c r="A4" s="63"/>
      <c r="B4" s="69" t="s">
        <v>100</v>
      </c>
      <c r="C4" s="71" t="s">
        <v>261</v>
      </c>
      <c r="D4" s="73" t="s">
        <v>262</v>
      </c>
      <c r="E4" s="73"/>
      <c r="F4" s="73" t="s">
        <v>262</v>
      </c>
      <c r="G4" s="65"/>
      <c r="H4" s="1"/>
    </row>
    <row r="5" spans="1:7" ht="30" customHeight="1">
      <c r="A5" s="64"/>
      <c r="B5" s="70"/>
      <c r="C5" s="72"/>
      <c r="D5" s="21">
        <v>2018</v>
      </c>
      <c r="E5" s="21">
        <v>2019</v>
      </c>
      <c r="F5" s="21" t="s">
        <v>112</v>
      </c>
      <c r="G5" s="17" t="s">
        <v>133</v>
      </c>
    </row>
    <row r="6" spans="1:7" s="3" customFormat="1" ht="15">
      <c r="A6" s="36" t="s">
        <v>143</v>
      </c>
      <c r="B6" s="37">
        <f>IF(4797462.21183="","-",4797462.21183)</f>
        <v>4797462.21183</v>
      </c>
      <c r="C6" s="37">
        <f>IF(4718168.92486="","-",4797462.21183/4718168.92486*100)</f>
        <v>101.68059448978617</v>
      </c>
      <c r="D6" s="37">
        <v>100</v>
      </c>
      <c r="E6" s="37">
        <v>100</v>
      </c>
      <c r="F6" s="37">
        <f>IF(3904696.37575="","-",(4718168.92486-3904696.37575)/3904696.37575*100)</f>
        <v>20.8331831935012</v>
      </c>
      <c r="G6" s="37">
        <f>IF(4718168.92486="","-",(4797462.21183-4718168.92486)/4718168.92486*100)</f>
        <v>1.680594489786174</v>
      </c>
    </row>
    <row r="7" spans="1:7" s="3" customFormat="1" ht="15">
      <c r="A7" s="46" t="s">
        <v>150</v>
      </c>
      <c r="B7" s="27"/>
      <c r="C7" s="27"/>
      <c r="D7" s="27"/>
      <c r="E7" s="27"/>
      <c r="F7" s="27"/>
      <c r="G7" s="27"/>
    </row>
    <row r="8" spans="1:7" s="3" customFormat="1" ht="15">
      <c r="A8" s="38" t="s">
        <v>296</v>
      </c>
      <c r="B8" s="47">
        <f>IF(2391248.54737="","-",2391248.54737)</f>
        <v>2391248.54737</v>
      </c>
      <c r="C8" s="47">
        <f>IF(2376538.5619="","-",2391248.54737/2376538.5619*100)</f>
        <v>100.61896683293199</v>
      </c>
      <c r="D8" s="47">
        <f>IF(2376538.5619="","-",2376538.5619/4718168.92486*100)</f>
        <v>50.36993375497928</v>
      </c>
      <c r="E8" s="47">
        <f>IF(2391248.54737="","-",2391248.54737/4797462.21183*100)</f>
        <v>49.844030901868294</v>
      </c>
      <c r="F8" s="47">
        <f>IF(3904696.37575="","-",(2376538.5619-1945044.14905)/3904696.37575*100)</f>
        <v>11.050652120604903</v>
      </c>
      <c r="G8" s="47">
        <f>IF(4718168.92486="","-",(2391248.54737-2376538.5619)/4718168.92486*100)</f>
        <v>0.31177318371313306</v>
      </c>
    </row>
    <row r="9" spans="1:7" s="3" customFormat="1" ht="15">
      <c r="A9" s="40" t="s">
        <v>2</v>
      </c>
      <c r="B9" s="48">
        <f>IF(701340.74471="","-",701340.74471)</f>
        <v>701340.74471</v>
      </c>
      <c r="C9" s="48">
        <f>IF(OR(704860.97046="",701340.74471=""),"-",701340.74471/704860.97046*100)</f>
        <v>99.50057871019547</v>
      </c>
      <c r="D9" s="48">
        <f>IF(704860.97046="","-",704860.97046/4718168.92486*100)</f>
        <v>14.939290680036748</v>
      </c>
      <c r="E9" s="48">
        <f>IF(701340.74471="","-",701340.74471/4797462.21183*100)</f>
        <v>14.618994663065251</v>
      </c>
      <c r="F9" s="48">
        <f>IF(OR(3904696.37575="",563439.97729="",704860.97046=""),"-",(704860.97046-563439.97729)/3904696.37575*100)</f>
        <v>3.621817922855433</v>
      </c>
      <c r="G9" s="48">
        <f>IF(OR(4718168.92486="",701340.74471="",704860.97046=""),"-",(701340.74471-704860.97046)/4718168.92486*100)</f>
        <v>-0.07460999820188587</v>
      </c>
    </row>
    <row r="10" spans="1:7" s="3" customFormat="1" ht="15">
      <c r="A10" s="40" t="s">
        <v>4</v>
      </c>
      <c r="B10" s="48">
        <f>IF(399134.59932="","-",399134.59932)</f>
        <v>399134.59932</v>
      </c>
      <c r="C10" s="48">
        <f>IF(OR(401638.28799="",399134.59932=""),"-",399134.59932/401638.28799*100)</f>
        <v>99.37663097745742</v>
      </c>
      <c r="D10" s="48">
        <f>IF(401638.28799="","-",401638.28799/4718168.92486*100)</f>
        <v>8.51258813294646</v>
      </c>
      <c r="E10" s="48">
        <f>IF(399134.59932="","-",399134.59932/4797462.21183*100)</f>
        <v>8.31970282821153</v>
      </c>
      <c r="F10" s="48">
        <f>IF(OR(3904696.37575="",319036.72565="",401638.28799=""),"-",(401638.28799-319036.72565)/3904696.37575*100)</f>
        <v>2.115441365761357</v>
      </c>
      <c r="G10" s="48">
        <f>IF(OR(4718168.92486="",399134.59932="",401638.28799=""),"-",(399134.59932-401638.28799)/4718168.92486*100)</f>
        <v>-0.053064837437423754</v>
      </c>
    </row>
    <row r="11" spans="1:7" ht="12.75" customHeight="1">
      <c r="A11" s="40" t="s">
        <v>3</v>
      </c>
      <c r="B11" s="48">
        <f>IF(336250.35116="","-",336250.35116)</f>
        <v>336250.35116</v>
      </c>
      <c r="C11" s="48">
        <f>IF(OR(325485.80221="",336250.35116=""),"-",336250.35116/325485.80221*100)</f>
        <v>103.30722534651599</v>
      </c>
      <c r="D11" s="48">
        <f>IF(325485.80221="","-",325485.80221/4718168.92486*100)</f>
        <v>6.898561865706367</v>
      </c>
      <c r="E11" s="48">
        <f>IF(336250.35116="","-",336250.35116/4797462.21183*100)</f>
        <v>7.008921306995282</v>
      </c>
      <c r="F11" s="48">
        <f>IF(OR(3904696.37575="",274890.93219="",325485.80221=""),"-",(325485.80221-274890.93219)/3904696.37575*100)</f>
        <v>1.2957440259431667</v>
      </c>
      <c r="G11" s="48">
        <f>IF(OR(4718168.92486="",336250.35116="",325485.80221=""),"-",(336250.35116-325485.80221)/4718168.92486*100)</f>
        <v>0.2281509865677274</v>
      </c>
    </row>
    <row r="12" spans="1:7" ht="15.75">
      <c r="A12" s="40" t="s">
        <v>5</v>
      </c>
      <c r="B12" s="48">
        <f>IF(164473.76506="","-",164473.76506)</f>
        <v>164473.76506</v>
      </c>
      <c r="C12" s="48">
        <f>IF(OR(166181.85778="",164473.76506=""),"-",164473.76506/166181.85778*100)</f>
        <v>98.97215451625216</v>
      </c>
      <c r="D12" s="48">
        <f>IF(166181.85778="","-",166181.85778/4718168.92486*100)</f>
        <v>3.52216846040397</v>
      </c>
      <c r="E12" s="48">
        <f>IF(164473.76506="","-",164473.76506/4797462.21183*100)</f>
        <v>3.4283493605103605</v>
      </c>
      <c r="F12" s="48">
        <f>IF(OR(3904696.37575="",133116.6662="",166181.85778=""),"-",(166181.85778-133116.6662)/3904696.37575*100)</f>
        <v>0.8468057026239061</v>
      </c>
      <c r="G12" s="48">
        <f>IF(OR(4718168.92486="",164473.76506="",166181.85778=""),"-",(164473.76506-166181.85778)/4718168.92486*100)</f>
        <v>-0.03620244945025298</v>
      </c>
    </row>
    <row r="13" spans="1:7" s="9" customFormat="1" ht="15.75">
      <c r="A13" s="40" t="s">
        <v>156</v>
      </c>
      <c r="B13" s="48">
        <f>IF(119573.42707="","-",119573.42707)</f>
        <v>119573.42707</v>
      </c>
      <c r="C13" s="48">
        <f>IF(OR(111446.15686="",119573.42707=""),"-",119573.42707/111446.15686*100)</f>
        <v>107.29255313865113</v>
      </c>
      <c r="D13" s="48">
        <f>IF(111446.15686="","-",111446.15686/4718168.92486*100)</f>
        <v>2.362063729274104</v>
      </c>
      <c r="E13" s="48">
        <f>IF(119573.42707="","-",119573.42707/4797462.21183*100)</f>
        <v>2.4924308267638966</v>
      </c>
      <c r="F13" s="48">
        <f>IF(OR(3904696.37575="",93630.7979="",111446.15686=""),"-",(111446.15686-93630.7979)/3904696.37575*100)</f>
        <v>0.4562546545396398</v>
      </c>
      <c r="G13" s="48">
        <f>IF(OR(4718168.92486="",119573.42707="",111446.15686=""),"-",(119573.42707-111446.15686)/4718168.92486*100)</f>
        <v>0.1722547526261188</v>
      </c>
    </row>
    <row r="14" spans="1:7" s="9" customFormat="1" ht="15.75">
      <c r="A14" s="40" t="s">
        <v>7</v>
      </c>
      <c r="B14" s="48">
        <f>IF(93238.24247="","-",93238.24247)</f>
        <v>93238.24247</v>
      </c>
      <c r="C14" s="48">
        <f>IF(OR(70803.01415="",93238.24247=""),"-",93238.24247/70803.01415*100)</f>
        <v>131.68682659818657</v>
      </c>
      <c r="D14" s="48">
        <f>IF(70803.01415="","-",70803.01415/4718168.92486*100)</f>
        <v>1.5006460191990882</v>
      </c>
      <c r="E14" s="48">
        <f>IF(93238.24247="","-",93238.24247/4797462.21183*100)</f>
        <v>1.943490919846852</v>
      </c>
      <c r="F14" s="48">
        <f>IF(OR(3904696.37575="",53362.4184="",70803.01415=""),"-",(70803.01415-53362.4184)/3904696.37575*100)</f>
        <v>0.44665689906939493</v>
      </c>
      <c r="G14" s="48">
        <f>IF(OR(4718168.92486="",93238.24247="",70803.01415=""),"-",(93238.24247-70803.01415)/4718168.92486*100)</f>
        <v>0.47550710195620444</v>
      </c>
    </row>
    <row r="15" spans="1:7" s="9" customFormat="1" ht="15.75">
      <c r="A15" s="40" t="s">
        <v>43</v>
      </c>
      <c r="B15" s="48">
        <f>IF(93160.13951="","-",93160.13951)</f>
        <v>93160.13951</v>
      </c>
      <c r="C15" s="48">
        <f>IF(OR(94697.40823="",93160.13951=""),"-",93160.13951/94697.40823*100)</f>
        <v>98.37665174925769</v>
      </c>
      <c r="D15" s="48">
        <f>IF(94697.40823="","-",94697.40823/4718168.92486*100)</f>
        <v>2.0070796475946424</v>
      </c>
      <c r="E15" s="48">
        <f>IF(93160.13951="","-",93160.13951/4797462.21183*100)</f>
        <v>1.9418629141106647</v>
      </c>
      <c r="F15" s="48">
        <f>IF(OR(3904696.37575="",81508.3948="",94697.40823=""),"-",(94697.40823-81508.3948)/3904696.37575*100)</f>
        <v>0.3377730855569201</v>
      </c>
      <c r="G15" s="48">
        <f>IF(OR(4718168.92486="",93160.13951="",94697.40823=""),"-",(93160.13951-94697.40823)/4718168.92486*100)</f>
        <v>-0.032581892350232504</v>
      </c>
    </row>
    <row r="16" spans="1:7" s="9" customFormat="1" ht="15.75">
      <c r="A16" s="40" t="s">
        <v>8</v>
      </c>
      <c r="B16" s="48">
        <f>IF(77995.20256="","-",77995.20256)</f>
        <v>77995.20256</v>
      </c>
      <c r="C16" s="48">
        <f>IF(OR(88073.26069="",77995.20256=""),"-",77995.20256/88073.26069*100)</f>
        <v>88.55718744708145</v>
      </c>
      <c r="D16" s="48">
        <f>IF(88073.26069="","-",88073.26069/4718168.92486*100)</f>
        <v>1.8666830732986812</v>
      </c>
      <c r="E16" s="48">
        <f>IF(77995.20256="","-",77995.20256/4797462.21183*100)</f>
        <v>1.6257596019760747</v>
      </c>
      <c r="F16" s="48">
        <f>IF(OR(3904696.37575="",65635.98216="",88073.26069=""),"-",(88073.26069-65635.98216)/3904696.37575*100)</f>
        <v>0.5746228738640484</v>
      </c>
      <c r="G16" s="48">
        <f>IF(OR(4718168.92486="",77995.20256="",88073.26069=""),"-",(77995.20256-88073.26069)/4718168.92486*100)</f>
        <v>-0.21360104503462712</v>
      </c>
    </row>
    <row r="17" spans="1:7" s="9" customFormat="1" ht="15.75">
      <c r="A17" s="40" t="s">
        <v>41</v>
      </c>
      <c r="B17" s="48">
        <f>IF(66723.45336="","-",66723.45336)</f>
        <v>66723.45336</v>
      </c>
      <c r="C17" s="48">
        <f>IF(OR(63261.34573="",66723.45336=""),"-",66723.45336/63261.34573*100)</f>
        <v>105.47270626327854</v>
      </c>
      <c r="D17" s="48">
        <f>IF(63261.34573="","-",63261.34573/4718168.92486*100)</f>
        <v>1.340802899122081</v>
      </c>
      <c r="E17" s="48">
        <f>IF(66723.45336="","-",66723.45336/4797462.21183*100)</f>
        <v>1.390807272967518</v>
      </c>
      <c r="F17" s="48">
        <f>IF(OR(3904696.37575="",48706.95618="",63261.34573=""),"-",(63261.34573-48706.95618)/3904696.37575*100)</f>
        <v>0.3727406217904573</v>
      </c>
      <c r="G17" s="48">
        <f>IF(OR(4718168.92486="",66723.45336="",63261.34573=""),"-",(66723.45336-63261.34573)/4718168.92486*100)</f>
        <v>0.07337820423847431</v>
      </c>
    </row>
    <row r="18" spans="1:7" s="9" customFormat="1" ht="15.75">
      <c r="A18" s="40" t="s">
        <v>6</v>
      </c>
      <c r="B18" s="48">
        <f>IF(47748.03071="","-",47748.03071)</f>
        <v>47748.03071</v>
      </c>
      <c r="C18" s="48">
        <f>IF(OR(54630.62425="",47748.03071=""),"-",47748.03071/54630.62425*100)</f>
        <v>87.40158357242275</v>
      </c>
      <c r="D18" s="48">
        <f>IF(54630.62425="","-",54630.62425/4718168.92486*100)</f>
        <v>1.1578776665276145</v>
      </c>
      <c r="E18" s="48">
        <f>IF(47748.03071="","-",47748.03071/4797462.21183*100)</f>
        <v>0.9952768485025009</v>
      </c>
      <c r="F18" s="48">
        <f>IF(OR(3904696.37575="",60502.35257="",54630.62425=""),"-",(54630.62425-60502.35257)/3904696.37575*100)</f>
        <v>-0.15037605373022586</v>
      </c>
      <c r="G18" s="48">
        <f>IF(OR(4718168.92486="",47748.03071="",54630.62425=""),"-",(47748.03071-54630.62425)/4718168.92486*100)</f>
        <v>-0.14587425015106312</v>
      </c>
    </row>
    <row r="19" spans="1:7" s="9" customFormat="1" ht="15" customHeight="1">
      <c r="A19" s="40" t="s">
        <v>10</v>
      </c>
      <c r="B19" s="48">
        <f>IF(47528.18611="","-",47528.18611)</f>
        <v>47528.18611</v>
      </c>
      <c r="C19" s="48">
        <f>IF(OR(48993.59018="",47528.18611=""),"-",47528.18611/48993.59018*100)</f>
        <v>97.00898818678897</v>
      </c>
      <c r="D19" s="48">
        <f>IF(48993.59018="","-",48993.59018/4718168.92486*100)</f>
        <v>1.03840262950004</v>
      </c>
      <c r="E19" s="48">
        <f>IF(47528.18611="","-",47528.18611/4797462.21183*100)</f>
        <v>0.9906943298646701</v>
      </c>
      <c r="F19" s="48">
        <f>IF(OR(3904696.37575="",38337.96047="",48993.59018=""),"-",(48993.59018-38337.96047)/3904696.37575*100)</f>
        <v>0.2728926575745164</v>
      </c>
      <c r="G19" s="48">
        <f>IF(OR(4718168.92486="",47528.18611="",48993.59018=""),"-",(47528.18611-48993.59018)/4718168.92486*100)</f>
        <v>-0.031058745317040108</v>
      </c>
    </row>
    <row r="20" spans="1:7" s="9" customFormat="1" ht="15" customHeight="1">
      <c r="A20" s="40" t="s">
        <v>157</v>
      </c>
      <c r="B20" s="48">
        <f>IF(46868.5277="","-",46868.5277)</f>
        <v>46868.5277</v>
      </c>
      <c r="C20" s="48">
        <f>IF(OR(48420.95825="",46868.5277=""),"-",46868.5277/48420.95825*100)</f>
        <v>96.7938871800415</v>
      </c>
      <c r="D20" s="48">
        <f>IF(48420.95825="","-",48420.95825/4718168.92486*100)</f>
        <v>1.0262658887618523</v>
      </c>
      <c r="E20" s="48">
        <f>IF(46868.5277="","-",46868.5277/4797462.21183*100)</f>
        <v>0.9769441765362424</v>
      </c>
      <c r="F20" s="48">
        <f>IF(OR(3904696.37575="",47472.43144="",48420.95825=""),"-",(48420.95825-47472.43144)/3904696.37575*100)</f>
        <v>0.024291947919198028</v>
      </c>
      <c r="G20" s="48">
        <f>IF(OR(4718168.92486="",46868.5277="",48420.95825=""),"-",(46868.5277-48420.95825)/4718168.92486*100)</f>
        <v>-0.03290324222645481</v>
      </c>
    </row>
    <row r="21" spans="1:7" s="9" customFormat="1" ht="15.75">
      <c r="A21" s="40" t="s">
        <v>42</v>
      </c>
      <c r="B21" s="48">
        <f>IF(34319.67876="","-",34319.67876)</f>
        <v>34319.67876</v>
      </c>
      <c r="C21" s="48">
        <f>IF(OR(38515.8062="",34319.67876=""),"-",34319.67876/38515.8062*100)</f>
        <v>89.10544045680653</v>
      </c>
      <c r="D21" s="48">
        <f>IF(38515.8062="","-",38515.8062/4718168.92486*100)</f>
        <v>0.816329529811035</v>
      </c>
      <c r="E21" s="48">
        <f>IF(34319.67876="","-",34319.67876/4797462.21183*100)</f>
        <v>0.7153715286255209</v>
      </c>
      <c r="F21" s="48">
        <f>IF(OR(3904696.37575="",31758.78457="",38515.8062=""),"-",(38515.8062-31758.78457)/3904696.37575*100)</f>
        <v>0.17304857996038514</v>
      </c>
      <c r="G21" s="48">
        <f>IF(OR(4718168.92486="",34319.67876="",38515.8062=""),"-",(34319.67876-38515.8062)/4718168.92486*100)</f>
        <v>-0.08893550669393437</v>
      </c>
    </row>
    <row r="22" spans="1:7" s="9" customFormat="1" ht="15.75">
      <c r="A22" s="40" t="s">
        <v>45</v>
      </c>
      <c r="B22" s="48">
        <f>IF(27619.14733="","-",27619.14733)</f>
        <v>27619.14733</v>
      </c>
      <c r="C22" s="48">
        <f>IF(OR(26830.30568="",27619.14733=""),"-",27619.14733/26830.30568*100)</f>
        <v>102.94011428497447</v>
      </c>
      <c r="D22" s="48">
        <f>IF(26830.30568="","-",26830.30568/4718168.92486*100)</f>
        <v>0.5686592851441012</v>
      </c>
      <c r="E22" s="48">
        <f>IF(27619.14733="","-",27619.14733/4797462.21183*100)</f>
        <v>0.5757032804113454</v>
      </c>
      <c r="F22" s="48">
        <f>IF(OR(3904696.37575="",19337.57405="",26830.30568=""),"-",(26830.30568-19337.57405)/3904696.37575*100)</f>
        <v>0.1918902498164361</v>
      </c>
      <c r="G22" s="48">
        <f>IF(OR(4718168.92486="",27619.14733="",26830.30568=""),"-",(27619.14733-26830.30568)/4718168.92486*100)</f>
        <v>0.016719232875355462</v>
      </c>
    </row>
    <row r="23" spans="1:7" s="9" customFormat="1" ht="15.75" customHeight="1">
      <c r="A23" s="40" t="s">
        <v>51</v>
      </c>
      <c r="B23" s="48">
        <f>IF(20431.97805="","-",20431.97805)</f>
        <v>20431.97805</v>
      </c>
      <c r="C23" s="48">
        <f>IF(OR(21078.95704="",20431.97805=""),"-",20431.97805/21078.95704*100)</f>
        <v>96.93068784773234</v>
      </c>
      <c r="D23" s="48">
        <f>IF(21078.95704="","-",21078.95704/4718168.92486*100)</f>
        <v>0.44676138933761195</v>
      </c>
      <c r="E23" s="48">
        <f>IF(20431.97805="","-",20431.97805/4797462.21183*100)</f>
        <v>0.42589138064739834</v>
      </c>
      <c r="F23" s="48">
        <f>IF(OR(3904696.37575="",16053.79785="",21078.95704=""),"-",(21078.95704-16053.79785)/3904696.37575*100)</f>
        <v>0.12869526094803685</v>
      </c>
      <c r="G23" s="48">
        <f>IF(OR(4718168.92486="",20431.97805="",21078.95704=""),"-",(20431.97805-21078.95704)/4718168.92486*100)</f>
        <v>-0.013712501614579159</v>
      </c>
    </row>
    <row r="24" spans="1:7" s="9" customFormat="1" ht="15.75">
      <c r="A24" s="40" t="s">
        <v>53</v>
      </c>
      <c r="B24" s="48">
        <f>IF(18916.44895="","-",18916.44895)</f>
        <v>18916.44895</v>
      </c>
      <c r="C24" s="48">
        <f>IF(OR(18628.06435="",18916.44895=""),"-",18916.44895/18628.06435*100)</f>
        <v>101.54811898102554</v>
      </c>
      <c r="D24" s="48">
        <f>IF(18628.06435="","-",18628.06435/4718168.92486*100)</f>
        <v>0.39481554490024423</v>
      </c>
      <c r="E24" s="48">
        <f>IF(18916.44895="","-",18916.44895/4797462.21183*100)</f>
        <v>0.39430115579345626</v>
      </c>
      <c r="F24" s="48">
        <f>IF(OR(3904696.37575="",13235.76731="",18628.06435=""),"-",(18628.06435-13235.76731)/3904696.37575*100)</f>
        <v>0.13809772953125626</v>
      </c>
      <c r="G24" s="48">
        <f>IF(OR(4718168.92486="",18916.44895="",18628.06435=""),"-",(18916.44895-18628.06435)/4718168.92486*100)</f>
        <v>0.00611221439064008</v>
      </c>
    </row>
    <row r="25" spans="1:7" s="9" customFormat="1" ht="15.75">
      <c r="A25" s="40" t="s">
        <v>9</v>
      </c>
      <c r="B25" s="48">
        <f>IF(18324.46215="","-",18324.46215)</f>
        <v>18324.46215</v>
      </c>
      <c r="C25" s="48">
        <f>IF(OR(19317.43087="",18324.46215=""),"-",18324.46215/19317.43087*100)</f>
        <v>94.85972681003827</v>
      </c>
      <c r="D25" s="48">
        <f>IF(19317.43087="","-",19317.43087/4718168.92486*100)</f>
        <v>0.40942643592552586</v>
      </c>
      <c r="E25" s="48">
        <f>IF(18324.46215="","-",18324.46215/4797462.21183*100)</f>
        <v>0.38196157345052023</v>
      </c>
      <c r="F25" s="48">
        <f>IF(OR(3904696.37575="",20359.05315="",19317.43087=""),"-",(19317.43087-20359.05315)/3904696.37575*100)</f>
        <v>-0.02667614021077192</v>
      </c>
      <c r="G25" s="48">
        <f>IF(OR(4718168.92486="",18324.46215="",19317.43087=""),"-",(18324.46215-19317.43087)/4718168.92486*100)</f>
        <v>-0.021045637318495646</v>
      </c>
    </row>
    <row r="26" spans="1:7" s="9" customFormat="1" ht="15.75">
      <c r="A26" s="40" t="s">
        <v>52</v>
      </c>
      <c r="B26" s="48">
        <f>IF(16244.13994="","-",16244.13994)</f>
        <v>16244.13994</v>
      </c>
      <c r="C26" s="48">
        <f>IF(OR(14260.50028="",16244.13994=""),"-",16244.13994/14260.50028*100)</f>
        <v>113.91002854775022</v>
      </c>
      <c r="D26" s="48">
        <f>IF(14260.50028="","-",14260.50028/4718168.92486*100)</f>
        <v>0.3022464966199392</v>
      </c>
      <c r="E26" s="48">
        <f>IF(16244.13994="","-",16244.13994/4797462.21183*100)</f>
        <v>0.33859860115091234</v>
      </c>
      <c r="F26" s="48">
        <f>IF(OR(3904696.37575="",10901.1922="",14260.50028=""),"-",(14260.50028-10901.1922)/3904696.37575*100)</f>
        <v>0.0860325043673788</v>
      </c>
      <c r="G26" s="48">
        <f>IF(OR(4718168.92486="",16244.13994="",14260.50028=""),"-",(16244.13994-14260.50028)/4718168.92486*100)</f>
        <v>0.04204257396440842</v>
      </c>
    </row>
    <row r="27" spans="1:7" s="9" customFormat="1" ht="15.75">
      <c r="A27" s="40" t="s">
        <v>44</v>
      </c>
      <c r="B27" s="48">
        <f>IF(13263.15546="","-",13263.15546)</f>
        <v>13263.15546</v>
      </c>
      <c r="C27" s="48">
        <f>IF(OR(11472.87879="",13263.15546=""),"-",13263.15546/11472.87879*100)</f>
        <v>115.60442416214178</v>
      </c>
      <c r="D27" s="48">
        <f>IF(11472.87879="","-",11472.87879/4718168.92486*100)</f>
        <v>0.2431637987684053</v>
      </c>
      <c r="E27" s="48">
        <f>IF(13263.15546="","-",13263.15546/4797462.21183*100)</f>
        <v>0.27646190578207275</v>
      </c>
      <c r="F27" s="48">
        <f>IF(OR(3904696.37575="",9294.17742="",11472.87879=""),"-",(11472.87879-9294.17742)/3904696.37575*100)</f>
        <v>0.05579694706945104</v>
      </c>
      <c r="G27" s="48">
        <f>IF(OR(4718168.92486="",13263.15546="",11472.87879=""),"-",(13263.15546-11472.87879)/4718168.92486*100)</f>
        <v>0.037944310568598844</v>
      </c>
    </row>
    <row r="28" spans="1:7" s="9" customFormat="1" ht="15.75">
      <c r="A28" s="40" t="s">
        <v>50</v>
      </c>
      <c r="B28" s="48">
        <f>IF(11523.3127="","-",11523.3127)</f>
        <v>11523.3127</v>
      </c>
      <c r="C28" s="48">
        <f>IF(OR(11316.85907="",11523.3127=""),"-",11523.3127/11316.85907*100)</f>
        <v>101.82430150205978</v>
      </c>
      <c r="D28" s="48">
        <f>IF(11316.85907="","-",11316.85907/4718168.92486*100)</f>
        <v>0.2398570133928768</v>
      </c>
      <c r="E28" s="48">
        <f>IF(11523.3127="","-",11523.3127/4797462.21183*100)</f>
        <v>0.24019600762221352</v>
      </c>
      <c r="F28" s="48">
        <f>IF(OR(3904696.37575="",11082.76853="",11316.85907=""),"-",(11316.85907-11082.76853)/3904696.37575*100)</f>
        <v>0.005995102242873821</v>
      </c>
      <c r="G28" s="48">
        <f>IF(OR(4718168.92486="",11523.3127="",11316.85907=""),"-",(11523.3127-11316.85907)/4718168.92486*100)</f>
        <v>0.004375715098122012</v>
      </c>
    </row>
    <row r="29" spans="1:7" s="9" customFormat="1" ht="15.75">
      <c r="A29" s="40" t="s">
        <v>49</v>
      </c>
      <c r="B29" s="48">
        <f>IF(10604.32435="","-",10604.32435)</f>
        <v>10604.32435</v>
      </c>
      <c r="C29" s="48">
        <f>IF(OR(13119.49755="",10604.32435=""),"-",10604.32435/13119.49755*100)</f>
        <v>80.82873836887146</v>
      </c>
      <c r="D29" s="48">
        <f>IF(13119.49755="","-",13119.49755/4718168.92486*100)</f>
        <v>0.2780633283576062</v>
      </c>
      <c r="E29" s="48">
        <f>IF(10604.32435="","-",10604.32435/4797462.21183*100)</f>
        <v>0.22104028925649344</v>
      </c>
      <c r="F29" s="48">
        <f>IF(OR(3904696.37575="",11970.79875="",13119.49755=""),"-",(13119.49755-11970.79875)/3904696.37575*100)</f>
        <v>0.029418389791686737</v>
      </c>
      <c r="G29" s="48">
        <f>IF(OR(4718168.92486="",10604.32435="",13119.49755=""),"-",(10604.32435-13119.49755)/4718168.92486*100)</f>
        <v>-0.05330824817966073</v>
      </c>
    </row>
    <row r="30" spans="1:7" s="9" customFormat="1" ht="15.75">
      <c r="A30" s="40" t="s">
        <v>46</v>
      </c>
      <c r="B30" s="48">
        <f>IF(9009.0761="","-",9009.0761)</f>
        <v>9009.0761</v>
      </c>
      <c r="C30" s="48">
        <f>IF(OR(9609.89673="",9009.0761=""),"-",9009.0761/9609.89673*100)</f>
        <v>93.74789712230341</v>
      </c>
      <c r="D30" s="48">
        <f>IF(9609.89673="","-",9609.89673/4718168.92486*100)</f>
        <v>0.20367852196570413</v>
      </c>
      <c r="E30" s="48">
        <f>IF(9009.0761="","-",9009.0761/4797462.21183*100)</f>
        <v>0.18778837023009032</v>
      </c>
      <c r="F30" s="48">
        <f>IF(OR(3904696.37575="",6777.5956="",9609.89673=""),"-",(9609.89673-6777.5956)/3904696.37575*100)</f>
        <v>0.0725357584161965</v>
      </c>
      <c r="G30" s="48">
        <f>IF(OR(4718168.92486="",9009.0761="",9609.89673=""),"-",(9009.0761-9609.89673)/4718168.92486*100)</f>
        <v>-0.01273419073306766</v>
      </c>
    </row>
    <row r="31" spans="1:7" s="9" customFormat="1" ht="15.75">
      <c r="A31" s="40" t="s">
        <v>54</v>
      </c>
      <c r="B31" s="48">
        <f>IF(5893.41843="","-",5893.41843)</f>
        <v>5893.41843</v>
      </c>
      <c r="C31" s="48">
        <f>IF(OR(5447.96726="",5893.41843=""),"-",5893.41843/5447.96726*100)</f>
        <v>108.1764656199494</v>
      </c>
      <c r="D31" s="48">
        <f>IF(5447.96726="","-",5447.96726/4718168.92486*100)</f>
        <v>0.1154678297187432</v>
      </c>
      <c r="E31" s="48">
        <f>IF(5893.41843="","-",5893.41843/4797462.21183*100)</f>
        <v>0.12284449923268798</v>
      </c>
      <c r="F31" s="48">
        <f>IF(OR(3904696.37575="",5617.46916="",5447.96726=""),"-",(5447.96726-5617.46916)/3904696.37575*100)</f>
        <v>-0.0043409751665375515</v>
      </c>
      <c r="G31" s="48">
        <f>IF(OR(4718168.92486="",5893.41843="",5447.96726=""),"-",(5893.41843-5447.96726)/4718168.92486*100)</f>
        <v>0.009441187399054753</v>
      </c>
    </row>
    <row r="32" spans="1:7" s="9" customFormat="1" ht="15.75">
      <c r="A32" s="40" t="s">
        <v>158</v>
      </c>
      <c r="B32" s="48">
        <f>IF(4660.97357="","-",4660.97357)</f>
        <v>4660.97357</v>
      </c>
      <c r="C32" s="48" t="s">
        <v>106</v>
      </c>
      <c r="D32" s="48">
        <f>IF(2740.53802="","-",2740.53802/4718168.92486*100)</f>
        <v>0.05808477957540104</v>
      </c>
      <c r="E32" s="48">
        <f>IF(4660.97357="","-",4660.97357/4797462.21183*100)</f>
        <v>0.09715498245106685</v>
      </c>
      <c r="F32" s="48">
        <f>IF(OR(3904696.37575="",1753.3375="",2740.53802=""),"-",(2740.53802-1753.3375)/3904696.37575*100)</f>
        <v>0.02528238882108681</v>
      </c>
      <c r="G32" s="48">
        <f>IF(OR(4718168.92486="",4660.97357="",2740.53802=""),"-",(4660.97357-2740.53802)/4718168.92486*100)</f>
        <v>0.04070298415729116</v>
      </c>
    </row>
    <row r="33" spans="1:7" s="9" customFormat="1" ht="15.75">
      <c r="A33" s="40" t="s">
        <v>47</v>
      </c>
      <c r="B33" s="48">
        <f>IF(3941.2503="","-",3941.2503)</f>
        <v>3941.2503</v>
      </c>
      <c r="C33" s="48">
        <f>IF(OR(4065.09378="",3941.2503=""),"-",3941.2503/4065.09378*100)</f>
        <v>96.95349020951738</v>
      </c>
      <c r="D33" s="48">
        <f>IF(4065.09378="","-",4065.09378/4718168.92486*100)</f>
        <v>0.08615829243800595</v>
      </c>
      <c r="E33" s="48">
        <f>IF(3941.2503="","-",3941.2503/4797462.21183*100)</f>
        <v>0.08215281592591436</v>
      </c>
      <c r="F33" s="48">
        <f>IF(OR(3904696.37575="",4158.73746="",4065.09378=""),"-",(4065.09378-4158.73746)/3904696.37575*100)</f>
        <v>-0.002398232051576952</v>
      </c>
      <c r="G33" s="48">
        <f>IF(OR(4718168.92486="",3941.2503="",4065.09378=""),"-",(3941.2503-4065.09378)/4718168.92486*100)</f>
        <v>-0.0026248208144364978</v>
      </c>
    </row>
    <row r="34" spans="1:7" s="9" customFormat="1" ht="15.75">
      <c r="A34" s="40" t="s">
        <v>55</v>
      </c>
      <c r="B34" s="48">
        <f>IF(1727.18506="","-",1727.18506)</f>
        <v>1727.18506</v>
      </c>
      <c r="C34" s="48" t="s">
        <v>168</v>
      </c>
      <c r="D34" s="48">
        <f>IF(799.48262="","-",799.48262/4718168.92486*100)</f>
        <v>0.016944764647732972</v>
      </c>
      <c r="E34" s="48">
        <f>IF(1727.18506="","-",1727.18506/4797462.21183*100)</f>
        <v>0.03600205658193527</v>
      </c>
      <c r="F34" s="48">
        <f>IF(OR(3904696.37575="",2012.34081="",799.48262=""),"-",(799.48262-2012.34081)/3904696.37575*100)</f>
        <v>-0.031061523695732642</v>
      </c>
      <c r="G34" s="48">
        <f>IF(OR(4718168.92486="",1727.18506="",799.48262=""),"-",(1727.18506-799.48262)/4718168.92486*100)</f>
        <v>0.019662340513328005</v>
      </c>
    </row>
    <row r="35" spans="1:7" s="9" customFormat="1" ht="15.75">
      <c r="A35" s="40" t="s">
        <v>48</v>
      </c>
      <c r="B35" s="48">
        <f>IF(639.16563="","-",639.16563)</f>
        <v>639.16563</v>
      </c>
      <c r="C35" s="48">
        <f>IF(OR(779.19355="",639.16563=""),"-",639.16563/779.19355*100)</f>
        <v>82.0291222893208</v>
      </c>
      <c r="D35" s="48">
        <f>IF(779.19355="","-",779.19355/4718168.92486*100)</f>
        <v>0.016514744647959392</v>
      </c>
      <c r="E35" s="48">
        <f>IF(639.16563="","-",639.16563/4797462.21183*100)</f>
        <v>0.013322994570418703</v>
      </c>
      <c r="F35" s="48">
        <f>IF(OR(3904696.37575="",853.79302="",779.19355=""),"-",(779.19355-853.79302)/3904696.37575*100)</f>
        <v>-0.0019105062934802759</v>
      </c>
      <c r="G35" s="48">
        <f>IF(OR(4718168.92486="",639.16563="",779.19355=""),"-",(639.16563-779.19355)/4718168.92486*100)</f>
        <v>-0.002967844564915721</v>
      </c>
    </row>
    <row r="36" spans="1:7" s="9" customFormat="1" ht="15.75">
      <c r="A36" s="40" t="s">
        <v>56</v>
      </c>
      <c r="B36" s="48">
        <f>IF(96.16085="","-",96.16085)</f>
        <v>96.16085</v>
      </c>
      <c r="C36" s="48" t="s">
        <v>135</v>
      </c>
      <c r="D36" s="48">
        <f>IF(62.81333="","-",62.81333/4718168.92486*100)</f>
        <v>0.0013313073567382675</v>
      </c>
      <c r="E36" s="48">
        <f>IF(96.16085="","-",96.16085/4797462.21183*100)</f>
        <v>0.0020044107854122997</v>
      </c>
      <c r="F36" s="48">
        <f>IF(OR(3904696.37575="",235.36642="",62.81333=""),"-",(62.81333-235.36642)/3904696.37575*100)</f>
        <v>-0.004419116709602206</v>
      </c>
      <c r="G36" s="48">
        <f>IF(OR(4718168.92486="",96.16085="",62.81333=""),"-",(96.16085-62.81333)/4718168.92486*100)</f>
        <v>0.000706789445886351</v>
      </c>
    </row>
    <row r="37" spans="1:7" s="9" customFormat="1" ht="15.75">
      <c r="A37" s="38" t="s">
        <v>175</v>
      </c>
      <c r="B37" s="39">
        <f>IF(1151392.5851="","-",1151392.5851)</f>
        <v>1151392.5851</v>
      </c>
      <c r="C37" s="39">
        <f>IF(1145629.56529="","-",1151392.5851/1145629.56529*100)</f>
        <v>100.50304391442108</v>
      </c>
      <c r="D37" s="39">
        <f>IF(1145629.56529="","-",1145629.56529/4718168.92486*100)</f>
        <v>24.281232476728118</v>
      </c>
      <c r="E37" s="39">
        <f>IF(1151392.5851="","-",1151392.5851/4797462.21183*100)</f>
        <v>24.000034481997503</v>
      </c>
      <c r="F37" s="39">
        <f>IF(3904696.37575="","-",(1145629.56529-964408.66903)/3904696.37575*100)</f>
        <v>4.641100839119452</v>
      </c>
      <c r="G37" s="39">
        <f>IF(4718168.92486="","-",(1151392.5851-1145629.56529)/4718168.92486*100)</f>
        <v>0.12214526232061462</v>
      </c>
    </row>
    <row r="38" spans="1:7" s="9" customFormat="1" ht="15.75">
      <c r="A38" s="40" t="s">
        <v>159</v>
      </c>
      <c r="B38" s="41">
        <f>IF(546725.84556="","-",546725.84556)</f>
        <v>546725.84556</v>
      </c>
      <c r="C38" s="41">
        <f>IF(OR(545189.6438="",546725.84556=""),"-",546725.84556/545189.6438*100)</f>
        <v>100.28177383365038</v>
      </c>
      <c r="D38" s="41">
        <f>IF(545189.6438="","-",545189.6438/4718168.92486*100)</f>
        <v>11.555110732203747</v>
      </c>
      <c r="E38" s="41">
        <f>IF(546725.84556="","-",546725.84556/4797462.21183*100)</f>
        <v>11.396146992295964</v>
      </c>
      <c r="F38" s="41">
        <f>IF(OR(3904696.37575="",442919.77881="",545189.6438=""),"-",(545189.6438-442919.77881)/3904696.37575*100)</f>
        <v>2.619150252632801</v>
      </c>
      <c r="G38" s="41">
        <f>IF(OR(4718168.92486="",546725.84556="",545189.6438=""),"-",(546725.84556-545189.6438)/4718168.92486*100)</f>
        <v>0.03255927849267641</v>
      </c>
    </row>
    <row r="39" spans="1:7" s="9" customFormat="1" ht="15.75">
      <c r="A39" s="40" t="s">
        <v>12</v>
      </c>
      <c r="B39" s="41">
        <f>IF(477411.7079="","-",477411.7079)</f>
        <v>477411.7079</v>
      </c>
      <c r="C39" s="41">
        <f>IF(OR(476372.51382="",477411.7079=""),"-",477411.7079/476372.51382*100)</f>
        <v>100.21814736363916</v>
      </c>
      <c r="D39" s="41">
        <f>IF(476372.51382="","-",476372.51382/4718168.92486*100)</f>
        <v>10.096554858601957</v>
      </c>
      <c r="E39" s="41">
        <f>IF(477411.7079="","-",477411.7079/4797462.21183*100)</f>
        <v>9.951338579025315</v>
      </c>
      <c r="F39" s="41">
        <f>IF(OR(3904696.37575="",419001.18624="",476372.51382=""),"-",(476372.51382-419001.18624)/3904696.37575*100)</f>
        <v>1.469290363683663</v>
      </c>
      <c r="G39" s="41">
        <f>IF(OR(4718168.92486="",477411.7079="",476372.51382=""),"-",(477411.7079-476372.51382)/4718168.92486*100)</f>
        <v>0.022025368242423033</v>
      </c>
    </row>
    <row r="40" spans="1:7" s="9" customFormat="1" ht="15.75">
      <c r="A40" s="40" t="s">
        <v>11</v>
      </c>
      <c r="B40" s="41">
        <f>IF(108882.50528="","-",108882.50528)</f>
        <v>108882.50528</v>
      </c>
      <c r="C40" s="41">
        <f>IF(OR(103829.87086="",108882.50528=""),"-",108882.50528/103829.87086*100)</f>
        <v>104.86626283761132</v>
      </c>
      <c r="D40" s="41">
        <f>IF(103829.87086="","-",103829.87086/4718168.92486*100)</f>
        <v>2.2006391147404902</v>
      </c>
      <c r="E40" s="41">
        <f>IF(108882.50528="","-",108882.50528/4797462.21183*100)</f>
        <v>2.269585469824192</v>
      </c>
      <c r="F40" s="41">
        <f>IF(OR(3904696.37575="",95252.09335="",103829.87086=""),"-",(103829.87086-95252.09335)/3904696.37575*100)</f>
        <v>0.2196784764949211</v>
      </c>
      <c r="G40" s="41">
        <f>IF(OR(4718168.92486="",108882.50528="",103829.87086=""),"-",(108882.50528-103829.87086)/4718168.92486*100)</f>
        <v>0.10708888343055514</v>
      </c>
    </row>
    <row r="41" spans="1:7" s="9" customFormat="1" ht="15.75">
      <c r="A41" s="40" t="s">
        <v>13</v>
      </c>
      <c r="B41" s="41">
        <f>IF(8102.35469="","-",8102.35469)</f>
        <v>8102.35469</v>
      </c>
      <c r="C41" s="41" t="s">
        <v>176</v>
      </c>
      <c r="D41" s="41">
        <f>IF(4347.49126="","-",4347.49126/4718168.92486*100)</f>
        <v>0.09214361183833622</v>
      </c>
      <c r="E41" s="41">
        <f>IF(8102.35469="","-",8102.35469/4797462.21183*100)</f>
        <v>0.16888834830257773</v>
      </c>
      <c r="F41" s="41">
        <f>IF(OR(3904696.37575="",1461.33501="",4347.49126=""),"-",(4347.49126-1461.33501)/3904696.37575*100)</f>
        <v>0.07391499805015281</v>
      </c>
      <c r="G41" s="41">
        <f>IF(OR(4718168.92486="",8102.35469="",4347.49126=""),"-",(8102.35469-4347.49126)/4718168.92486*100)</f>
        <v>0.0795830647397055</v>
      </c>
    </row>
    <row r="42" spans="1:7" s="9" customFormat="1" ht="15.75">
      <c r="A42" s="40" t="s">
        <v>15</v>
      </c>
      <c r="B42" s="41">
        <f>IF(6529.21192="","-",6529.21192)</f>
        <v>6529.21192</v>
      </c>
      <c r="C42" s="41" t="s">
        <v>176</v>
      </c>
      <c r="D42" s="41">
        <f>IF(3393.79796="","-",3393.79796/4718168.92486*100)</f>
        <v>0.07193040380809813</v>
      </c>
      <c r="E42" s="41">
        <f>IF(6529.21192="","-",6529.21192/4797462.21183*100)</f>
        <v>0.1360972037236625</v>
      </c>
      <c r="F42" s="41">
        <f>IF(OR(3904696.37575="",5063.04358="",3393.79796=""),"-",(3393.79796-5063.04358)/3904696.37575*100)</f>
        <v>-0.042749690612740074</v>
      </c>
      <c r="G42" s="41">
        <f>IF(OR(4718168.92486="",6529.21192="",3393.79796=""),"-",(6529.21192-3393.79796)/4718168.92486*100)</f>
        <v>0.06645404202209729</v>
      </c>
    </row>
    <row r="43" spans="1:7" s="9" customFormat="1" ht="15.75">
      <c r="A43" s="40" t="s">
        <v>16</v>
      </c>
      <c r="B43" s="41">
        <f>IF(2114.53558="","-",2114.53558)</f>
        <v>2114.53558</v>
      </c>
      <c r="C43" s="41">
        <f>IF(OR(10953.42423="",2114.53558=""),"-",2114.53558/10953.42423*100)</f>
        <v>19.30479031578603</v>
      </c>
      <c r="D43" s="41">
        <f>IF(10953.42423="","-",10953.42423/4718168.92486*100)</f>
        <v>0.23215413446276761</v>
      </c>
      <c r="E43" s="41">
        <f>IF(2114.53558="","-",2114.53558/4797462.21183*100)</f>
        <v>0.044076127890820986</v>
      </c>
      <c r="F43" s="41">
        <f>IF(OR(3904696.37575="",4.47522="",10953.42423=""),"-",(10953.42423-4.47522)/3904696.37575*100)</f>
        <v>0.28040461937061534</v>
      </c>
      <c r="G43" s="41">
        <f>IF(OR(4718168.92486="",2114.53558="",10953.42423=""),"-",(2114.53558-10953.42423)/4718168.92486*100)</f>
        <v>-0.1873372655953024</v>
      </c>
    </row>
    <row r="44" spans="1:7" s="9" customFormat="1" ht="15.75">
      <c r="A44" s="40" t="s">
        <v>17</v>
      </c>
      <c r="B44" s="41">
        <f>IF(884.04879="","-",884.04879)</f>
        <v>884.04879</v>
      </c>
      <c r="C44" s="41">
        <f>IF(OR(829.91561="",884.04879=""),"-",884.04879/829.91561*100)</f>
        <v>106.52273307643894</v>
      </c>
      <c r="D44" s="41">
        <f>IF(829.91561="","-",829.91561/4718168.92486*100)</f>
        <v>0.017589781612675638</v>
      </c>
      <c r="E44" s="41">
        <f>IF(884.04879="","-",884.04879/4797462.21183*100)</f>
        <v>0.01842742581317338</v>
      </c>
      <c r="F44" s="41">
        <f>IF(OR(3904696.37575="",467.46217="",829.91561=""),"-",(829.91561-467.46217)/3904696.37575*100)</f>
        <v>0.009282499972366768</v>
      </c>
      <c r="G44" s="41">
        <f>IF(OR(4718168.92486="",884.04879="",829.91561=""),"-",(884.04879-829.91561)/4718168.92486*100)</f>
        <v>0.0011473345033233694</v>
      </c>
    </row>
    <row r="45" spans="1:7" s="9" customFormat="1" ht="15.75">
      <c r="A45" s="40" t="s">
        <v>14</v>
      </c>
      <c r="B45" s="41">
        <f>IF(581.38877="","-",581.38877)</f>
        <v>581.38877</v>
      </c>
      <c r="C45" s="41">
        <f>IF(OR(481.92602="",581.38877=""),"-",581.38877/481.92602*100)</f>
        <v>120.63859303550366</v>
      </c>
      <c r="D45" s="41">
        <f>IF(481.92602="","-",481.92602/4718168.92486*100)</f>
        <v>0.01021425955015589</v>
      </c>
      <c r="E45" s="41">
        <f>IF(581.38877="","-",581.38877/4797462.21183*100)</f>
        <v>0.012118673255338226</v>
      </c>
      <c r="F45" s="41">
        <f>IF(OR(3904696.37575="",141.24066="",481.92602=""),"-",(481.92602-141.24066)/3904696.37575*100)</f>
        <v>0.008725015397248714</v>
      </c>
      <c r="G45" s="41">
        <f>IF(OR(4718168.92486="",581.38877="",481.92602=""),"-",(581.38877-481.92602)/4718168.92486*100)</f>
        <v>0.002108079460146742</v>
      </c>
    </row>
    <row r="46" spans="1:7" s="9" customFormat="1" ht="15.75">
      <c r="A46" s="40" t="s">
        <v>136</v>
      </c>
      <c r="B46" s="41">
        <f>IF(160.85103="","-",160.85103)</f>
        <v>160.85103</v>
      </c>
      <c r="C46" s="41">
        <f>IF(OR(230.70813="",160.85103=""),"-",160.85103/230.70813*100)</f>
        <v>69.720572916091</v>
      </c>
      <c r="D46" s="41">
        <f>IF(230.70813="","-",230.70813/4718168.92486*100)</f>
        <v>0.0048897810501103605</v>
      </c>
      <c r="E46" s="41">
        <f>IF(160.85103="","-",160.85103/4797462.21183*100)</f>
        <v>0.0033528357889585775</v>
      </c>
      <c r="F46" s="41">
        <f>IF(OR(3904696.37575="",95.42623="",230.70813=""),"-",(230.70813-95.42623)/3904696.37575*100)</f>
        <v>0.003464594605618101</v>
      </c>
      <c r="G46" s="41">
        <f>IF(OR(4718168.92486="",160.85103="",230.70813=""),"-",(160.85103-230.70813)/4718168.92486*100)</f>
        <v>-0.0014805976876309669</v>
      </c>
    </row>
    <row r="47" spans="1:7" s="9" customFormat="1" ht="15.75">
      <c r="A47" s="40" t="s">
        <v>18</v>
      </c>
      <c r="B47" s="41">
        <f>IF(0.13558="","-",0.13558)</f>
        <v>0.13558</v>
      </c>
      <c r="C47" s="41">
        <f>IF(OR(0.2736="",0.13558=""),"-",0.13558/0.2736*100)</f>
        <v>49.55409356725146</v>
      </c>
      <c r="D47" s="41">
        <f>IF(0.2736="","-",0.2736/4718168.92486*100)</f>
        <v>5.79885977711403E-06</v>
      </c>
      <c r="E47" s="41">
        <f>IF(0.13558="","-",0.13558/4797462.21183*100)</f>
        <v>2.826077497091588E-06</v>
      </c>
      <c r="F47" s="41">
        <f>IF(OR(3904696.37575="",2.62776="",0.2736=""),"-",(0.2736-2.62776)/3904696.37575*100)</f>
        <v>-6.029047519854399E-05</v>
      </c>
      <c r="G47" s="41">
        <f>IF(OR(4718168.92486="",0.13558="",0.2736=""),"-",(0.13558-0.2736)/4718168.92486*100)</f>
        <v>-2.925287377329234E-06</v>
      </c>
    </row>
    <row r="48" spans="1:7" s="9" customFormat="1" ht="15.75">
      <c r="A48" s="38" t="s">
        <v>170</v>
      </c>
      <c r="B48" s="39">
        <f>IF(1254821.07936="","-",1254821.07936)</f>
        <v>1254821.07936</v>
      </c>
      <c r="C48" s="39">
        <f>IF(1196000.79767="","-",1254821.07936/1196000.79767*100)</f>
        <v>104.91808047323975</v>
      </c>
      <c r="D48" s="39">
        <f>IF(1196000.79767="","-",1196000.79767/4718168.92486*100)</f>
        <v>25.34883376829261</v>
      </c>
      <c r="E48" s="39">
        <f>IF(1254821.07936="","-",1254821.07936/4797462.21183*100)</f>
        <v>26.15593461613419</v>
      </c>
      <c r="F48" s="39">
        <f>IF(3904696.37575="","-",(1196000.79767-995243.55767)/3904696.37575*100)</f>
        <v>5.141430233776865</v>
      </c>
      <c r="G48" s="39">
        <f>IF(4718168.92486="","-",(1254821.07936-1196000.79767)/4718168.92486*100)</f>
        <v>1.2466760437524065</v>
      </c>
    </row>
    <row r="49" spans="1:7" s="9" customFormat="1" ht="15.75">
      <c r="A49" s="40" t="s">
        <v>60</v>
      </c>
      <c r="B49" s="41">
        <f>IF(493355.5871="","-",493355.5871)</f>
        <v>493355.5871</v>
      </c>
      <c r="C49" s="41">
        <f>IF(OR(495166.27571="",493355.5871=""),"-",493355.5871/495166.27571*100)</f>
        <v>99.6343271545697</v>
      </c>
      <c r="D49" s="41">
        <f>IF(495166.27571="","-",495166.27571/4718168.92486*100)</f>
        <v>10.494882307010508</v>
      </c>
      <c r="E49" s="41">
        <f>IF(493355.5871="","-",493355.5871/4797462.21183*100)</f>
        <v>10.283678439059734</v>
      </c>
      <c r="F49" s="41">
        <f>IF(OR(3904696.37575="",404590.48727="",495166.27571=""),"-",(495166.27571-404590.48727)/3904696.37575*100)</f>
        <v>2.319662778456175</v>
      </c>
      <c r="G49" s="41">
        <f>IF(OR(4718168.92486="",493355.5871="",495166.27571=""),"-",(493355.5871-495166.27571)/4718168.92486*100)</f>
        <v>-0.03837693475660666</v>
      </c>
    </row>
    <row r="50" spans="1:7" s="9" customFormat="1" ht="15.75">
      <c r="A50" s="40" t="s">
        <v>57</v>
      </c>
      <c r="B50" s="41">
        <f>IF(323147.54985="","-",323147.54985)</f>
        <v>323147.54985</v>
      </c>
      <c r="C50" s="41">
        <f>IF(OR(273952.99189="",323147.54985=""),"-",323147.54985/273952.99189*100)</f>
        <v>117.9572990317087</v>
      </c>
      <c r="D50" s="41">
        <f>IF(273952.99189="","-",273952.99189/4718168.92486*100)</f>
        <v>5.806341321238915</v>
      </c>
      <c r="E50" s="41">
        <f>IF(323147.54985="","-",323147.54985/4797462.21183*100)</f>
        <v>6.735801879859618</v>
      </c>
      <c r="F50" s="41">
        <f>IF(OR(3904696.37575="",246254.26519="",273952.99189=""),"-",(273952.99189-246254.26519)/3904696.37575*100)</f>
        <v>0.709369539512012</v>
      </c>
      <c r="G50" s="41">
        <f>IF(OR(4718168.92486="",323147.54985="",273952.99189=""),"-",(323147.54985-273952.99189)/4718168.92486*100)</f>
        <v>1.0426620738565382</v>
      </c>
    </row>
    <row r="51" spans="1:7" s="9" customFormat="1" ht="15.75">
      <c r="A51" s="40" t="s">
        <v>19</v>
      </c>
      <c r="B51" s="41">
        <f>IF(62896.57771="","-",62896.57771)</f>
        <v>62896.57771</v>
      </c>
      <c r="C51" s="41">
        <f>IF(OR(60678.00942="",62896.57771=""),"-",62896.57771/60678.00942*100)</f>
        <v>103.65629708556116</v>
      </c>
      <c r="D51" s="41">
        <f>IF(60678.00942="","-",60678.00942/4718168.92486*100)</f>
        <v>1.2860499568018429</v>
      </c>
      <c r="E51" s="41">
        <f>IF(62896.57771="","-",62896.57771/4797462.21183*100)</f>
        <v>1.3110385227194523</v>
      </c>
      <c r="F51" s="41">
        <f>IF(OR(3904696.37575="",59500.28458="",60678.00942=""),"-",(60678.00942-59500.28458)/3904696.37575*100)</f>
        <v>0.030161752071536915</v>
      </c>
      <c r="G51" s="41">
        <f>IF(OR(4718168.92486="",62896.57771="",60678.00942=""),"-",(62896.57771-60678.00942)/4718168.92486*100)</f>
        <v>0.04702180708940654</v>
      </c>
    </row>
    <row r="52" spans="1:7" s="9" customFormat="1" ht="15.75">
      <c r="A52" s="40" t="s">
        <v>77</v>
      </c>
      <c r="B52" s="41">
        <f>IF(41002.37346="","-",41002.37346)</f>
        <v>41002.37346</v>
      </c>
      <c r="C52" s="41">
        <f>IF(OR(45197.06256="",41002.37346=""),"-",41002.37346/45197.06256*100)</f>
        <v>90.71911123774589</v>
      </c>
      <c r="D52" s="41">
        <f>IF(45197.06256="","-",45197.06256/4718168.92486*100)</f>
        <v>0.9579365062971144</v>
      </c>
      <c r="E52" s="41">
        <f>IF(41002.37346="","-",41002.37346/4797462.21183*100)</f>
        <v>0.8546679817277721</v>
      </c>
      <c r="F52" s="41">
        <f>IF(OR(3904696.37575="",29363.67678="",45197.06256=""),"-",(45197.06256-29363.67678)/3904696.37575*100)</f>
        <v>0.4054959529845333</v>
      </c>
      <c r="G52" s="41">
        <f>IF(OR(4718168.92486="",41002.37346="",45197.06256=""),"-",(41002.37346-45197.06256)/4718168.92486*100)</f>
        <v>-0.08890502156245843</v>
      </c>
    </row>
    <row r="53" spans="1:7" s="9" customFormat="1" ht="15.75">
      <c r="A53" s="40" t="s">
        <v>73</v>
      </c>
      <c r="B53" s="41">
        <f>IF(40506.69423="","-",40506.69423)</f>
        <v>40506.69423</v>
      </c>
      <c r="C53" s="41">
        <f>IF(OR(30563.09884="",40506.69423=""),"-",40506.69423/30563.09884*100)</f>
        <v>132.53464395758897</v>
      </c>
      <c r="D53" s="41">
        <f>IF(30563.09884="","-",30563.09884/4718168.92486*100)</f>
        <v>0.6477745779504256</v>
      </c>
      <c r="E53" s="41">
        <f>IF(40506.69423="","-",40506.69423/4797462.21183*100)</f>
        <v>0.8443358684538476</v>
      </c>
      <c r="F53" s="41">
        <f>IF(OR(3904696.37575="",29598.58152="",30563.09884=""),"-",(30563.09884-29598.58152)/3904696.37575*100)</f>
        <v>0.024701467852663396</v>
      </c>
      <c r="G53" s="41">
        <f>IF(OR(4718168.92486="",40506.69423="",30563.09884=""),"-",(40506.69423-30563.09884)/4718168.92486*100)</f>
        <v>0.21075115258394556</v>
      </c>
    </row>
    <row r="54" spans="1:7" s="9" customFormat="1" ht="15.75">
      <c r="A54" s="40" t="s">
        <v>37</v>
      </c>
      <c r="B54" s="41">
        <f>IF(33537.32798="","-",33537.32798)</f>
        <v>33537.32798</v>
      </c>
      <c r="C54" s="41">
        <f>IF(OR(33322.52415="",33537.32798=""),"-",33537.32798/33322.52415*100)</f>
        <v>100.64462052464296</v>
      </c>
      <c r="D54" s="41">
        <f>IF(33322.52415="","-",33322.52415/4718168.92486*100)</f>
        <v>0.706259667271001</v>
      </c>
      <c r="E54" s="41">
        <f>IF(33537.32798="","-",33537.32798/4797462.21183*100)</f>
        <v>0.69906393212021</v>
      </c>
      <c r="F54" s="41">
        <f>IF(OR(3904696.37575="",22490.49784="",33322.52415=""),"-",(33322.52415-22490.49784)/3904696.37575*100)</f>
        <v>0.2774102072896621</v>
      </c>
      <c r="G54" s="41">
        <f>IF(OR(4718168.92486="",33537.32798="",33322.52415=""),"-",(33537.32798-33322.52415)/4718168.92486*100)</f>
        <v>0.004552694772503894</v>
      </c>
    </row>
    <row r="55" spans="1:7" s="9" customFormat="1" ht="15.75">
      <c r="A55" s="40" t="s">
        <v>70</v>
      </c>
      <c r="B55" s="41">
        <f>IF(29479.79421="","-",29479.79421)</f>
        <v>29479.79421</v>
      </c>
      <c r="C55" s="41">
        <f>IF(OR(24773.29902="",29479.79421=""),"-",29479.79421/24773.29902*100)</f>
        <v>118.99825770560615</v>
      </c>
      <c r="D55" s="41">
        <f>IF(24773.29902="","-",24773.29902/4718168.92486*100)</f>
        <v>0.5250617223446506</v>
      </c>
      <c r="E55" s="41">
        <f>IF(29479.79421="","-",29479.79421/4797462.21183*100)</f>
        <v>0.6144872623969013</v>
      </c>
      <c r="F55" s="41">
        <f>IF(OR(3904696.37575="",22485.03872="",24773.29902=""),"-",(24773.29902-22485.03872)/3904696.37575*100)</f>
        <v>0.05860277163190383</v>
      </c>
      <c r="G55" s="41">
        <f>IF(OR(4718168.92486="",29479.79421="",24773.29902=""),"-",(29479.79421-24773.29902)/4718168.92486*100)</f>
        <v>0.09975257912453092</v>
      </c>
    </row>
    <row r="56" spans="1:7" s="9" customFormat="1" ht="15.75">
      <c r="A56" s="40" t="s">
        <v>161</v>
      </c>
      <c r="B56" s="41">
        <f>IF(28456.8942="","-",28456.8942)</f>
        <v>28456.8942</v>
      </c>
      <c r="C56" s="41">
        <f>IF(OR(27763.58737="",28456.8942=""),"-",28456.8942/27763.58737*100)</f>
        <v>102.497180284235</v>
      </c>
      <c r="D56" s="41">
        <f>IF(27763.58737="","-",27763.58737/4718168.92486*100)</f>
        <v>0.5884398759805706</v>
      </c>
      <c r="E56" s="41">
        <f>IF(28456.8942="","-",28456.8942/4797462.21183*100)</f>
        <v>0.5931655726193842</v>
      </c>
      <c r="F56" s="41">
        <f>IF(OR(3904696.37575="",24273.90264="",27763.58737=""),"-",(27763.58737-24273.90264)/3904696.37575*100)</f>
        <v>0.08937147460869387</v>
      </c>
      <c r="G56" s="41">
        <f>IF(OR(4718168.92486="",28456.8942="",27763.58737=""),"-",(28456.8942-27763.58737)/4718168.92486*100)</f>
        <v>0.014694404567563676</v>
      </c>
    </row>
    <row r="57" spans="1:7" s="9" customFormat="1" ht="15.75">
      <c r="A57" s="40" t="s">
        <v>67</v>
      </c>
      <c r="B57" s="41">
        <f>IF(19697.80127="","-",19697.80127)</f>
        <v>19697.80127</v>
      </c>
      <c r="C57" s="41">
        <f>IF(OR(23563.79158="",19697.80127=""),"-",19697.80127/23563.79158*100)</f>
        <v>83.59351339161691</v>
      </c>
      <c r="D57" s="41">
        <f>IF(23563.79158="","-",23563.79158/4718168.92486*100)</f>
        <v>0.49942661984488396</v>
      </c>
      <c r="E57" s="41">
        <f>IF(19697.80127="","-",19697.80127/4797462.21183*100)</f>
        <v>0.41058794004520655</v>
      </c>
      <c r="F57" s="41">
        <f>IF(OR(3904696.37575="",14529.91193="",23563.79158=""),"-",(23563.79158-14529.91193)/3904696.37575*100)</f>
        <v>0.231359337081998</v>
      </c>
      <c r="G57" s="41">
        <f>IF(OR(4718168.92486="",19697.80127="",23563.79158=""),"-",(19697.80127-23563.79158)/4718168.92486*100)</f>
        <v>-0.08193836150355119</v>
      </c>
    </row>
    <row r="58" spans="1:7" s="9" customFormat="1" ht="15.75">
      <c r="A58" s="40" t="s">
        <v>71</v>
      </c>
      <c r="B58" s="41">
        <f>IF(18104.23948="","-",18104.23948)</f>
        <v>18104.23948</v>
      </c>
      <c r="C58" s="41">
        <f>IF(OR(16698.03356="",18104.23948=""),"-",18104.23948/16698.03356*100)</f>
        <v>108.4213863563465</v>
      </c>
      <c r="D58" s="41">
        <f>IF(16698.03356="","-",16698.03356/4718168.92486*100)</f>
        <v>0.35390919286543926</v>
      </c>
      <c r="E58" s="41">
        <f>IF(18104.23948="","-",18104.23948/4797462.21183*100)</f>
        <v>0.3773711741878235</v>
      </c>
      <c r="F58" s="41">
        <f>IF(OR(3904696.37575="",15665.6689="",16698.03356=""),"-",(16698.03356-15665.6689)/3904696.37575*100)</f>
        <v>0.026439050841736866</v>
      </c>
      <c r="G58" s="41">
        <f>IF(OR(4718168.92486="",18104.23948="",16698.03356=""),"-",(18104.23948-16698.03356)/4718168.92486*100)</f>
        <v>0.029804060481826142</v>
      </c>
    </row>
    <row r="59" spans="1:7" s="9" customFormat="1" ht="15.75">
      <c r="A59" s="40" t="s">
        <v>81</v>
      </c>
      <c r="B59" s="41">
        <f>IF(13744.20966="","-",13744.20966)</f>
        <v>13744.20966</v>
      </c>
      <c r="C59" s="41">
        <f>IF(OR(12091.40942="",13744.20966=""),"-",13744.20966/12091.40942*100)</f>
        <v>113.66921078088843</v>
      </c>
      <c r="D59" s="41">
        <f>IF(12091.40942="","-",12091.40942/4718168.92486*100)</f>
        <v>0.25627334698192866</v>
      </c>
      <c r="E59" s="41">
        <f>IF(13744.20966="","-",13744.20966/4797462.21183*100)</f>
        <v>0.28648916975538297</v>
      </c>
      <c r="F59" s="41">
        <f>IF(OR(3904696.37575="",9982.6264="",12091.40942=""),"-",(12091.40942-9982.6264)/3904696.37575*100)</f>
        <v>0.05400632512931184</v>
      </c>
      <c r="G59" s="41">
        <f>IF(OR(4718168.92486="",13744.20966="",12091.40942=""),"-",(13744.20966-12091.40942)/4718168.92486*100)</f>
        <v>0.035030543974197435</v>
      </c>
    </row>
    <row r="60" spans="1:7" s="9" customFormat="1" ht="15.75">
      <c r="A60" s="40" t="s">
        <v>62</v>
      </c>
      <c r="B60" s="41">
        <f>IF(10034.08417="","-",10034.08417)</f>
        <v>10034.08417</v>
      </c>
      <c r="C60" s="41">
        <f>IF(OR(8092.48446="",10034.08417=""),"-",10034.08417/8092.48446*100)</f>
        <v>123.99262821692216</v>
      </c>
      <c r="D60" s="41">
        <f>IF(8092.48446="","-",8092.48446/4718168.92486*100)</f>
        <v>0.17151748038016942</v>
      </c>
      <c r="E60" s="41">
        <f>IF(10034.08417="","-",10034.08417/4797462.21183*100)</f>
        <v>0.20915400115621716</v>
      </c>
      <c r="F60" s="41">
        <f>IF(OR(3904696.37575="",7382.70331="",8092.48446=""),"-",(8092.48446-7382.70331)/3904696.37575*100)</f>
        <v>0.018177627187816046</v>
      </c>
      <c r="G60" s="41">
        <f>IF(OR(4718168.92486="",10034.08417="",8092.48446=""),"-",(10034.08417-8092.48446)/4718168.92486*100)</f>
        <v>0.04115155139464645</v>
      </c>
    </row>
    <row r="61" spans="1:7" s="9" customFormat="1" ht="15.75">
      <c r="A61" s="40" t="s">
        <v>63</v>
      </c>
      <c r="B61" s="41">
        <f>IF(8892.24803="","-",8892.24803)</f>
        <v>8892.24803</v>
      </c>
      <c r="C61" s="41">
        <f>IF(OR(11209.08253="",8892.24803=""),"-",8892.24803/11209.08253*100)</f>
        <v>79.33073921260531</v>
      </c>
      <c r="D61" s="41">
        <f>IF(11209.08253="","-",11209.08253/4718168.92486*100)</f>
        <v>0.23757272595602547</v>
      </c>
      <c r="E61" s="41">
        <f>IF(8892.24803="","-",8892.24803/4797462.21183*100)</f>
        <v>0.18535316459758078</v>
      </c>
      <c r="F61" s="41">
        <f>IF(OR(3904696.37575="",7521.44771="",11209.08253=""),"-",(11209.08253-7521.44771)/3904696.37575*100)</f>
        <v>0.09444101320916896</v>
      </c>
      <c r="G61" s="41">
        <f>IF(OR(4718168.92486="",8892.24803="",11209.08253=""),"-",(8892.24803-11209.08253)/4718168.92486*100)</f>
        <v>-0.049104526287573426</v>
      </c>
    </row>
    <row r="62" spans="1:7" s="9" customFormat="1" ht="15.75">
      <c r="A62" s="40" t="s">
        <v>85</v>
      </c>
      <c r="B62" s="41">
        <f>IF(8693.70815="","-",8693.70815)</f>
        <v>8693.70815</v>
      </c>
      <c r="C62" s="41">
        <f>IF(OR(9404.32688="",8693.70815=""),"-",8693.70815/9404.32688*100)</f>
        <v>92.44370448765174</v>
      </c>
      <c r="D62" s="41">
        <f>IF(9404.32688="","-",9404.32688/4718168.92486*100)</f>
        <v>0.19932153828678467</v>
      </c>
      <c r="E62" s="41">
        <f>IF(8693.70815="","-",8693.70815/4797462.21183*100)</f>
        <v>0.1812147290824365</v>
      </c>
      <c r="F62" s="41">
        <f>IF(OR(3904696.37575="",4179.17663="",9404.32688=""),"-",(9404.32688-4179.17663)/3904696.37575*100)</f>
        <v>0.13381706916959382</v>
      </c>
      <c r="G62" s="41">
        <f>IF(OR(4718168.92486="",8693.70815="",9404.32688=""),"-",(8693.70815-9404.32688)/4718168.92486*100)</f>
        <v>-0.015061324452707808</v>
      </c>
    </row>
    <row r="63" spans="1:7" s="9" customFormat="1" ht="15.75">
      <c r="A63" s="40" t="s">
        <v>84</v>
      </c>
      <c r="B63" s="41">
        <f>IF(8351.0988="","-",8351.0988)</f>
        <v>8351.0988</v>
      </c>
      <c r="C63" s="41">
        <f>IF(OR(7959.11977="",8351.0988=""),"-",8351.0988/7959.11977*100)</f>
        <v>104.92490427744876</v>
      </c>
      <c r="D63" s="41">
        <f>IF(7959.11977="","-",7959.11977/4718168.92486*100)</f>
        <v>0.16869086072911574</v>
      </c>
      <c r="E63" s="41">
        <f>IF(8351.0988="","-",8351.0988/4797462.21183*100)</f>
        <v>0.1740732585533896</v>
      </c>
      <c r="F63" s="41">
        <f>IF(OR(3904696.37575="",6126.01462="",7959.11977=""),"-",(7959.11977-6126.01462)/3904696.37575*100)</f>
        <v>0.04694616363475647</v>
      </c>
      <c r="G63" s="41">
        <f>IF(OR(4718168.92486="",8351.0988="",7959.11977=""),"-",(8351.0988-7959.11977)/4718168.92486*100)</f>
        <v>0.008307863415713344</v>
      </c>
    </row>
    <row r="64" spans="1:7" s="9" customFormat="1" ht="15.75">
      <c r="A64" s="40" t="s">
        <v>72</v>
      </c>
      <c r="B64" s="41">
        <f>IF(8330.80222="","-",8330.80222)</f>
        <v>8330.80222</v>
      </c>
      <c r="C64" s="41">
        <f>IF(OR(9260.47085="",8330.80222=""),"-",8330.80222/9260.47085*100)</f>
        <v>89.96089243129576</v>
      </c>
      <c r="D64" s="41">
        <f>IF(9260.47085="","-",9260.47085/4718168.92486*100)</f>
        <v>0.19627255822076742</v>
      </c>
      <c r="E64" s="41">
        <f>IF(8330.80222="","-",8330.80222/4797462.21183*100)</f>
        <v>0.1736501894576091</v>
      </c>
      <c r="F64" s="41">
        <f>IF(OR(3904696.37575="",7447.14657="",9260.47085=""),"-",(9260.47085-7447.14657)/3904696.37575*100)</f>
        <v>0.04643957187712714</v>
      </c>
      <c r="G64" s="41">
        <f>IF(OR(4718168.92486="",8330.80222="",9260.47085=""),"-",(8330.80222-9260.47085)/4718168.92486*100)</f>
        <v>-0.019704013247630506</v>
      </c>
    </row>
    <row r="65" spans="1:7" s="9" customFormat="1" ht="15.75">
      <c r="A65" s="40" t="s">
        <v>79</v>
      </c>
      <c r="B65" s="41">
        <f>IF(7179.27893="","-",7179.27893)</f>
        <v>7179.27893</v>
      </c>
      <c r="C65" s="41">
        <f>IF(OR(6616.313="",7179.27893=""),"-",7179.27893/6616.313*100)</f>
        <v>108.50875600957815</v>
      </c>
      <c r="D65" s="41">
        <f>IF(6616.313="","-",6616.313/4718168.92486*100)</f>
        <v>0.1402305238614644</v>
      </c>
      <c r="E65" s="41">
        <f>IF(7179.27893="","-",7179.27893/4797462.21183*100)</f>
        <v>0.14964743051642404</v>
      </c>
      <c r="F65" s="41">
        <f>IF(OR(3904696.37575="",5923.97744="",6616.313=""),"-",(6616.313-5923.97744)/3904696.37575*100)</f>
        <v>0.01773084238507582</v>
      </c>
      <c r="G65" s="41">
        <f>IF(OR(4718168.92486="",7179.27893="",6616.313=""),"-",(7179.27893-6616.313)/4718168.92486*100)</f>
        <v>0.011931873126325272</v>
      </c>
    </row>
    <row r="66" spans="1:7" s="9" customFormat="1" ht="15.75">
      <c r="A66" s="40" t="s">
        <v>64</v>
      </c>
      <c r="B66" s="41">
        <f>IF(7097.4184="","-",7097.4184)</f>
        <v>7097.4184</v>
      </c>
      <c r="C66" s="41">
        <f>IF(OR(6420.18604="",7097.4184=""),"-",7097.4184/6420.18604*100)</f>
        <v>110.5484849781705</v>
      </c>
      <c r="D66" s="41">
        <f>IF(6420.18604="","-",6420.18604/4718168.92486*100)</f>
        <v>0.13607367905316156</v>
      </c>
      <c r="E66" s="41">
        <f>IF(7097.4184="","-",7097.4184/4797462.21183*100)</f>
        <v>0.14794110066148236</v>
      </c>
      <c r="F66" s="41">
        <f>IF(OR(3904696.37575="",7700.96159="",6420.18604=""),"-",(6420.18604-7700.96159)/3904696.37575*100)</f>
        <v>-0.03280089991002165</v>
      </c>
      <c r="G66" s="41">
        <f>IF(OR(4718168.92486="",7097.4184="",6420.18604=""),"-",(7097.4184-6420.18604)/4718168.92486*100)</f>
        <v>0.014353711594166697</v>
      </c>
    </row>
    <row r="67" spans="1:7" s="9" customFormat="1" ht="15.75">
      <c r="A67" s="40" t="s">
        <v>87</v>
      </c>
      <c r="B67" s="41">
        <f>IF(6981.05512="","-",6981.05512)</f>
        <v>6981.05512</v>
      </c>
      <c r="C67" s="41">
        <f>IF(OR(5082.68518="",6981.05512=""),"-",6981.05512/5082.68518*100)</f>
        <v>137.34974472686108</v>
      </c>
      <c r="D67" s="41">
        <f>IF(5082.68518="","-",5082.68518/4718168.92486*100)</f>
        <v>0.1077257991594868</v>
      </c>
      <c r="E67" s="41">
        <f>IF(6981.05512="","-",6981.05512/4797462.21183*100)</f>
        <v>0.14551558327620603</v>
      </c>
      <c r="F67" s="41">
        <f>IF(OR(3904696.37575="",3277.25564="",5082.68518=""),"-",(5082.68518-3277.25564)/3904696.37575*100)</f>
        <v>0.04623738611822846</v>
      </c>
      <c r="G67" s="41">
        <f>IF(OR(4718168.92486="",6981.05512="",5082.68518=""),"-",(6981.05512-5082.68518)/4718168.92486*100)</f>
        <v>0.04023531099103937</v>
      </c>
    </row>
    <row r="68" spans="1:7" s="9" customFormat="1" ht="15.75">
      <c r="A68" s="40" t="s">
        <v>86</v>
      </c>
      <c r="B68" s="41">
        <f>IF(5940.62428="","-",5940.62428)</f>
        <v>5940.62428</v>
      </c>
      <c r="C68" s="41">
        <f>IF(OR(4857.54936="",5940.62428=""),"-",5940.62428/4857.54936*100)</f>
        <v>122.29673524099816</v>
      </c>
      <c r="D68" s="41">
        <f>IF(4857.54936="","-",4857.54936/4718168.92486*100)</f>
        <v>0.10295412134155701</v>
      </c>
      <c r="E68" s="41">
        <f>IF(5940.62428="","-",5940.62428/4797462.21183*100)</f>
        <v>0.12382847467461217</v>
      </c>
      <c r="F68" s="41">
        <f>IF(OR(3904696.37575="",3350.07815="",4857.54936=""),"-",(4857.54936-3350.07815)/3904696.37575*100)</f>
        <v>0.03860661790151227</v>
      </c>
      <c r="G68" s="41">
        <f>IF(OR(4718168.92486="",5940.62428="",4857.54936=""),"-",(5940.62428-4857.54936)/4718168.92486*100)</f>
        <v>0.022955407855222938</v>
      </c>
    </row>
    <row r="69" spans="1:7" s="9" customFormat="1" ht="15.75">
      <c r="A69" s="40" t="s">
        <v>75</v>
      </c>
      <c r="B69" s="41">
        <f>IF(5474.15674="","-",5474.15674)</f>
        <v>5474.15674</v>
      </c>
      <c r="C69" s="41">
        <f>IF(OR(3804.45424="",5474.15674=""),"-",5474.15674/3804.45424*100)</f>
        <v>143.88809523439033</v>
      </c>
      <c r="D69" s="41">
        <f>IF(3804.45424="","-",3804.45424/4718168.92486*100)</f>
        <v>0.08063412524198438</v>
      </c>
      <c r="E69" s="41">
        <f>IF(5474.15674="","-",5474.15674/4797462.21183*100)</f>
        <v>0.11410526020405845</v>
      </c>
      <c r="F69" s="41">
        <f>IF(OR(3904696.37575="",2360.074="",3804.45424=""),"-",(3804.45424-2360.074)/3904696.37575*100)</f>
        <v>0.03699084643226757</v>
      </c>
      <c r="G69" s="41">
        <f>IF(OR(4718168.92486="",5474.15674="",3804.45424=""),"-",(5474.15674-3804.45424)/4718168.92486*100)</f>
        <v>0.03538878167761966</v>
      </c>
    </row>
    <row r="70" spans="1:7" s="9" customFormat="1" ht="15.75">
      <c r="A70" s="40" t="s">
        <v>69</v>
      </c>
      <c r="B70" s="41">
        <f>IF(5323.65631="","-",5323.65631)</f>
        <v>5323.65631</v>
      </c>
      <c r="C70" s="41">
        <f>IF(OR(7076.09204="",5323.65631=""),"-",5323.65631/7076.09204*100)</f>
        <v>75.23441300517622</v>
      </c>
      <c r="D70" s="41">
        <f>IF(7076.09204="","-",7076.09204/4718168.92486*100)</f>
        <v>0.14997538563564608</v>
      </c>
      <c r="E70" s="41">
        <f>IF(5323.65631="","-",5323.65631/4797462.21183*100)</f>
        <v>0.11096817598422067</v>
      </c>
      <c r="F70" s="41">
        <f>IF(OR(3904696.37575="",4953.81424="",7076.09204=""),"-",(7076.09204-4953.81424)/3904696.37575*100)</f>
        <v>0.05435192895356329</v>
      </c>
      <c r="G70" s="41">
        <f>IF(OR(4718168.92486="",5323.65631="",7076.09204=""),"-",(5323.65631-7076.09204)/4718168.92486*100)</f>
        <v>-0.03714228460041836</v>
      </c>
    </row>
    <row r="71" spans="1:7" s="9" customFormat="1" ht="15.75">
      <c r="A71" s="40" t="s">
        <v>66</v>
      </c>
      <c r="B71" s="41">
        <f>IF(5157.00037="","-",5157.00037)</f>
        <v>5157.00037</v>
      </c>
      <c r="C71" s="41">
        <f>IF(OR(4685.39125="",5157.00037=""),"-",5157.00037/4685.39125*100)</f>
        <v>110.06552270314674</v>
      </c>
      <c r="D71" s="41">
        <f>IF(4685.39125="","-",4685.39125/4718168.92486*100)</f>
        <v>0.09930528822977715</v>
      </c>
      <c r="E71" s="41">
        <f>IF(5157.00037="","-",5157.00037/4797462.21183*100)</f>
        <v>0.10749434059706439</v>
      </c>
      <c r="F71" s="41">
        <f>IF(OR(3904696.37575="",4570.84182="",4685.39125=""),"-",(4685.39125-4570.84182)/3904696.37575*100)</f>
        <v>0.002933632195102437</v>
      </c>
      <c r="G71" s="41">
        <f>IF(OR(4718168.92486="",5157.00037="",4685.39125=""),"-",(5157.00037-4685.39125)/4718168.92486*100)</f>
        <v>0.00999559633219351</v>
      </c>
    </row>
    <row r="72" spans="1:7" s="9" customFormat="1" ht="15.75">
      <c r="A72" s="40" t="s">
        <v>76</v>
      </c>
      <c r="B72" s="41">
        <f>IF(4161.66596="","-",4161.66596)</f>
        <v>4161.66596</v>
      </c>
      <c r="C72" s="41">
        <f>IF(OR(4064.3796="",4161.66596=""),"-",4161.66596/4064.3796*100)</f>
        <v>102.39363370488329</v>
      </c>
      <c r="D72" s="41">
        <f>IF(4064.3796="","-",4064.3796/4718168.92486*100)</f>
        <v>0.086143155633636</v>
      </c>
      <c r="E72" s="41">
        <f>IF(4161.66596="","-",4161.66596/4797462.21183*100)</f>
        <v>0.08674723794046364</v>
      </c>
      <c r="F72" s="41">
        <f>IF(OR(3904696.37575="",1393.03457="",4064.3796=""),"-",(4064.3796-1393.03457)/3904696.37575*100)</f>
        <v>0.06841364277617867</v>
      </c>
      <c r="G72" s="41">
        <f>IF(OR(4718168.92486="",4161.66596="",4064.3796=""),"-",(4161.66596-4064.3796)/4718168.92486*100)</f>
        <v>0.0020619516076967677</v>
      </c>
    </row>
    <row r="73" spans="1:7" s="9" customFormat="1" ht="15.75">
      <c r="A73" s="40" t="s">
        <v>82</v>
      </c>
      <c r="B73" s="41">
        <f>IF(4141.65801="","-",4141.65801)</f>
        <v>4141.65801</v>
      </c>
      <c r="C73" s="41">
        <f>IF(OR(5553.28023="",4141.65801=""),"-",4141.65801/5553.28023*100)</f>
        <v>74.58038921979632</v>
      </c>
      <c r="D73" s="41">
        <f>IF(5553.28023="","-",5553.28023/4718168.92486*100)</f>
        <v>0.11769990261984485</v>
      </c>
      <c r="E73" s="41">
        <f>IF(4141.65801="","-",4141.65801/4797462.21183*100)</f>
        <v>0.08633018515053936</v>
      </c>
      <c r="F73" s="41">
        <f>IF(OR(3904696.37575="",6421.90492="",5553.28023=""),"-",(5553.28023-6421.90492)/3904696.37575*100)</f>
        <v>-0.022245639773544677</v>
      </c>
      <c r="G73" s="41">
        <f>IF(OR(4718168.92486="",4141.65801="",5553.28023=""),"-",(4141.65801-5553.28023)/4718168.92486*100)</f>
        <v>-0.029918857134643324</v>
      </c>
    </row>
    <row r="74" spans="1:7" s="9" customFormat="1" ht="15.75">
      <c r="A74" s="40" t="s">
        <v>165</v>
      </c>
      <c r="B74" s="41">
        <f>IF(3825.44556="","-",3825.44556)</f>
        <v>3825.44556</v>
      </c>
      <c r="C74" s="41">
        <f>IF(OR(3815.70397="",3825.44556=""),"-",3825.44556/3815.70397*100)</f>
        <v>100.2553025621639</v>
      </c>
      <c r="D74" s="41">
        <f>IF(3815.70397="","-",3815.70397/4718168.92486*100)</f>
        <v>0.08087255947736594</v>
      </c>
      <c r="E74" s="41">
        <f>IF(3825.44556="","-",3825.44556/4797462.21183*100)</f>
        <v>0.07973894094604608</v>
      </c>
      <c r="F74" s="41">
        <f>IF(OR(3904696.37575="",6390.51933="",3815.70397=""),"-",(3815.70397-6390.51933)/3904696.37575*100)</f>
        <v>-0.06594149998424496</v>
      </c>
      <c r="G74" s="41">
        <f>IF(OR(4718168.92486="",3825.44556="",3815.70397=""),"-",(3825.44556-3815.70397)/4718168.92486*100)</f>
        <v>0.00020646971643324842</v>
      </c>
    </row>
    <row r="75" spans="1:7" s="9" customFormat="1" ht="15.75">
      <c r="A75" s="40" t="s">
        <v>83</v>
      </c>
      <c r="B75" s="41">
        <f>IF(3339.97694="","-",3339.97694)</f>
        <v>3339.97694</v>
      </c>
      <c r="C75" s="41">
        <f>IF(OR(4394.17682="",3339.97694=""),"-",3339.97694/4394.17682*100)</f>
        <v>76.00916114249586</v>
      </c>
      <c r="D75" s="41">
        <f>IF(4394.17682="","-",4394.17682/4718168.92486*100)</f>
        <v>0.0931330965461434</v>
      </c>
      <c r="E75" s="41">
        <f>IF(3339.97694="","-",3339.97694/4797462.21183*100)</f>
        <v>0.06961966124014471</v>
      </c>
      <c r="F75" s="41">
        <f>IF(OR(3904696.37575="",4748.72215="",4394.17682=""),"-",(4394.17682-4748.72215)/3904696.37575*100)</f>
        <v>-0.009079971805282814</v>
      </c>
      <c r="G75" s="41">
        <f>IF(OR(4718168.92486="",3339.97694="",4394.17682=""),"-",(3339.97694-4394.17682)/4718168.92486*100)</f>
        <v>-0.02234341111538902</v>
      </c>
    </row>
    <row r="76" spans="1:7" s="9" customFormat="1" ht="15.75">
      <c r="A76" s="40" t="s">
        <v>88</v>
      </c>
      <c r="B76" s="41">
        <f>IF(3163.89981="","-",3163.89981)</f>
        <v>3163.89981</v>
      </c>
      <c r="C76" s="41" t="s">
        <v>188</v>
      </c>
      <c r="D76" s="41">
        <f>IF(1481.3646="","-",1481.3646/4718168.92486*100)</f>
        <v>0.03139702337054318</v>
      </c>
      <c r="E76" s="41">
        <f>IF(3163.89981="","-",3163.89981/4797462.21183*100)</f>
        <v>0.06594944723479385</v>
      </c>
      <c r="F76" s="41">
        <f>IF(OR(3904696.37575="",1263.79789="",1481.3646=""),"-",(1481.3646-1263.79789)/3904696.37575*100)</f>
        <v>0.005571923885073155</v>
      </c>
      <c r="G76" s="41">
        <f>IF(OR(4718168.92486="",3163.89981="",1481.3646=""),"-",(3163.89981-1481.3646)/4718168.92486*100)</f>
        <v>0.03566076664052305</v>
      </c>
    </row>
    <row r="77" spans="1:7" s="9" customFormat="1" ht="15.75">
      <c r="A77" s="40" t="s">
        <v>40</v>
      </c>
      <c r="B77" s="41">
        <f>IF(3161.6736="","-",3161.6736)</f>
        <v>3161.6736</v>
      </c>
      <c r="C77" s="41">
        <f>IF(OR(3902.26905="",3161.6736=""),"-",3161.6736/3902.26905*100)</f>
        <v>81.02141496368633</v>
      </c>
      <c r="D77" s="41">
        <f>IF(3902.26905="","-",3902.26905/4718168.92486*100)</f>
        <v>0.08270727716930547</v>
      </c>
      <c r="E77" s="41">
        <f>IF(3161.6736="","-",3161.6736/4797462.21183*100)</f>
        <v>0.06590304332577482</v>
      </c>
      <c r="F77" s="41">
        <f>IF(OR(3904696.37575="",2255.22414="",3902.26905=""),"-",(3902.26905-2255.22414)/3904696.37575*100)</f>
        <v>0.04218112630290343</v>
      </c>
      <c r="G77" s="41">
        <f>IF(OR(4718168.92486="",3161.6736="",3902.26905=""),"-",(3161.6736-3902.26905)/4718168.92486*100)</f>
        <v>-0.015696670928796282</v>
      </c>
    </row>
    <row r="78" spans="1:7" s="9" customFormat="1" ht="15.75">
      <c r="A78" s="40" t="s">
        <v>59</v>
      </c>
      <c r="B78" s="41">
        <f>IF(2710.02347="","-",2710.02347)</f>
        <v>2710.02347</v>
      </c>
      <c r="C78" s="41">
        <f>IF(OR(2386.88756="",2710.02347=""),"-",2710.02347/2386.88756*100)</f>
        <v>113.53796112624592</v>
      </c>
      <c r="D78" s="41">
        <f>IF(2386.88756="","-",2386.88756/4718168.92486*100)</f>
        <v>0.050589277281351805</v>
      </c>
      <c r="E78" s="41">
        <f>IF(2710.02347="","-",2710.02347/4797462.21183*100)</f>
        <v>0.05648868819263209</v>
      </c>
      <c r="F78" s="41">
        <f>IF(OR(3904696.37575="",1667.30334="",2386.88756=""),"-",(2386.88756-1667.30334)/3904696.37575*100)</f>
        <v>0.018428685632741037</v>
      </c>
      <c r="G78" s="41">
        <f>IF(OR(4718168.92486="",2710.02347="",2386.88756=""),"-",(2710.02347-2386.88756)/4718168.92486*100)</f>
        <v>0.006848756692398168</v>
      </c>
    </row>
    <row r="79" spans="1:7" s="9" customFormat="1" ht="15.75">
      <c r="A79" s="40" t="s">
        <v>39</v>
      </c>
      <c r="B79" s="41">
        <f>IF(2409.1969="","-",2409.1969)</f>
        <v>2409.1969</v>
      </c>
      <c r="C79" s="41">
        <f>IF(OR(1990.24962="",2409.1969=""),"-",2409.1969/1990.24962*100)</f>
        <v>121.04998668458482</v>
      </c>
      <c r="D79" s="41">
        <f>IF(1990.24962="","-",1990.24962/4718168.92486*100)</f>
        <v>0.042182669838576325</v>
      </c>
      <c r="E79" s="41">
        <f>IF(2409.1969="","-",2409.1969/4797462.21183*100)</f>
        <v>0.05021815271539174</v>
      </c>
      <c r="F79" s="41">
        <f>IF(OR(3904696.37575="",731.16433="",1990.24962=""),"-",(1990.24962-731.16433)/3904696.37575*100)</f>
        <v>0.032245408319569006</v>
      </c>
      <c r="G79" s="41">
        <f>IF(OR(4718168.92486="",2409.1969="",1990.24962=""),"-",(2409.1969-1990.24962)/4718168.92486*100)</f>
        <v>0.008879446384222691</v>
      </c>
    </row>
    <row r="80" spans="1:7" s="9" customFormat="1" ht="15.75">
      <c r="A80" s="40" t="s">
        <v>89</v>
      </c>
      <c r="B80" s="41">
        <f>IF(2385.78366="","-",2385.78366)</f>
        <v>2385.78366</v>
      </c>
      <c r="C80" s="41">
        <f>IF(OR(2394.40091="",2385.78366=""),"-",2385.78366/2394.40091*100)</f>
        <v>99.64010830583923</v>
      </c>
      <c r="D80" s="41">
        <f>IF(2394.40091="","-",2394.40091/4718168.92486*100)</f>
        <v>0.05074852020206225</v>
      </c>
      <c r="E80" s="41">
        <f>IF(2385.78366="","-",2385.78366/4797462.21183*100)</f>
        <v>0.04973011885569264</v>
      </c>
      <c r="F80" s="41">
        <f>IF(OR(3904696.37575="",3158.79171="",2394.40091=""),"-",(2394.40091-3158.79171)/3904696.37575*100)</f>
        <v>-0.019576190475326744</v>
      </c>
      <c r="G80" s="41">
        <f>IF(OR(4718168.92486="",2385.78366="",2394.40091=""),"-",(2385.78366-2394.40091)/4718168.92486*100)</f>
        <v>-0.00018263970911672016</v>
      </c>
    </row>
    <row r="81" spans="1:7" s="9" customFormat="1" ht="15.75">
      <c r="A81" s="40" t="s">
        <v>38</v>
      </c>
      <c r="B81" s="41">
        <f>IF(2385.7342="","-",2385.7342)</f>
        <v>2385.7342</v>
      </c>
      <c r="C81" s="41">
        <f>IF(OR(1349.07155="",2385.7342=""),"-",2385.7342/1349.07155*100)</f>
        <v>176.8426737633004</v>
      </c>
      <c r="D81" s="41">
        <f>IF(1349.07155="","-",1349.07155/4718168.92486*100)</f>
        <v>0.02859311676806973</v>
      </c>
      <c r="E81" s="41">
        <f>IF(2385.7342="","-",2385.7342/4797462.21183*100)</f>
        <v>0.04972908789395045</v>
      </c>
      <c r="F81" s="41">
        <f>IF(OR(3904696.37575="",589.79759="",1349.07155=""),"-",(1349.07155-589.79759)/3904696.37575*100)</f>
        <v>0.019445147251792687</v>
      </c>
      <c r="G81" s="41">
        <f>IF(OR(4718168.92486="",2385.7342="",1349.07155=""),"-",(2385.7342-1349.07155)/4718168.92486*100)</f>
        <v>0.021971715436847367</v>
      </c>
    </row>
    <row r="82" spans="1:7" s="9" customFormat="1" ht="15.75">
      <c r="A82" s="40" t="s">
        <v>144</v>
      </c>
      <c r="B82" s="41">
        <f>IF(2315.87666="","-",2315.87666)</f>
        <v>2315.87666</v>
      </c>
      <c r="C82" s="41" t="s">
        <v>166</v>
      </c>
      <c r="D82" s="41">
        <f>IF(1004.06519="","-",1004.06519/4718168.92486*100)</f>
        <v>0.02128082325983683</v>
      </c>
      <c r="E82" s="41">
        <f>IF(2315.87666="","-",2315.87666/4797462.21183*100)</f>
        <v>0.048272952610013464</v>
      </c>
      <c r="F82" s="41">
        <f>IF(OR(3904696.37575="",494.50077="",1004.06519=""),"-",(1004.06519-494.50077)/3904696.37575*100)</f>
        <v>0.013050039515610857</v>
      </c>
      <c r="G82" s="41">
        <f>IF(OR(4718168.92486="",2315.87666="",1004.06519=""),"-",(2315.87666-1004.06519)/4718168.92486*100)</f>
        <v>0.027803401931797613</v>
      </c>
    </row>
    <row r="83" spans="1:7" s="9" customFormat="1" ht="15.75">
      <c r="A83" s="40" t="s">
        <v>90</v>
      </c>
      <c r="B83" s="41">
        <f>IF(2210.15688="","-",2210.15688)</f>
        <v>2210.15688</v>
      </c>
      <c r="C83" s="41">
        <f>IF(OR(3840.02526="",2210.15688=""),"-",2210.15688/3840.02526*100)</f>
        <v>57.55579014081798</v>
      </c>
      <c r="D83" s="41">
        <f>IF(3840.02526="","-",3840.02526/4718168.92486*100)</f>
        <v>0.08138804102089124</v>
      </c>
      <c r="E83" s="41">
        <f>IF(2210.15688="","-",2210.15688/4797462.21183*100)</f>
        <v>0.046069292105105124</v>
      </c>
      <c r="F83" s="41">
        <f>IF(OR(3904696.37575="",1689.63705="",3840.02526=""),"-",(3840.02526-1689.63705)/3904696.37575*100)</f>
        <v>0.05507184177891324</v>
      </c>
      <c r="G83" s="41">
        <f>IF(OR(4718168.92486="",2210.15688="",3840.02526=""),"-",(2210.15688-3840.02526)/4718168.92486*100)</f>
        <v>-0.03454451093118423</v>
      </c>
    </row>
    <row r="84" spans="1:7" s="9" customFormat="1" ht="15.75">
      <c r="A84" s="40" t="s">
        <v>93</v>
      </c>
      <c r="B84" s="41">
        <f>IF(2114.21468="","-",2114.21468)</f>
        <v>2114.21468</v>
      </c>
      <c r="C84" s="41">
        <f>IF(OR(1588.5999="",2114.21468=""),"-",2114.21468/1588.5999*100)</f>
        <v>133.08666832976635</v>
      </c>
      <c r="D84" s="41">
        <f>IF(1588.5999="","-",1588.5999/4718168.92486*100)</f>
        <v>0.033669839408031324</v>
      </c>
      <c r="E84" s="41">
        <f>IF(2114.21468="","-",2114.21468/4797462.21183*100)</f>
        <v>0.044069438937665524</v>
      </c>
      <c r="F84" s="41">
        <f>IF(OR(3904696.37575="",1670.48995="",1588.5999=""),"-",(1588.5999-1670.48995)/3904696.37575*100)</f>
        <v>-0.002097219402475841</v>
      </c>
      <c r="G84" s="41">
        <f>IF(OR(4718168.92486="",2114.21468="",1588.5999=""),"-",(2114.21468-1588.5999)/4718168.92486*100)</f>
        <v>0.011140228092100295</v>
      </c>
    </row>
    <row r="85" spans="1:7" s="9" customFormat="1" ht="15.75">
      <c r="A85" s="40" t="s">
        <v>196</v>
      </c>
      <c r="B85" s="41">
        <f>IF(2064.17463="","-",2064.17463)</f>
        <v>2064.17463</v>
      </c>
      <c r="C85" s="41">
        <f>IF(OR(2056.64784="",2064.17463=""),"-",2064.17463/2056.64784*100)</f>
        <v>100.36597369046905</v>
      </c>
      <c r="D85" s="41">
        <f>IF(2056.64784="","-",2056.64784/4718168.92486*100)</f>
        <v>0.04358995773049872</v>
      </c>
      <c r="E85" s="41">
        <f>IF(2064.17463="","-",2064.17463/4797462.21183*100)</f>
        <v>0.043026386428015595</v>
      </c>
      <c r="F85" s="41">
        <f>IF(OR(3904696.37575="",1193.10098="",2056.64784=""),"-",(2056.64784-1193.10098)/3904696.37575*100)</f>
        <v>0.022115595603361942</v>
      </c>
      <c r="G85" s="41">
        <f>IF(OR(4718168.92486="",2064.17463="",2056.64784=""),"-",(2064.17463-2056.64784)/4718168.92486*100)</f>
        <v>0.0001595277769802028</v>
      </c>
    </row>
    <row r="86" spans="1:7" s="9" customFormat="1" ht="15.75">
      <c r="A86" s="40" t="s">
        <v>68</v>
      </c>
      <c r="B86" s="41">
        <f>IF(1613.97388="","-",1613.97388)</f>
        <v>1613.97388</v>
      </c>
      <c r="C86" s="41">
        <f>IF(OR(1458.17288="",1613.97388=""),"-",1613.97388/1458.17288*100)</f>
        <v>110.68467272550014</v>
      </c>
      <c r="D86" s="41">
        <f>IF(1458.17288="","-",1458.17288/4718168.92486*100)</f>
        <v>0.030905482682421506</v>
      </c>
      <c r="E86" s="41">
        <f>IF(1613.97388="","-",1613.97388/4797462.21183*100)</f>
        <v>0.033642242684478525</v>
      </c>
      <c r="F86" s="41">
        <f>IF(OR(3904696.37575="",1182.51726="",1458.17288=""),"-",(1458.17288-1182.51726)/3904696.37575*100)</f>
        <v>0.0070595916679194555</v>
      </c>
      <c r="G86" s="41">
        <f>IF(OR(4718168.92486="",1613.97388="",1458.17288=""),"-",(1613.97388-1458.17288)/4718168.92486*100)</f>
        <v>0.00330214967885286</v>
      </c>
    </row>
    <row r="87" spans="1:7" s="9" customFormat="1" ht="15.75">
      <c r="A87" s="40" t="s">
        <v>74</v>
      </c>
      <c r="B87" s="41">
        <f>IF(1217.6933="","-",1217.6933)</f>
        <v>1217.6933</v>
      </c>
      <c r="C87" s="41">
        <f>IF(OR(1954.09974="",1217.6933=""),"-",1217.6933/1954.09974*100)</f>
        <v>62.31479770832986</v>
      </c>
      <c r="D87" s="41">
        <f>IF(1954.09974="","-",1954.09974/4718168.92486*100)</f>
        <v>0.04141648531708693</v>
      </c>
      <c r="E87" s="41">
        <f>IF(1217.6933="","-",1217.6933/4797462.21183*100)</f>
        <v>0.025382030044912195</v>
      </c>
      <c r="F87" s="41">
        <f>IF(OR(3904696.37575="",1361.54188="",1954.09974=""),"-",(1954.09974-1361.54188)/3904696.37575*100)</f>
        <v>0.015175516941088249</v>
      </c>
      <c r="G87" s="41">
        <f>IF(OR(4718168.92486="",1217.6933="",1954.09974=""),"-",(1217.6933-1954.09974)/4718168.92486*100)</f>
        <v>-0.01560788627384407</v>
      </c>
    </row>
    <row r="88" spans="1:7" s="9" customFormat="1" ht="15.75">
      <c r="A88" s="40" t="s">
        <v>102</v>
      </c>
      <c r="B88" s="41">
        <f>IF(1073.01953="","-",1073.01953)</f>
        <v>1073.01953</v>
      </c>
      <c r="C88" s="41">
        <f>IF(OR(874.95651="",1073.01953=""),"-",1073.01953/874.95651*100)</f>
        <v>122.63689883283458</v>
      </c>
      <c r="D88" s="41">
        <f>IF(874.95651="","-",874.95651/4718168.92486*100)</f>
        <v>0.01854440830615157</v>
      </c>
      <c r="E88" s="41">
        <f>IF(1073.01953="","-",1073.01953/4797462.21183*100)</f>
        <v>0.022366398787968665</v>
      </c>
      <c r="F88" s="41">
        <f>IF(OR(3904696.37575="",96.34637="",874.95651=""),"-",(874.95651-96.34637)/3904696.37575*100)</f>
        <v>0.01994035041586165</v>
      </c>
      <c r="G88" s="41">
        <f>IF(OR(4718168.92486="",1073.01953="",874.95651=""),"-",(1073.01953-874.95651)/4718168.92486*100)</f>
        <v>0.004197878947411302</v>
      </c>
    </row>
    <row r="89" spans="1:7" s="9" customFormat="1" ht="15.75">
      <c r="A89" s="40" t="s">
        <v>91</v>
      </c>
      <c r="B89" s="41">
        <f>IF(1049.86232="","-",1049.86232)</f>
        <v>1049.86232</v>
      </c>
      <c r="C89" s="41">
        <f>IF(OR(1033.50329="",1049.86232=""),"-",1049.86232/1033.50329*100)</f>
        <v>101.58287159395496</v>
      </c>
      <c r="D89" s="41">
        <f>IF(1033.50329="","-",1033.50329/4718168.92486*100)</f>
        <v>0.02190475386657901</v>
      </c>
      <c r="E89" s="41">
        <f>IF(1049.86232="","-",1049.86232/4797462.21183*100)</f>
        <v>0.02188370170818976</v>
      </c>
      <c r="F89" s="41">
        <f>IF(OR(3904696.37575="",935.66358="",1033.50329=""),"-",(1033.50329-935.66358)/3904696.37575*100)</f>
        <v>0.002505693159847989</v>
      </c>
      <c r="G89" s="41">
        <f>IF(OR(4718168.92486="",1049.86232="",1033.50329=""),"-",(1049.86232-1033.50329)/4718168.92486*100)</f>
        <v>0.0003467241266798276</v>
      </c>
    </row>
    <row r="90" spans="1:7" s="9" customFormat="1" ht="15.75">
      <c r="A90" s="40" t="s">
        <v>145</v>
      </c>
      <c r="B90" s="41">
        <f>IF(933.35531="","-",933.35531)</f>
        <v>933.35531</v>
      </c>
      <c r="C90" s="41">
        <f>IF(OR(1291.82775="",933.35531=""),"-",933.35531/1291.82775*100)</f>
        <v>72.2507555670638</v>
      </c>
      <c r="D90" s="41">
        <f>IF(1291.82775="","-",1291.82775/4718168.92486*100)</f>
        <v>0.027379853722349117</v>
      </c>
      <c r="E90" s="41">
        <f>IF(933.35531="","-",933.35531/4797462.21183*100)</f>
        <v>0.019455188363932313</v>
      </c>
      <c r="F90" s="41">
        <f>IF(OR(3904696.37575="",885.41578="",1291.82775=""),"-",(1291.82775-885.41578)/3904696.37575*100)</f>
        <v>0.01040828609681432</v>
      </c>
      <c r="G90" s="41">
        <f>IF(OR(4718168.92486="",933.35531="",1291.82775=""),"-",(933.35531-1291.82775)/4718168.92486*100)</f>
        <v>-0.007597702534795036</v>
      </c>
    </row>
    <row r="91" spans="1:7" s="9" customFormat="1" ht="15.75">
      <c r="A91" s="40" t="s">
        <v>98</v>
      </c>
      <c r="B91" s="41">
        <f>IF(919.65238="","-",919.65238)</f>
        <v>919.65238</v>
      </c>
      <c r="C91" s="41">
        <f>IF(OR(1177.80119="",919.65238=""),"-",919.65238/1177.80119*100)</f>
        <v>78.08214050114859</v>
      </c>
      <c r="D91" s="41">
        <f>IF(1177.80119="","-",1177.80119/4718168.92486*100)</f>
        <v>0.024963099218304235</v>
      </c>
      <c r="E91" s="41">
        <f>IF(919.65238="","-",919.65238/4797462.21183*100)</f>
        <v>0.019169559642017418</v>
      </c>
      <c r="F91" s="41">
        <f>IF(OR(3904696.37575="",538.81645="",1177.80119=""),"-",(1177.80119-538.81645)/3904696.37575*100)</f>
        <v>0.01636451796786033</v>
      </c>
      <c r="G91" s="41">
        <f>IF(OR(4718168.92486="",919.65238="",1177.80119=""),"-",(919.65238-1177.80119)/4718168.92486*100)</f>
        <v>-0.005471377013226797</v>
      </c>
    </row>
    <row r="92" spans="1:7" s="9" customFormat="1" ht="15.75">
      <c r="A92" s="40" t="s">
        <v>80</v>
      </c>
      <c r="B92" s="41">
        <f>IF(911.42189="","-",911.42189)</f>
        <v>911.42189</v>
      </c>
      <c r="C92" s="41">
        <f>IF(OR(943.48934="",911.42189=""),"-",911.42189/943.48934*100)</f>
        <v>96.60118576432458</v>
      </c>
      <c r="D92" s="41">
        <f>IF(943.48934="","-",943.48934/4718168.92486*100)</f>
        <v>0.01999693853750681</v>
      </c>
      <c r="E92" s="41">
        <f>IF(911.42189="","-",911.42189/4797462.21183*100)</f>
        <v>0.018998000395970528</v>
      </c>
      <c r="F92" s="41">
        <f>IF(OR(3904696.37575="",615.93789="",943.48934=""),"-",(943.48934-615.93789)/3904696.37575*100)</f>
        <v>0.008388653520776888</v>
      </c>
      <c r="G92" s="41">
        <f>IF(OR(4718168.92486="",911.42189="",943.48934=""),"-",(911.42189-943.48934)/4718168.92486*100)</f>
        <v>-0.0006796587937120444</v>
      </c>
    </row>
    <row r="93" spans="1:7" s="9" customFormat="1" ht="15.75">
      <c r="A93" s="40" t="s">
        <v>160</v>
      </c>
      <c r="B93" s="41">
        <f>IF(788.42213="","-",788.42213)</f>
        <v>788.42213</v>
      </c>
      <c r="C93" s="41">
        <f>IF(OR(487.86208="",788.42213=""),"-",788.42213/487.86208*100)</f>
        <v>161.60758589804726</v>
      </c>
      <c r="D93" s="41">
        <f>IF(487.86208="","-",487.86208/4718168.92486*100)</f>
        <v>0.010340072340976562</v>
      </c>
      <c r="E93" s="41">
        <f>IF(788.42213="","-",788.42213/4797462.21183*100)</f>
        <v>0.016434149873152518</v>
      </c>
      <c r="F93" s="41">
        <f>IF(OR(3904696.37575="",635.7847="",487.86208=""),"-",(487.86208-635.7847)/3904696.37575*100)</f>
        <v>-0.0037883257945142434</v>
      </c>
      <c r="G93" s="41">
        <f>IF(OR(4718168.92486="",788.42213="",487.86208=""),"-",(788.42213-487.86208)/4718168.92486*100)</f>
        <v>0.006370268949387361</v>
      </c>
    </row>
    <row r="94" spans="1:7" ht="15.75">
      <c r="A94" s="40" t="s">
        <v>99</v>
      </c>
      <c r="B94" s="41">
        <f>IF(695.45314="","-",695.45314)</f>
        <v>695.45314</v>
      </c>
      <c r="C94" s="41">
        <f>IF(OR(599.43859="",695.45314=""),"-",695.45314/599.43859*100)</f>
        <v>116.01741222566268</v>
      </c>
      <c r="D94" s="41">
        <f>IF(599.43859="","-",599.43859/4718168.92486*100)</f>
        <v>0.012704898861114576</v>
      </c>
      <c r="E94" s="41">
        <f>IF(695.45314="","-",695.45314/4797462.21183*100)</f>
        <v>0.01449627134706952</v>
      </c>
      <c r="F94" s="41">
        <f>IF(OR(3904696.37575="",231.83033="",599.43859=""),"-",(599.43859-231.83033)/3904696.37575*100)</f>
        <v>0.009414515870760658</v>
      </c>
      <c r="G94" s="41">
        <f>IF(OR(4718168.92486="",695.45314="",599.43859=""),"-",(695.45314-599.43859)/4718168.92486*100)</f>
        <v>0.002034996023438245</v>
      </c>
    </row>
    <row r="95" spans="1:7" ht="15.75">
      <c r="A95" s="40" t="s">
        <v>95</v>
      </c>
      <c r="B95" s="41">
        <f>IF(687.53702="","-",687.53702)</f>
        <v>687.53702</v>
      </c>
      <c r="C95" s="41">
        <f>IF(OR(670.03728="",687.53702=""),"-",687.53702/670.03728*100)</f>
        <v>102.61175616974624</v>
      </c>
      <c r="D95" s="41">
        <f>IF(670.03728="","-",670.03728/4718168.92486*100)</f>
        <v>0.014201214298826354</v>
      </c>
      <c r="E95" s="41">
        <f>IF(687.53702="","-",687.53702/4797462.21183*100)</f>
        <v>0.014331264940547345</v>
      </c>
      <c r="F95" s="41">
        <f>IF(OR(3904696.37575="",725.29719="",670.03728=""),"-",(670.03728-725.29719)/3904696.37575*100)</f>
        <v>-0.0014152165669830312</v>
      </c>
      <c r="G95" s="41">
        <f>IF(OR(4718168.92486="",687.53702="",670.03728=""),"-",(687.53702-670.03728)/4718168.92486*100)</f>
        <v>0.00037090109062848435</v>
      </c>
    </row>
    <row r="96" spans="1:7" ht="15.75">
      <c r="A96" s="40" t="s">
        <v>65</v>
      </c>
      <c r="B96" s="41">
        <f>IF(589.37998="","-",589.37998)</f>
        <v>589.37998</v>
      </c>
      <c r="C96" s="41">
        <f>IF(OR(424.18127="",589.37998=""),"-",589.37998/424.18127*100)</f>
        <v>138.94530986717072</v>
      </c>
      <c r="D96" s="41">
        <f>IF(424.18127="","-",424.18127/4718168.92486*100)</f>
        <v>0.008990379038041469</v>
      </c>
      <c r="E96" s="41">
        <f>IF(589.37998="","-",589.37998/4797462.21183*100)</f>
        <v>0.01228524486439217</v>
      </c>
      <c r="F96" s="41">
        <f>IF(OR(3904696.37575="",156.31024="",424.18127=""),"-",(424.18127-156.31024)/3904696.37575*100)</f>
        <v>0.006860226870995784</v>
      </c>
      <c r="G96" s="41">
        <f>IF(OR(4718168.92486="",589.37998="",424.18127=""),"-",(589.37998-424.18127)/4718168.92486*100)</f>
        <v>0.0035013309745984124</v>
      </c>
    </row>
    <row r="97" spans="1:7" ht="15.75">
      <c r="A97" s="40" t="s">
        <v>94</v>
      </c>
      <c r="B97" s="41">
        <f>IF(574.81595="","-",574.81595)</f>
        <v>574.81595</v>
      </c>
      <c r="C97" s="41">
        <f>IF(OR(986.70031="",574.81595=""),"-",574.81595/986.70031*100)</f>
        <v>58.25638688610527</v>
      </c>
      <c r="D97" s="41">
        <f>IF(986.70031="","-",986.70031/4718168.92486*100)</f>
        <v>0.02091278048145082</v>
      </c>
      <c r="E97" s="41">
        <f>IF(574.81595="","-",574.81595/4797462.21183*100)</f>
        <v>0.011981667069363646</v>
      </c>
      <c r="F97" s="41">
        <f>IF(OR(3904696.37575="",846.56047="",986.70031=""),"-",(986.70031-846.56047)/3904696.37575*100)</f>
        <v>0.0035890073520270156</v>
      </c>
      <c r="G97" s="41">
        <f>IF(OR(4718168.92486="",574.81595="",986.70031=""),"-",(574.81595-986.70031)/4718168.92486*100)</f>
        <v>-0.008729750175534921</v>
      </c>
    </row>
    <row r="98" spans="1:7" ht="15.75">
      <c r="A98" s="40" t="s">
        <v>92</v>
      </c>
      <c r="B98" s="41">
        <f>IF(457.07598="","-",457.07598)</f>
        <v>457.07598</v>
      </c>
      <c r="C98" s="41">
        <f>IF(OR(1031.97892="",457.07598=""),"-",457.07598/1031.97892*100)</f>
        <v>44.29121284764228</v>
      </c>
      <c r="D98" s="41">
        <f>IF(1031.97892="","-",1031.97892/4718168.92486*100)</f>
        <v>0.02187244535825138</v>
      </c>
      <c r="E98" s="41">
        <f>IF(457.07598="","-",457.07598/4797462.21183*100)</f>
        <v>0.00952745347056413</v>
      </c>
      <c r="F98" s="41">
        <f>IF(OR(3904696.37575="",516.0244="",1031.97892=""),"-",(1031.97892-516.0244)/3904696.37575*100)</f>
        <v>0.013213691164422415</v>
      </c>
      <c r="G98" s="41">
        <f>IF(OR(4718168.92486="",457.07598="",1031.97892=""),"-",(457.07598-1031.97892)/4718168.92486*100)</f>
        <v>-0.012184874029644006</v>
      </c>
    </row>
    <row r="99" spans="1:7" ht="15.75">
      <c r="A99" s="40" t="s">
        <v>114</v>
      </c>
      <c r="B99" s="41">
        <f>IF(453.80553="","-",453.80553)</f>
        <v>453.80553</v>
      </c>
      <c r="C99" s="41" t="s">
        <v>277</v>
      </c>
      <c r="D99" s="41">
        <f>IF(75.01705="","-",75.01705/4718168.92486*100)</f>
        <v>0.00158996108860655</v>
      </c>
      <c r="E99" s="41">
        <f>IF(453.80553="","-",453.80553/4797462.21183*100)</f>
        <v>0.009459283053464534</v>
      </c>
      <c r="F99" s="41">
        <f>IF(OR(3904696.37575="",0.03953="",75.01705=""),"-",(75.01705-0.03953)/3904696.37575*100)</f>
        <v>0.0019201882242533797</v>
      </c>
      <c r="G99" s="41">
        <f>IF(OR(4718168.92486="",453.80553="",75.01705=""),"-",(453.80553-75.01705)/4718168.92486*100)</f>
        <v>0.008028294154627786</v>
      </c>
    </row>
    <row r="100" spans="1:7" ht="15.75">
      <c r="A100" s="40" t="s">
        <v>104</v>
      </c>
      <c r="B100" s="41">
        <f>IF(381.13123="","-",381.13123)</f>
        <v>381.13123</v>
      </c>
      <c r="C100" s="41">
        <f>IF(OR(599.44748="",381.13123=""),"-",381.13123/599.44748*100)</f>
        <v>63.58042075679424</v>
      </c>
      <c r="D100" s="41">
        <f>IF(599.44748="","-",599.44748/4718168.92486*100)</f>
        <v>0.012705087281668009</v>
      </c>
      <c r="E100" s="41">
        <f>IF(381.13123="","-",381.13123/4797462.21183*100)</f>
        <v>0.007944434227333224</v>
      </c>
      <c r="F100" s="41">
        <f>IF(OR(3904696.37575="",371.98434="",599.44748=""),"-",(599.44748-371.98434)/3904696.37575*100)</f>
        <v>0.00582537329695218</v>
      </c>
      <c r="G100" s="41">
        <f>IF(OR(4718168.92486="",381.13123="",599.44748=""),"-",(381.13123-599.44748)/4718168.92486*100)</f>
        <v>-0.004627139330465537</v>
      </c>
    </row>
    <row r="101" spans="1:7" ht="15.75">
      <c r="A101" s="40" t="s">
        <v>182</v>
      </c>
      <c r="B101" s="41">
        <f>IF(342.56046="","-",342.56046)</f>
        <v>342.56046</v>
      </c>
      <c r="C101" s="41" t="s">
        <v>181</v>
      </c>
      <c r="D101" s="41">
        <f>IF(130.621="","-",130.621/4718168.92486*100)</f>
        <v>0.0027684680663246043</v>
      </c>
      <c r="E101" s="41">
        <f>IF(342.56046="","-",342.56046/4797462.21183*100)</f>
        <v>0.007140451448586391</v>
      </c>
      <c r="F101" s="41">
        <f>IF(OR(3904696.37575="",13.19034="",130.621=""),"-",(130.621-13.19034)/3904696.37575*100)</f>
        <v>0.0030074210309743825</v>
      </c>
      <c r="G101" s="41">
        <f>IF(OR(4718168.92486="",342.56046="",130.621=""),"-",(342.56046-130.621)/4718168.92486*100)</f>
        <v>0.004491985415852586</v>
      </c>
    </row>
    <row r="102" spans="1:7" ht="15.75">
      <c r="A102" s="40" t="s">
        <v>96</v>
      </c>
      <c r="B102" s="41">
        <f>IF(339.01095="","-",339.01095)</f>
        <v>339.01095</v>
      </c>
      <c r="C102" s="41">
        <f>IF(OR(408.71217="",339.01095=""),"-",339.01095/408.71217*100)</f>
        <v>82.94613541847798</v>
      </c>
      <c r="D102" s="41">
        <f>IF(408.71217="","-",408.71217/4718168.92486*100)</f>
        <v>0.008662516677741197</v>
      </c>
      <c r="E102" s="41">
        <f>IF(339.01095="","-",339.01095/4797462.21183*100)</f>
        <v>0.007066464206097074</v>
      </c>
      <c r="F102" s="41">
        <f>IF(OR(3904696.37575="",461.55518="",408.71217=""),"-",(408.71217-461.55518)/3904696.37575*100)</f>
        <v>-0.001353319308722182</v>
      </c>
      <c r="G102" s="41">
        <f>IF(OR(4718168.92486="",339.01095="",408.71217=""),"-",(339.01095-408.71217)/4718168.92486*100)</f>
        <v>-0.0014772938635737433</v>
      </c>
    </row>
    <row r="103" spans="1:7" ht="15.75">
      <c r="A103" s="40" t="s">
        <v>61</v>
      </c>
      <c r="B103" s="41">
        <f>IF(306.11471="","-",306.11471)</f>
        <v>306.11471</v>
      </c>
      <c r="C103" s="41">
        <f>IF(OR(481.03435="",306.11471=""),"-",306.11471/481.03435*100)</f>
        <v>63.636767311939366</v>
      </c>
      <c r="D103" s="41">
        <f>IF(481.03435="","-",481.03435/4718168.92486*100)</f>
        <v>0.010195360905062838</v>
      </c>
      <c r="E103" s="41">
        <f>IF(306.11471="","-",306.11471/4797462.21183*100)</f>
        <v>0.0063807633386909375</v>
      </c>
      <c r="F103" s="41">
        <f>IF(OR(3904696.37575="",570.71835="",481.03435=""),"-",(481.03435-570.71835)/3904696.37575*100)</f>
        <v>-0.0022968239107393792</v>
      </c>
      <c r="G103" s="41">
        <f>IF(OR(4718168.92486="",306.11471="",481.03435=""),"-",(306.11471-481.03435)/4718168.92486*100)</f>
        <v>-0.0037073628092955647</v>
      </c>
    </row>
    <row r="104" spans="1:7" ht="15.75">
      <c r="A104" s="40" t="s">
        <v>109</v>
      </c>
      <c r="B104" s="41">
        <f>IF(272.03385="","-",272.03385)</f>
        <v>272.03385</v>
      </c>
      <c r="C104" s="41" t="s">
        <v>273</v>
      </c>
      <c r="D104" s="41">
        <f>IF(56.54058="","-",56.54058/4718168.92486*100)</f>
        <v>0.0011983585348563524</v>
      </c>
      <c r="E104" s="41">
        <f>IF(272.03385="","-",272.03385/4797462.21183*100)</f>
        <v>0.0056703698328085875</v>
      </c>
      <c r="F104" s="41">
        <f>IF(OR(3904696.37575="",67.99866="",56.54058=""),"-",(56.54058-67.99866)/3904696.37575*100)</f>
        <v>-0.00029344355866335896</v>
      </c>
      <c r="G104" s="41">
        <f>IF(OR(4718168.92486="",272.03385="",56.54058=""),"-",(272.03385-56.54058)/4718168.92486*100)</f>
        <v>0.004567307220912914</v>
      </c>
    </row>
    <row r="105" spans="1:7" ht="15.75">
      <c r="A105" s="40" t="s">
        <v>153</v>
      </c>
      <c r="B105" s="41">
        <f>IF(249.91256="","-",249.91256)</f>
        <v>249.91256</v>
      </c>
      <c r="C105" s="41">
        <f>IF(OR(223.60574="",249.91256=""),"-",249.91256/223.60574*100)</f>
        <v>111.76482321071006</v>
      </c>
      <c r="D105" s="41">
        <f>IF(223.60574="","-",223.60574/4718168.92486*100)</f>
        <v>0.004739248288076819</v>
      </c>
      <c r="E105" s="41">
        <f>IF(249.91256="","-",249.91256/4797462.21183*100)</f>
        <v>0.005209265836086083</v>
      </c>
      <c r="F105" s="41">
        <f>IF(OR(3904696.37575="",488.72726="",223.60574=""),"-",(223.60574-488.72726)/3904696.37575*100)</f>
        <v>-0.006789811408808359</v>
      </c>
      <c r="G105" s="41">
        <f>IF(OR(4718168.92486="",249.91256="",223.60574=""),"-",(249.91256-223.60574)/4718168.92486*100)</f>
        <v>0.0005575641826088413</v>
      </c>
    </row>
    <row r="106" spans="1:7" ht="15.75">
      <c r="A106" s="40" t="s">
        <v>147</v>
      </c>
      <c r="B106" s="41">
        <f>IF(203.12298="","-",203.12298)</f>
        <v>203.12298</v>
      </c>
      <c r="C106" s="41">
        <f>IF(OR(172.49037="",203.12298=""),"-",203.12298/172.49037*100)</f>
        <v>117.75902619954957</v>
      </c>
      <c r="D106" s="41">
        <f>IF(172.49037="","-",172.49037/4718168.92486*100)</f>
        <v>0.0036558752504843445</v>
      </c>
      <c r="E106" s="41">
        <f>IF(203.12298="","-",203.12298/4797462.21183*100)</f>
        <v>0.004233967273345514</v>
      </c>
      <c r="F106" s="41">
        <f>IF(OR(3904696.37575="",91.33173="",172.49037=""),"-",(172.49037-91.33173)/3904696.37575*100)</f>
        <v>0.002078487856419089</v>
      </c>
      <c r="G106" s="41">
        <f>IF(OR(4718168.92486="",203.12298="",172.49037=""),"-",(203.12298-172.49037)/4718168.92486*100)</f>
        <v>0.0006492478435563634</v>
      </c>
    </row>
    <row r="107" spans="1:7" ht="15.75">
      <c r="A107" s="40" t="s">
        <v>146</v>
      </c>
      <c r="B107" s="41">
        <f>IF(151.26617="","-",151.26617)</f>
        <v>151.26617</v>
      </c>
      <c r="C107" s="41" t="s">
        <v>274</v>
      </c>
      <c r="D107" s="41">
        <f>IF(19.32164="","-",19.32164/4718168.92486*100)</f>
        <v>0.0004095156470170962</v>
      </c>
      <c r="E107" s="41">
        <f>IF(151.26617="","-",151.26617/4797462.21183*100)</f>
        <v>0.003153045575366799</v>
      </c>
      <c r="F107" s="41">
        <f>IF(OR(3904696.37575="",12.68867="",19.32164=""),"-",(19.32164-12.68867)/3904696.37575*100)</f>
        <v>0.00016987159465698434</v>
      </c>
      <c r="G107" s="41">
        <f>IF(OR(4718168.92486="",151.26617="",19.32164=""),"-",(151.26617-19.32164)/4718168.92486*100)</f>
        <v>0.0027965198385497634</v>
      </c>
    </row>
    <row r="108" spans="1:7" ht="15.75">
      <c r="A108" s="40" t="s">
        <v>154</v>
      </c>
      <c r="B108" s="41">
        <f>IF(143.42514="","-",143.42514)</f>
        <v>143.42514</v>
      </c>
      <c r="C108" s="41">
        <f>IF(OR(99.91526="",143.42514=""),"-",143.42514/99.91526*100)</f>
        <v>143.54678154267927</v>
      </c>
      <c r="D108" s="41">
        <f>IF(99.91526="","-",99.91526/4718168.92486*100)</f>
        <v>0.0021176702570683127</v>
      </c>
      <c r="E108" s="41">
        <f>IF(143.42514="","-",143.42514/4797462.21183*100)</f>
        <v>0.002989604371376387</v>
      </c>
      <c r="F108" s="41">
        <f>IF(OR(3904696.37575="",226.39566="",99.91526=""),"-",(99.91526-226.39566)/3904696.37575*100)</f>
        <v>-0.0032391865545680514</v>
      </c>
      <c r="G108" s="41">
        <f>IF(OR(4718168.92486="",143.42514="",99.91526=""),"-",(143.42514-99.91526)/4718168.92486*100)</f>
        <v>0.0009221772406398324</v>
      </c>
    </row>
    <row r="109" spans="1:7" ht="15.75">
      <c r="A109" s="40" t="s">
        <v>185</v>
      </c>
      <c r="B109" s="41">
        <f>IF(135.84796="","-",135.84796)</f>
        <v>135.84796</v>
      </c>
      <c r="C109" s="41" t="s">
        <v>176</v>
      </c>
      <c r="D109" s="41">
        <f>IF(73.33796="","-",73.33796/4718168.92486*100)</f>
        <v>0.0015543733420306928</v>
      </c>
      <c r="E109" s="41">
        <f>IF(135.84796="","-",135.84796/4797462.21183*100)</f>
        <v>0.0028316629501534013</v>
      </c>
      <c r="F109" s="41">
        <f>IF(OR(3904696.37575="",48.08703="",73.33796=""),"-",(73.33796-48.08703)/3904696.37575*100)</f>
        <v>0.0006466810110209885</v>
      </c>
      <c r="G109" s="41">
        <f>IF(OR(4718168.92486="",135.84796="",73.33796=""),"-",(135.84796-73.33796)/4718168.92486*100)</f>
        <v>0.0013248783796323026</v>
      </c>
    </row>
    <row r="110" spans="1:7" ht="15.75">
      <c r="A110" s="40" t="s">
        <v>171</v>
      </c>
      <c r="B110" s="41">
        <f>IF(122.74016="","-",122.74016)</f>
        <v>122.74016</v>
      </c>
      <c r="C110" s="41">
        <f>IF(OR(358.01051="",122.74016=""),"-",122.74016/358.01051*100)</f>
        <v>34.283954401226936</v>
      </c>
      <c r="D110" s="41">
        <f>IF(358.01051="","-",358.01051/4718168.92486*100)</f>
        <v>0.007587912084148685</v>
      </c>
      <c r="E110" s="41">
        <f>IF(122.74016="","-",122.74016/4797462.21183*100)</f>
        <v>0.002558439328554514</v>
      </c>
      <c r="F110" s="41">
        <f>IF(OR(3904696.37575="",34.10485="",358.01051=""),"-",(358.01051-34.10485)/3904696.37575*100)</f>
        <v>0.008295284161186165</v>
      </c>
      <c r="G110" s="41">
        <f>IF(OR(4718168.92486="",122.74016="",358.01051=""),"-",(122.74016-358.01051)/4718168.92486*100)</f>
        <v>-0.004986475765213961</v>
      </c>
    </row>
    <row r="111" spans="1:7" ht="15.75">
      <c r="A111" s="40" t="s">
        <v>184</v>
      </c>
      <c r="B111" s="41">
        <f>IF(118.41813="","-",118.41813)</f>
        <v>118.41813</v>
      </c>
      <c r="C111" s="41">
        <f>IF(OR(82.81713="",118.41813=""),"-",118.41813/82.81713*100)</f>
        <v>142.98748338658922</v>
      </c>
      <c r="D111" s="41">
        <f>IF(82.81713="","-",82.81713/4718168.92486*100)</f>
        <v>0.0017552811550183612</v>
      </c>
      <c r="E111" s="41">
        <f>IF(118.41813="","-",118.41813/4797462.21183*100)</f>
        <v>0.002468349405816981</v>
      </c>
      <c r="F111" s="41">
        <f>IF(OR(3904696.37575="",50.48336="",82.81713=""),"-",(82.81713-50.48336)/3904696.37575*100)</f>
        <v>0.0008280738600012006</v>
      </c>
      <c r="G111" s="41">
        <f>IF(OR(4718168.92486="",118.41813="",82.81713=""),"-",(118.41813-82.81713)/4718168.92486*100)</f>
        <v>0.0007545511949014495</v>
      </c>
    </row>
    <row r="112" spans="1:7" ht="15.75">
      <c r="A112" s="40" t="s">
        <v>186</v>
      </c>
      <c r="B112" s="41">
        <f>IF(113.38431="","-",113.38431)</f>
        <v>113.38431</v>
      </c>
      <c r="C112" s="41" t="s">
        <v>275</v>
      </c>
      <c r="D112" s="41">
        <f>IF(22.27986="","-",22.27986/4718168.92486*100)</f>
        <v>0.0004722141227841074</v>
      </c>
      <c r="E112" s="41">
        <f>IF(113.38431="","-",113.38431/4797462.21183*100)</f>
        <v>0.002363422680441486</v>
      </c>
      <c r="F112" s="41">
        <f>IF(OR(3904696.37575="",162.12877="",22.27986=""),"-",(22.27986-162.12877)/3904696.37575*100)</f>
        <v>-0.003581556580648049</v>
      </c>
      <c r="G112" s="41">
        <f>IF(OR(4718168.92486="",113.38431="",22.27986=""),"-",(113.38431-22.27986)/4718168.92486*100)</f>
        <v>0.001930928108995235</v>
      </c>
    </row>
    <row r="113" spans="1:7" ht="15.75">
      <c r="A113" s="40" t="s">
        <v>189</v>
      </c>
      <c r="B113" s="41">
        <f>IF(103.15425="","-",103.15425)</f>
        <v>103.15425</v>
      </c>
      <c r="C113" s="41">
        <f>IF(OR(263.80301="",103.15425=""),"-",103.15425/263.80301*100)</f>
        <v>39.102757015547326</v>
      </c>
      <c r="D113" s="41">
        <f>IF(263.80301="","-",263.80301/4718168.92486*100)</f>
        <v>0.005591215876354569</v>
      </c>
      <c r="E113" s="41">
        <f>IF(103.15425="","-",103.15425/4797462.21183*100)</f>
        <v>0.0021501836897356535</v>
      </c>
      <c r="F113" s="41">
        <f>IF(OR(3904696.37575="",33.02418="",263.80301=""),"-",(263.80301-33.02418)/3904696.37575*100)</f>
        <v>0.005910288734182893</v>
      </c>
      <c r="G113" s="41">
        <f>IF(OR(4718168.92486="",103.15425="",263.80301=""),"-",(103.15425-263.80301)/4718168.92486*100)</f>
        <v>-0.0034048963180089375</v>
      </c>
    </row>
    <row r="114" spans="1:7" ht="15.75">
      <c r="A114" s="40" t="s">
        <v>183</v>
      </c>
      <c r="B114" s="41">
        <f>IF(98.72405="","-",98.72405)</f>
        <v>98.72405</v>
      </c>
      <c r="C114" s="41">
        <f>IF(OR(87.62282="",98.72405=""),"-",98.72405/87.62282*100)</f>
        <v>112.66933659519289</v>
      </c>
      <c r="D114" s="41">
        <f>IF(87.62282="","-",87.62282/4718168.92486*100)</f>
        <v>0.001857136134705054</v>
      </c>
      <c r="E114" s="41">
        <f>IF(98.72405="","-",98.72405/4797462.21183*100)</f>
        <v>0.002057839033240484</v>
      </c>
      <c r="F114" s="41">
        <f>IF(OR(3904696.37575="",85.59839="",87.62282=""),"-",(87.62282-85.59839)/3904696.37575*100)</f>
        <v>5.184602860731173E-05</v>
      </c>
      <c r="G114" s="41">
        <f>IF(OR(4718168.92486="",98.72405="",87.62282=""),"-",(98.72405-87.62282)/4718168.92486*100)</f>
        <v>0.00023528682793673826</v>
      </c>
    </row>
    <row r="115" spans="1:7" ht="15.75">
      <c r="A115" s="40" t="s">
        <v>187</v>
      </c>
      <c r="B115" s="41">
        <f>IF(97.36825="","-",97.36825)</f>
        <v>97.36825</v>
      </c>
      <c r="C115" s="41">
        <f>IF(OR(87.16651="",97.36825=""),"-",97.36825/87.16651*100)</f>
        <v>111.70373805260758</v>
      </c>
      <c r="D115" s="41">
        <f>IF(87.16651="","-",87.16651/4718168.92486*100)</f>
        <v>0.0018474647980643562</v>
      </c>
      <c r="E115" s="41">
        <f>IF(97.36825="","-",97.36825/4797462.21183*100)</f>
        <v>0.002029578258269568</v>
      </c>
      <c r="F115" s="41">
        <f>IF(OR(3904696.37575="",74.2607="",87.16651=""),"-",(87.16651-74.2607)/3904696.37575*100)</f>
        <v>0.0003305201930718903</v>
      </c>
      <c r="G115" s="41">
        <f>IF(OR(4718168.92486="",97.36825="",87.16651=""),"-",(97.36825-87.16651)/4718168.92486*100)</f>
        <v>0.00021622244057958802</v>
      </c>
    </row>
    <row r="116" spans="1:7" ht="15.75">
      <c r="A116" s="42" t="s">
        <v>190</v>
      </c>
      <c r="B116" s="43">
        <f>IF(90.85723="","-",90.85723)</f>
        <v>90.85723</v>
      </c>
      <c r="C116" s="43" t="s">
        <v>276</v>
      </c>
      <c r="D116" s="43">
        <f>IF(36.47897="","-",36.47897/4718168.92486*100)</f>
        <v>0.0007731594731123881</v>
      </c>
      <c r="E116" s="43">
        <f>IF(90.85723="","-",90.85723/4797462.21183*100)</f>
        <v>0.0018938602533638792</v>
      </c>
      <c r="F116" s="43">
        <f>IF(OR(3904696.37575="",16.75061="",36.47897=""),"-",(36.47897-16.75061)/3904696.37575*100)</f>
        <v>0.0005052469667685914</v>
      </c>
      <c r="G116" s="43">
        <f>IF(OR(4718168.92486="",90.85723="",36.47897=""),"-",(90.85723-36.47897)/4718168.92486*100)</f>
        <v>0.0011525288913137748</v>
      </c>
    </row>
    <row r="117" ht="15.75">
      <c r="A117" s="30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5"/>
  <sheetViews>
    <sheetView zoomScale="95" zoomScaleNormal="95" zoomScalePageLayoutView="0" workbookViewId="0" topLeftCell="A1">
      <selection activeCell="G26" sqref="G26"/>
    </sheetView>
  </sheetViews>
  <sheetFormatPr defaultColWidth="9.00390625" defaultRowHeight="15.75"/>
  <cols>
    <col min="1" max="1" width="41.625" style="0" customWidth="1"/>
    <col min="2" max="2" width="15.375" style="0" customWidth="1"/>
    <col min="3" max="3" width="15.125" style="0" customWidth="1"/>
    <col min="4" max="4" width="17.25390625" style="0" customWidth="1"/>
  </cols>
  <sheetData>
    <row r="1" spans="1:4" ht="15.75">
      <c r="A1" s="74" t="s">
        <v>125</v>
      </c>
      <c r="B1" s="74"/>
      <c r="C1" s="74"/>
      <c r="D1" s="74"/>
    </row>
    <row r="2" ht="15.75">
      <c r="A2" s="4"/>
    </row>
    <row r="3" spans="1:4" ht="36" customHeight="1">
      <c r="A3" s="75"/>
      <c r="B3" s="73" t="s">
        <v>263</v>
      </c>
      <c r="C3" s="73"/>
      <c r="D3" s="77" t="s">
        <v>264</v>
      </c>
    </row>
    <row r="4" spans="1:4" ht="21" customHeight="1">
      <c r="A4" s="76"/>
      <c r="B4" s="19">
        <v>2018</v>
      </c>
      <c r="C4" s="18">
        <v>2019</v>
      </c>
      <c r="D4" s="78"/>
    </row>
    <row r="5" spans="1:4" ht="17.25" customHeight="1">
      <c r="A5" s="50" t="s">
        <v>152</v>
      </c>
      <c r="B5" s="37">
        <v>-2499667.23</v>
      </c>
      <c r="C5" s="37">
        <f>IF(-2503050.293="","-",-2503050.293)</f>
        <v>-2503050.293</v>
      </c>
      <c r="D5" s="37">
        <f>IF(-2499667.23347="","-",-2503050.293/-2499667.23347*100)</f>
        <v>100.13534039590158</v>
      </c>
    </row>
    <row r="6" spans="1:4" ht="15.75">
      <c r="A6" s="51" t="s">
        <v>155</v>
      </c>
      <c r="B6" s="52"/>
      <c r="C6" s="24"/>
      <c r="D6" s="24"/>
    </row>
    <row r="7" spans="1:4" ht="15.75">
      <c r="A7" s="38" t="s">
        <v>296</v>
      </c>
      <c r="B7" s="39">
        <f>IF(-835077.15266="","-",-835077.15266)</f>
        <v>-835077.15266</v>
      </c>
      <c r="C7" s="39">
        <f>IF(-887887.78801="","-",-887887.78801)</f>
        <v>-887887.78801</v>
      </c>
      <c r="D7" s="39">
        <f>IF(-835077.15266="","-",-887887.78801/-835077.15266*100)</f>
        <v>106.32404265663125</v>
      </c>
    </row>
    <row r="8" spans="1:4" ht="15.75">
      <c r="A8" s="40" t="s">
        <v>4</v>
      </c>
      <c r="B8" s="41">
        <f>IF(-217613.35316="","-",-217613.35316)</f>
        <v>-217613.35316</v>
      </c>
      <c r="C8" s="41">
        <f>IF(-194573.48504="","-",-194573.48504)</f>
        <v>-194573.48504</v>
      </c>
      <c r="D8" s="41">
        <f>IF(OR(-217613.35316="",-194573.48504="",-217613.35316=0),"-",-194573.48504/-217613.35316*100)</f>
        <v>89.41247502258744</v>
      </c>
    </row>
    <row r="9" spans="1:4" ht="15.75">
      <c r="A9" s="40" t="s">
        <v>3</v>
      </c>
      <c r="B9" s="41">
        <f>IF(-66467.15772="","-",-66467.15772)</f>
        <v>-66467.15772</v>
      </c>
      <c r="C9" s="41">
        <f>IF(-110486.61383="","-",-110486.61383)</f>
        <v>-110486.61383</v>
      </c>
      <c r="D9" s="41" t="s">
        <v>106</v>
      </c>
    </row>
    <row r="10" spans="1:4" ht="15.75">
      <c r="A10" s="40" t="s">
        <v>156</v>
      </c>
      <c r="B10" s="41">
        <f>IF(-69791.4932="","-",-69791.4932)</f>
        <v>-69791.4932</v>
      </c>
      <c r="C10" s="41">
        <f>IF(-92918.01017="","-",-92918.01017)</f>
        <v>-92918.01017</v>
      </c>
      <c r="D10" s="41">
        <f>IF(OR(-69791.4932="",-92918.01017="",-69791.4932=0),"-",-92918.01017/-69791.4932*100)</f>
        <v>133.13658428789714</v>
      </c>
    </row>
    <row r="11" spans="1:4" ht="15.75">
      <c r="A11" s="40" t="s">
        <v>43</v>
      </c>
      <c r="B11" s="41">
        <f>IF(-88057.34324="","-",-88057.34324)</f>
        <v>-88057.34324</v>
      </c>
      <c r="C11" s="41">
        <f>IF(-84704.72259="","-",-84704.72259)</f>
        <v>-84704.72259</v>
      </c>
      <c r="D11" s="41">
        <f>IF(OR(-88057.34324="",-84704.72259="",-88057.34324=0),"-",-84704.72259/-88057.34324*100)</f>
        <v>96.1926847589957</v>
      </c>
    </row>
    <row r="12" spans="1:4" ht="15.75">
      <c r="A12" s="40" t="s">
        <v>5</v>
      </c>
      <c r="B12" s="41">
        <f>IF(-86535.22885="","-",-86535.22885)</f>
        <v>-86535.22885</v>
      </c>
      <c r="C12" s="41">
        <f>IF(-71734.74765="","-",-71734.74765)</f>
        <v>-71734.74765</v>
      </c>
      <c r="D12" s="41">
        <f>IF(OR(-86535.22885="",-71734.74765="",-86535.22885=0),"-",-71734.74765/-86535.22885*100)</f>
        <v>82.89658281755385</v>
      </c>
    </row>
    <row r="13" spans="1:4" ht="15.75">
      <c r="A13" s="40" t="s">
        <v>2</v>
      </c>
      <c r="B13" s="41">
        <f>IF(-58297.01753="","-",-58297.01753)</f>
        <v>-58297.01753</v>
      </c>
      <c r="C13" s="41">
        <f>IF(-59198.85005="","-",-59198.85005)</f>
        <v>-59198.85005</v>
      </c>
      <c r="D13" s="41">
        <f>IF(OR(-58297.01753="",-59198.85005="",-58297.01753=0),"-",-59198.85005/-58297.01753*100)</f>
        <v>101.54696167696042</v>
      </c>
    </row>
    <row r="14" spans="1:4" ht="15.75">
      <c r="A14" s="40" t="s">
        <v>8</v>
      </c>
      <c r="B14" s="41">
        <f>IF(-54305.31109="","-",-54305.31109)</f>
        <v>-54305.31109</v>
      </c>
      <c r="C14" s="41">
        <f>IF(-52750.02935="","-",-52750.02935)</f>
        <v>-52750.02935</v>
      </c>
      <c r="D14" s="41">
        <f>IF(OR(-54305.31109="",-52750.02935="",-54305.31109=0),"-",-52750.02935/-54305.31109*100)</f>
        <v>97.13604119232014</v>
      </c>
    </row>
    <row r="15" spans="1:4" ht="15.75">
      <c r="A15" s="40" t="s">
        <v>7</v>
      </c>
      <c r="B15" s="41">
        <f>IF(-36276.38701="","-",-36276.38701)</f>
        <v>-36276.38701</v>
      </c>
      <c r="C15" s="41">
        <f>IF(-43152.77582="","-",-43152.77582)</f>
        <v>-43152.77582</v>
      </c>
      <c r="D15" s="41">
        <f>IF(OR(-36276.38701="",-43152.77582="",-36276.38701=0),"-",-43152.77582/-36276.38701*100)</f>
        <v>118.95555036422026</v>
      </c>
    </row>
    <row r="16" spans="1:4" ht="15.75">
      <c r="A16" s="40" t="s">
        <v>41</v>
      </c>
      <c r="B16" s="41">
        <f>IF(-42858.91424="","-",-42858.91424)</f>
        <v>-42858.91424</v>
      </c>
      <c r="C16" s="41">
        <f>IF(-38658.67333="","-",-38658.67333)</f>
        <v>-38658.67333</v>
      </c>
      <c r="D16" s="41">
        <f>IF(OR(-42858.91424="",-38658.67333="",-42858.91424=0),"-",-38658.67333/-42858.91424*100)</f>
        <v>90.19984293937166</v>
      </c>
    </row>
    <row r="17" spans="1:4" ht="15.75">
      <c r="A17" s="40" t="s">
        <v>42</v>
      </c>
      <c r="B17" s="41">
        <f>IF(-26312.88645="","-",-26312.88645)</f>
        <v>-26312.88645</v>
      </c>
      <c r="C17" s="41">
        <f>IF(-22912.25947="","-",-22912.25947)</f>
        <v>-22912.25947</v>
      </c>
      <c r="D17" s="41">
        <f>IF(OR(-26312.88645="",-22912.25947="",-26312.88645=0),"-",-22912.25947/-26312.88645*100)</f>
        <v>87.0761917873894</v>
      </c>
    </row>
    <row r="18" spans="1:4" ht="15.75">
      <c r="A18" s="40" t="s">
        <v>51</v>
      </c>
      <c r="B18" s="41">
        <f>IF(-20419.91942="","-",-20419.91942)</f>
        <v>-20419.91942</v>
      </c>
      <c r="C18" s="41">
        <f>IF(-19870.52449="","-",-19870.52449)</f>
        <v>-19870.52449</v>
      </c>
      <c r="D18" s="41">
        <f>IF(OR(-20419.91942="",-19870.52449="",-20419.91942=0),"-",-19870.52449/-20419.91942*100)</f>
        <v>97.3095147013073</v>
      </c>
    </row>
    <row r="19" spans="1:4" ht="15.75">
      <c r="A19" s="40" t="s">
        <v>53</v>
      </c>
      <c r="B19" s="41">
        <f>IF(-18620.6367="","-",-18620.6367)</f>
        <v>-18620.6367</v>
      </c>
      <c r="C19" s="41">
        <f>IF(-18852.6297699999="","-",-18852.6297699999)</f>
        <v>-18852.6297699999</v>
      </c>
      <c r="D19" s="41">
        <f>IF(OR(-18620.6367="",-18852.6297699999="",-18620.6367=0),"-",-18852.6297699999/-18620.6367*100)</f>
        <v>101.24589225243787</v>
      </c>
    </row>
    <row r="20" spans="1:4" ht="15.75">
      <c r="A20" s="40" t="s">
        <v>10</v>
      </c>
      <c r="B20" s="41">
        <f>IF(-18269.58391="","-",-18269.58391)</f>
        <v>-18269.58391</v>
      </c>
      <c r="C20" s="41">
        <f>IF(-17777.73336="","-",-17777.73336)</f>
        <v>-17777.73336</v>
      </c>
      <c r="D20" s="41">
        <f>IF(OR(-18269.58391="",-17777.73336="",-18269.58391=0),"-",-17777.73336/-18269.58391*100)</f>
        <v>97.3078174499049</v>
      </c>
    </row>
    <row r="21" spans="1:4" ht="15.75">
      <c r="A21" s="40" t="s">
        <v>45</v>
      </c>
      <c r="B21" s="41">
        <f>IF(-10827.30839="","-",-10827.30839)</f>
        <v>-10827.30839</v>
      </c>
      <c r="C21" s="41">
        <f>IF(-16980.83271="","-",-16980.83271)</f>
        <v>-16980.83271</v>
      </c>
      <c r="D21" s="41" t="s">
        <v>107</v>
      </c>
    </row>
    <row r="22" spans="1:4" ht="15.75">
      <c r="A22" s="40" t="s">
        <v>52</v>
      </c>
      <c r="B22" s="41">
        <f>IF(-4910.0044="","-",-4910.0044)</f>
        <v>-4910.0044</v>
      </c>
      <c r="C22" s="41">
        <f>IF(-12272.42365="","-",-12272.42365)</f>
        <v>-12272.42365</v>
      </c>
      <c r="D22" s="41" t="s">
        <v>276</v>
      </c>
    </row>
    <row r="23" spans="1:4" ht="15.75">
      <c r="A23" s="40" t="s">
        <v>50</v>
      </c>
      <c r="B23" s="41">
        <f>IF(-11041.73375="","-",-11041.73375)</f>
        <v>-11041.73375</v>
      </c>
      <c r="C23" s="41">
        <f>IF(-10634.56733="","-",-10634.56733)</f>
        <v>-10634.56733</v>
      </c>
      <c r="D23" s="41">
        <f>IF(OR(-11041.73375="",-10634.56733="",-11041.73375=0),"-",-10634.56733/-11041.73375*100)</f>
        <v>96.31247746758973</v>
      </c>
    </row>
    <row r="24" spans="1:4" ht="15.75">
      <c r="A24" s="40" t="s">
        <v>49</v>
      </c>
      <c r="B24" s="41">
        <f>IF(-11644.11764="","-",-11644.11764)</f>
        <v>-11644.11764</v>
      </c>
      <c r="C24" s="41">
        <f>IF(-9984.9752="","-",-9984.9752)</f>
        <v>-9984.9752</v>
      </c>
      <c r="D24" s="41">
        <f>IF(OR(-11644.11764="",-9984.9752="",-11644.11764=0),"-",-9984.9752/-11644.11764*100)</f>
        <v>85.75123945587345</v>
      </c>
    </row>
    <row r="25" spans="1:4" ht="15.75">
      <c r="A25" s="40" t="s">
        <v>44</v>
      </c>
      <c r="B25" s="41">
        <f>IF(-4128.0912="","-",-4128.0912)</f>
        <v>-4128.0912</v>
      </c>
      <c r="C25" s="41">
        <f>IF(-6137.24721="","-",-6137.24721)</f>
        <v>-6137.24721</v>
      </c>
      <c r="D25" s="41" t="s">
        <v>135</v>
      </c>
    </row>
    <row r="26" spans="1:4" ht="15.75">
      <c r="A26" s="40" t="s">
        <v>54</v>
      </c>
      <c r="B26" s="41">
        <f>IF(-5121.62057="","-",-5121.62057)</f>
        <v>-5121.62057</v>
      </c>
      <c r="C26" s="41">
        <f>IF(-5751.72413="","-",-5751.72413)</f>
        <v>-5751.72413</v>
      </c>
      <c r="D26" s="41">
        <f>IF(OR(-5121.62057="",-5751.72413="",-5121.62057=0),"-",-5751.72413/-5121.62057*100)</f>
        <v>112.30281609869432</v>
      </c>
    </row>
    <row r="27" spans="1:4" ht="15.75">
      <c r="A27" s="40" t="s">
        <v>157</v>
      </c>
      <c r="B27" s="41">
        <f>IF(19976.03334="","-",19976.03334)</f>
        <v>19976.03334</v>
      </c>
      <c r="C27" s="41">
        <f>IF(-4844.21819="","-",-4844.21819)</f>
        <v>-4844.21819</v>
      </c>
      <c r="D27" s="41" t="s">
        <v>22</v>
      </c>
    </row>
    <row r="28" spans="1:4" ht="15.75">
      <c r="A28" s="40" t="s">
        <v>158</v>
      </c>
      <c r="B28" s="41">
        <f>IF(-1843.90827="","-",-1843.90827)</f>
        <v>-1843.90827</v>
      </c>
      <c r="C28" s="41">
        <f>IF(-3758.31236="","-",-3758.31236)</f>
        <v>-3758.31236</v>
      </c>
      <c r="D28" s="41" t="s">
        <v>20</v>
      </c>
    </row>
    <row r="29" spans="1:4" ht="15.75">
      <c r="A29" s="40" t="s">
        <v>6</v>
      </c>
      <c r="B29" s="41">
        <f>IF(-12160.88474="","-",-12160.88474)</f>
        <v>-12160.88474</v>
      </c>
      <c r="C29" s="41">
        <f>IF(-3047.84597="","-",-3047.84597)</f>
        <v>-3047.84597</v>
      </c>
      <c r="D29" s="41">
        <f>IF(OR(-12160.88474="",-3047.84597="",-12160.88474=0),"-",-3047.84597/-12160.88474*100)</f>
        <v>25.06269926212622</v>
      </c>
    </row>
    <row r="30" spans="1:4" ht="15.75">
      <c r="A30" s="40" t="s">
        <v>46</v>
      </c>
      <c r="B30" s="41">
        <f>IF(-4743.23143="","-",-4743.23143)</f>
        <v>-4743.23143</v>
      </c>
      <c r="C30" s="41">
        <f>IF(-2673.03526="","-",-2673.03526)</f>
        <v>-2673.03526</v>
      </c>
      <c r="D30" s="41">
        <f>IF(OR(-4743.23143="",-2673.03526="",-4743.23143=0),"-",-2673.03526/-4743.23143*100)</f>
        <v>56.35472988084834</v>
      </c>
    </row>
    <row r="31" spans="1:4" ht="15.75">
      <c r="A31" s="40" t="s">
        <v>55</v>
      </c>
      <c r="B31" s="41">
        <f>IF(-756.31811="","-",-756.31811)</f>
        <v>-756.31811</v>
      </c>
      <c r="C31" s="41">
        <f>IF(-1665.50039="","-",-1665.50039)</f>
        <v>-1665.50039</v>
      </c>
      <c r="D31" s="41" t="s">
        <v>168</v>
      </c>
    </row>
    <row r="32" spans="1:4" ht="15.75">
      <c r="A32" s="40" t="s">
        <v>47</v>
      </c>
      <c r="B32" s="41">
        <f>IF(-1483.55999="","-",-1483.55999)</f>
        <v>-1483.55999</v>
      </c>
      <c r="C32" s="41">
        <f>IF(-1041.82567="","-",-1041.82567)</f>
        <v>-1041.82567</v>
      </c>
      <c r="D32" s="41">
        <f>IF(OR(-1483.55999="",-1041.82567="",-1483.55999=0),"-",-1041.82567/-1483.55999*100)</f>
        <v>70.22470793378568</v>
      </c>
    </row>
    <row r="33" spans="1:4" ht="15.75">
      <c r="A33" s="40" t="s">
        <v>56</v>
      </c>
      <c r="B33" s="41">
        <f>IF(510.87091="","-",510.87091)</f>
        <v>510.87091</v>
      </c>
      <c r="C33" s="41">
        <f>IF(364.92834="","-",364.92834)</f>
        <v>364.92834</v>
      </c>
      <c r="D33" s="41">
        <f>IF(OR(510.87091="",364.92834="",510.87091=0),"-",364.92834/510.87091*100)</f>
        <v>71.43259341190517</v>
      </c>
    </row>
    <row r="34" spans="1:4" ht="15.75">
      <c r="A34" s="40" t="s">
        <v>48</v>
      </c>
      <c r="B34" s="41">
        <f>IF(6142.82872="","-",6142.82872)</f>
        <v>6142.82872</v>
      </c>
      <c r="C34" s="41">
        <f>IF(8767.21112="","-",8767.21112)</f>
        <v>8767.21112</v>
      </c>
      <c r="D34" s="41">
        <f>IF(OR(6142.82872="",8767.21112="",6142.82872=0),"-",8767.21112/6142.82872*100)</f>
        <v>142.72270186299448</v>
      </c>
    </row>
    <row r="35" spans="1:4" ht="15.75">
      <c r="A35" s="40" t="s">
        <v>9</v>
      </c>
      <c r="B35" s="41">
        <f>IF(10779.12538="","-",10779.12538)</f>
        <v>10779.12538</v>
      </c>
      <c r="C35" s="41">
        <f>IF(9363.63552="","-",9363.63552)</f>
        <v>9363.63552</v>
      </c>
      <c r="D35" s="41">
        <f>IF(OR(10779.12538="",9363.63552="",10779.12538=0),"-",9363.63552/10779.12538*100)</f>
        <v>86.8682308619737</v>
      </c>
    </row>
    <row r="36" spans="1:4" ht="15.75">
      <c r="A36" s="38" t="s">
        <v>175</v>
      </c>
      <c r="B36" s="39">
        <f>IF(-797042.8966="","-",-797042.8966)</f>
        <v>-797042.8966</v>
      </c>
      <c r="C36" s="39">
        <f>IF(-796622.26129="","-",-796622.26129)</f>
        <v>-796622.26129</v>
      </c>
      <c r="D36" s="39">
        <f>IF(-797042.8966="","-",-796622.26129/-797042.8966*100)</f>
        <v>99.94722551172663</v>
      </c>
    </row>
    <row r="37" spans="1:4" ht="15.75">
      <c r="A37" s="40" t="s">
        <v>12</v>
      </c>
      <c r="B37" s="41">
        <f>IF(-409224.38043="","-",-409224.38043)</f>
        <v>-409224.38043</v>
      </c>
      <c r="C37" s="41">
        <f>IF(-411792.41521="","-",-411792.41521)</f>
        <v>-411792.41521</v>
      </c>
      <c r="D37" s="41">
        <f>IF(OR(-409224.38043="",-411792.41521="",-409224.38043=0),"-",-411792.41521/-409224.38043*100)</f>
        <v>100.62753709280507</v>
      </c>
    </row>
    <row r="38" spans="1:4" ht="15.75">
      <c r="A38" s="40" t="s">
        <v>159</v>
      </c>
      <c r="B38" s="41">
        <f>IF(-362977.06169="","-",-362977.06169)</f>
        <v>-362977.06169</v>
      </c>
      <c r="C38" s="41">
        <f>IF(-343916.07916="","-",-343916.07916)</f>
        <v>-343916.07916</v>
      </c>
      <c r="D38" s="41">
        <f>IF(OR(-362977.06169="",-343916.07916="",-362977.06169=0),"-",-343916.07916/-362977.06169*100)</f>
        <v>94.74870879133431</v>
      </c>
    </row>
    <row r="39" spans="1:4" ht="15.75">
      <c r="A39" s="40" t="s">
        <v>11</v>
      </c>
      <c r="B39" s="41">
        <f>IF(-28994.6985="","-",-28994.6985)</f>
        <v>-28994.6985</v>
      </c>
      <c r="C39" s="41">
        <f>IF(-42245.49507="","-",-42245.49507)</f>
        <v>-42245.49507</v>
      </c>
      <c r="D39" s="41">
        <f>IF(OR(-28994.6985="",-42245.49507="",-28994.6985=0),"-",-42245.49507/-28994.6985*100)</f>
        <v>145.70075653657858</v>
      </c>
    </row>
    <row r="40" spans="1:4" ht="15.75">
      <c r="A40" s="40" t="s">
        <v>15</v>
      </c>
      <c r="B40" s="41">
        <f>IF(-436.9096="","-",-436.9096)</f>
        <v>-436.9096</v>
      </c>
      <c r="C40" s="41">
        <f>IF(-3974.75551="","-",-3974.75551)</f>
        <v>-3974.75551</v>
      </c>
      <c r="D40" s="41" t="s">
        <v>290</v>
      </c>
    </row>
    <row r="41" spans="1:4" ht="15.75">
      <c r="A41" s="40" t="s">
        <v>16</v>
      </c>
      <c r="B41" s="41">
        <f>IF(-10401.10553="","-",-10401.10553)</f>
        <v>-10401.10553</v>
      </c>
      <c r="C41" s="41">
        <f>IF(-1560.35152="","-",-1560.35152)</f>
        <v>-1560.35152</v>
      </c>
      <c r="D41" s="41">
        <f>IF(OR(-10401.10553="",-1560.35152="",-10401.10553=0),"-",-1560.35152/-10401.10553*100)</f>
        <v>15.001785295798262</v>
      </c>
    </row>
    <row r="42" spans="1:4" ht="15.75">
      <c r="A42" s="40" t="s">
        <v>18</v>
      </c>
      <c r="B42" s="41">
        <f>IF(304.32466="","-",304.32466)</f>
        <v>304.32466</v>
      </c>
      <c r="C42" s="41">
        <f>IF(140.90353="","-",140.90353)</f>
        <v>140.90353</v>
      </c>
      <c r="D42" s="41">
        <f>IF(OR(304.32466="",140.90353="",304.32466=0),"-",140.90353/304.32466*100)</f>
        <v>46.300398396896256</v>
      </c>
    </row>
    <row r="43" spans="1:4" ht="15.75">
      <c r="A43" s="40" t="s">
        <v>13</v>
      </c>
      <c r="B43" s="41">
        <f>IF(10144.39109="","-",10144.39109)</f>
        <v>10144.39109</v>
      </c>
      <c r="C43" s="41">
        <f>IF(301.77592="","-",301.77592)</f>
        <v>301.77592</v>
      </c>
      <c r="D43" s="41">
        <f>IF(OR(10144.39109="",301.77592="",10144.39109=0),"-",301.77592/10144.39109*100)</f>
        <v>2.9748056568666854</v>
      </c>
    </row>
    <row r="44" spans="1:4" ht="15.75">
      <c r="A44" s="40" t="s">
        <v>136</v>
      </c>
      <c r="B44" s="41">
        <f>IF(657.90887="","-",657.90887)</f>
        <v>657.90887</v>
      </c>
      <c r="C44" s="41">
        <f>IF(656.90347="","-",656.90347)</f>
        <v>656.90347</v>
      </c>
      <c r="D44" s="41">
        <f>IF(OR(657.90887="",656.90347="",657.90887=0),"-",656.90347/657.90887*100)</f>
        <v>99.84718248288704</v>
      </c>
    </row>
    <row r="45" spans="1:4" ht="15.75">
      <c r="A45" s="40" t="s">
        <v>17</v>
      </c>
      <c r="B45" s="41">
        <f>IF(810.35743="","-",810.35743)</f>
        <v>810.35743</v>
      </c>
      <c r="C45" s="41">
        <f>IF(2419.8063="","-",2419.8063)</f>
        <v>2419.8063</v>
      </c>
      <c r="D45" s="41" t="s">
        <v>201</v>
      </c>
    </row>
    <row r="46" spans="1:4" ht="15.75">
      <c r="A46" s="40" t="s">
        <v>14</v>
      </c>
      <c r="B46" s="41">
        <f>IF(3074.2771="","-",3074.2771)</f>
        <v>3074.2771</v>
      </c>
      <c r="C46" s="41">
        <f>IF(3347.44596="","-",3347.44596)</f>
        <v>3347.44596</v>
      </c>
      <c r="D46" s="41">
        <f>IF(OR(3074.2771="",3347.44596="",3074.2771=0),"-",3347.44596/3074.2771*100)</f>
        <v>108.88562908008521</v>
      </c>
    </row>
    <row r="47" spans="1:4" ht="15.75">
      <c r="A47" s="38" t="s">
        <v>170</v>
      </c>
      <c r="B47" s="39">
        <f>IF(-867547.18421="","-",-867547.18421)</f>
        <v>-867547.18421</v>
      </c>
      <c r="C47" s="39">
        <f>IF(-818540.2437="","-",-818540.2437)</f>
        <v>-818540.2437</v>
      </c>
      <c r="D47" s="39">
        <f>IF(-867547.18421="","-",-818540.2437/-867547.18421*100)</f>
        <v>94.3510922054774</v>
      </c>
    </row>
    <row r="48" spans="1:4" ht="15.75">
      <c r="A48" s="40" t="s">
        <v>60</v>
      </c>
      <c r="B48" s="41">
        <f>IF(-480259.29658="","-",-480259.29658)</f>
        <v>-480259.29658</v>
      </c>
      <c r="C48" s="41">
        <f>IF(-478948.07536="","-",-478948.07536)</f>
        <v>-478948.07536</v>
      </c>
      <c r="D48" s="41">
        <f>IF(OR(-480259.29658="",-478948.07536="",-480259.29658=0),"-",-478948.07536/-480259.29658*100)</f>
        <v>99.72697640017853</v>
      </c>
    </row>
    <row r="49" spans="1:4" ht="15.75">
      <c r="A49" s="40" t="s">
        <v>57</v>
      </c>
      <c r="B49" s="41">
        <f>IF(-202291.55742="","-",-202291.55742)</f>
        <v>-202291.55742</v>
      </c>
      <c r="C49" s="41">
        <f>IF(-164574.11885="","-",-164574.11885)</f>
        <v>-164574.11885</v>
      </c>
      <c r="D49" s="41">
        <f>IF(OR(-202291.55742="",-164574.11885="",-202291.55742=0),"-",-164574.11885/-202291.55742*100)</f>
        <v>81.35491216190964</v>
      </c>
    </row>
    <row r="50" spans="1:4" ht="15.75">
      <c r="A50" s="40" t="s">
        <v>19</v>
      </c>
      <c r="B50" s="41">
        <f>IF(-42822.24576="","-",-42822.24576)</f>
        <v>-42822.24576</v>
      </c>
      <c r="C50" s="41">
        <f>IF(-42422.39716="","-",-42422.39716)</f>
        <v>-42422.39716</v>
      </c>
      <c r="D50" s="41">
        <f>IF(OR(-42822.24576="",-42422.39716="",-42822.24576=0),"-",-42422.39716/-42822.24576*100)</f>
        <v>99.06625962066312</v>
      </c>
    </row>
    <row r="51" spans="1:4" ht="15.75">
      <c r="A51" s="40" t="s">
        <v>77</v>
      </c>
      <c r="B51" s="41">
        <f>IF(-43809.99233="","-",-43809.99233)</f>
        <v>-43809.99233</v>
      </c>
      <c r="C51" s="41">
        <f>IF(-39491.97894="","-",-39491.97894)</f>
        <v>-39491.97894</v>
      </c>
      <c r="D51" s="41">
        <f>IF(OR(-43809.99233="",-39491.97894="",-43809.99233=0),"-",-39491.97894/-43809.99233*100)</f>
        <v>90.14377049538278</v>
      </c>
    </row>
    <row r="52" spans="1:4" ht="15.75">
      <c r="A52" s="40" t="s">
        <v>73</v>
      </c>
      <c r="B52" s="41">
        <f>IF(-29756.0461="","-",-29756.0461)</f>
        <v>-29756.0461</v>
      </c>
      <c r="C52" s="41">
        <f>IF(-39430.04966="","-",-39430.04966)</f>
        <v>-39430.04966</v>
      </c>
      <c r="D52" s="41">
        <f>IF(OR(-29756.0461="",-39430.04966="",-29756.0461=0),"-",-39430.04966/-29756.0461*100)</f>
        <v>132.5110517959575</v>
      </c>
    </row>
    <row r="53" spans="1:4" ht="15.75">
      <c r="A53" s="40" t="s">
        <v>37</v>
      </c>
      <c r="B53" s="41">
        <f>IF(-32856.05225="","-",-32856.05225)</f>
        <v>-32856.05225</v>
      </c>
      <c r="C53" s="41">
        <f>IF(-33231.90994="","-",-33231.90994)</f>
        <v>-33231.90994</v>
      </c>
      <c r="D53" s="41">
        <f>IF(OR(-32856.05225="",-33231.90994="",-32856.05225=0),"-",-33231.90994/-32856.05225*100)</f>
        <v>101.1439526792206</v>
      </c>
    </row>
    <row r="54" spans="1:4" ht="15.75">
      <c r="A54" s="40" t="s">
        <v>70</v>
      </c>
      <c r="B54" s="41">
        <f>IF(-24719.7715="","-",-24719.7715)</f>
        <v>-24719.7715</v>
      </c>
      <c r="C54" s="41">
        <f>IF(-29243.48931="","-",-29243.48931)</f>
        <v>-29243.48931</v>
      </c>
      <c r="D54" s="41">
        <f>IF(OR(-24719.7715="",-29243.48931="",-24719.7715=0),"-",-29243.48931/-24719.7715*100)</f>
        <v>118.29999848501838</v>
      </c>
    </row>
    <row r="55" spans="1:4" ht="15.75">
      <c r="A55" s="40" t="s">
        <v>71</v>
      </c>
      <c r="B55" s="41">
        <f>IF(-15301.36244="","-",-15301.36244)</f>
        <v>-15301.36244</v>
      </c>
      <c r="C55" s="41">
        <f>IF(-15381.44121="","-",-15381.44121)</f>
        <v>-15381.44121</v>
      </c>
      <c r="D55" s="41">
        <f>IF(OR(-15301.36244="",-15381.44121="",-15301.36244=0),"-",-15381.44121/-15301.36244*100)</f>
        <v>100.52334405066219</v>
      </c>
    </row>
    <row r="56" spans="1:4" ht="15.75">
      <c r="A56" s="40" t="s">
        <v>81</v>
      </c>
      <c r="B56" s="41">
        <f>IF(-12085.10942="","-",-12085.10942)</f>
        <v>-12085.10942</v>
      </c>
      <c r="C56" s="41">
        <f>IF(-13744.20966="","-",-13744.20966)</f>
        <v>-13744.20966</v>
      </c>
      <c r="D56" s="41">
        <f>IF(OR(-12085.10942="",-13744.20966="",-12085.10942=0),"-",-13744.20966/-12085.10942*100)</f>
        <v>113.72846684577225</v>
      </c>
    </row>
    <row r="57" spans="1:4" ht="15.75">
      <c r="A57" s="40" t="s">
        <v>67</v>
      </c>
      <c r="B57" s="41">
        <f>IF(-5302.80473="","-",-5302.80473)</f>
        <v>-5302.80473</v>
      </c>
      <c r="C57" s="41">
        <f>IF(-12541.59="","-",-12541.59)</f>
        <v>-12541.59</v>
      </c>
      <c r="D57" s="41" t="s">
        <v>169</v>
      </c>
    </row>
    <row r="58" spans="1:4" ht="15.75">
      <c r="A58" s="40" t="s">
        <v>85</v>
      </c>
      <c r="B58" s="41">
        <f>IF(-9403.51014="","-",-9403.51014)</f>
        <v>-9403.51014</v>
      </c>
      <c r="C58" s="41">
        <f>IF(-8007.40708="","-",-8007.40708)</f>
        <v>-8007.40708</v>
      </c>
      <c r="D58" s="41">
        <f>IF(OR(-9403.51014="",-8007.40708="",-9403.51014=0),"-",-8007.40708/-9403.51014*100)</f>
        <v>85.15338379802077</v>
      </c>
    </row>
    <row r="59" spans="1:4" ht="15.75">
      <c r="A59" s="40" t="s">
        <v>84</v>
      </c>
      <c r="B59" s="41">
        <f>IF(-6481.79298="","-",-6481.79298)</f>
        <v>-6481.79298</v>
      </c>
      <c r="C59" s="41">
        <f>IF(-7909.37885="","-",-7909.37885)</f>
        <v>-7909.37885</v>
      </c>
      <c r="D59" s="41">
        <f>IF(OR(-6481.79298="",-7909.37885="",-6481.79298=0),"-",-7909.37885/-6481.79298*100)</f>
        <v>122.02455207077594</v>
      </c>
    </row>
    <row r="60" spans="1:4" ht="15.75">
      <c r="A60" s="40" t="s">
        <v>79</v>
      </c>
      <c r="B60" s="41">
        <f>IF(-6304.09708="","-",-6304.09708)</f>
        <v>-6304.09708</v>
      </c>
      <c r="C60" s="41">
        <f>IF(-7080.91036="","-",-7080.91036)</f>
        <v>-7080.91036</v>
      </c>
      <c r="D60" s="41">
        <f>IF(OR(-6304.09708="",-7080.91036="",-6304.09708=0),"-",-7080.91036/-6304.09708*100)</f>
        <v>112.32235592412547</v>
      </c>
    </row>
    <row r="61" spans="1:4" ht="15.75">
      <c r="A61" s="40" t="s">
        <v>72</v>
      </c>
      <c r="B61" s="41">
        <f>IF(-7407.52712="","-",-7407.52712)</f>
        <v>-7407.52712</v>
      </c>
      <c r="C61" s="41">
        <f>IF(-6968.43987="","-",-6968.43987)</f>
        <v>-6968.43987</v>
      </c>
      <c r="D61" s="41">
        <f>IF(OR(-7407.52712="",-6968.43987="",-7407.52712=0),"-",-6968.43987/-7407.52712*100)</f>
        <v>94.07241792183949</v>
      </c>
    </row>
    <row r="62" spans="1:4" ht="15.75">
      <c r="A62" s="40" t="s">
        <v>86</v>
      </c>
      <c r="B62" s="41">
        <f>IF(-4532.75653="","-",-4532.75653)</f>
        <v>-4532.75653</v>
      </c>
      <c r="C62" s="41">
        <f>IF(-5935.83362="","-",-5935.83362)</f>
        <v>-5935.83362</v>
      </c>
      <c r="D62" s="41">
        <f>IF(OR(-4532.75653="",-5935.83362="",-4532.75653=0),"-",-5935.83362/-4532.75653*100)</f>
        <v>130.95416841195308</v>
      </c>
    </row>
    <row r="63" spans="1:4" ht="15.75">
      <c r="A63" s="40" t="s">
        <v>87</v>
      </c>
      <c r="B63" s="41">
        <f>IF(-3424.89772="","-",-3424.89772)</f>
        <v>-3424.89772</v>
      </c>
      <c r="C63" s="41">
        <f>IF(-5065.98648="","-",-5065.98648)</f>
        <v>-5065.98648</v>
      </c>
      <c r="D63" s="41">
        <f>IF(OR(-3424.89772="",-5065.98648="",-3424.89772=0),"-",-5065.98648/-3424.89772*100)</f>
        <v>147.91643120951358</v>
      </c>
    </row>
    <row r="64" spans="1:4" ht="15.75">
      <c r="A64" s="40" t="s">
        <v>75</v>
      </c>
      <c r="B64" s="41">
        <f>IF(-3407.61563="","-",-3407.61563)</f>
        <v>-3407.61563</v>
      </c>
      <c r="C64" s="41">
        <f>IF(-4757.14262="","-",-4757.14262)</f>
        <v>-4757.14262</v>
      </c>
      <c r="D64" s="41">
        <f>IF(OR(-3407.61563="",-4757.14262="",-3407.61563=0),"-",-4757.14262/-3407.61563*100)</f>
        <v>139.60326329410572</v>
      </c>
    </row>
    <row r="65" spans="1:4" ht="15.75">
      <c r="A65" s="40" t="s">
        <v>64</v>
      </c>
      <c r="B65" s="41">
        <f>IF(-5145.68563="","-",-5145.68563)</f>
        <v>-5145.68563</v>
      </c>
      <c r="C65" s="41">
        <f>IF(-4749.02805="","-",-4749.02805)</f>
        <v>-4749.02805</v>
      </c>
      <c r="D65" s="41">
        <f>IF(OR(-5145.68563="",-4749.02805="",-5145.68563=0),"-",-4749.02805/-5145.68563*100)</f>
        <v>92.29145329657459</v>
      </c>
    </row>
    <row r="66" spans="1:4" ht="15.75">
      <c r="A66" s="40" t="s">
        <v>82</v>
      </c>
      <c r="B66" s="41">
        <f>IF(-5547.31086="","-",-5547.31086)</f>
        <v>-5547.31086</v>
      </c>
      <c r="C66" s="41">
        <f>IF(-4141.65801="","-",-4141.65801)</f>
        <v>-4141.65801</v>
      </c>
      <c r="D66" s="41">
        <f>IF(OR(-5547.31086="",-4141.65801="",-5547.31086=0),"-",-4141.65801/-5547.31086*100)</f>
        <v>74.66064395028333</v>
      </c>
    </row>
    <row r="67" spans="1:4" ht="15.75">
      <c r="A67" s="40" t="s">
        <v>83</v>
      </c>
      <c r="B67" s="41">
        <f>IF(-4394.15268="","-",-4394.15268)</f>
        <v>-4394.15268</v>
      </c>
      <c r="C67" s="41">
        <f>IF(-3339.97694="","-",-3339.97694)</f>
        <v>-3339.97694</v>
      </c>
      <c r="D67" s="41">
        <f>IF(OR(-4394.15268="",-3339.97694="",-4394.15268=0),"-",-3339.97694/-4394.15268*100)</f>
        <v>76.00957871131597</v>
      </c>
    </row>
    <row r="68" spans="1:4" ht="15.75">
      <c r="A68" s="40" t="s">
        <v>63</v>
      </c>
      <c r="B68" s="41">
        <f>IF(-7084.58209999999="","-",-7084.58209999999)</f>
        <v>-7084.58209999999</v>
      </c>
      <c r="C68" s="41">
        <f>IF(-3204.82205="","-",-3204.82205)</f>
        <v>-3204.82205</v>
      </c>
      <c r="D68" s="41">
        <f>IF(OR(-7084.58209999999="",-3204.82205="",-7084.58209999999=0),"-",-3204.82205/-7084.58209999999*100)</f>
        <v>45.23657154033129</v>
      </c>
    </row>
    <row r="69" spans="1:4" ht="15.75">
      <c r="A69" s="40" t="s">
        <v>88</v>
      </c>
      <c r="B69" s="41">
        <f>IF(-1206.70875="","-",-1206.70875)</f>
        <v>-1206.70875</v>
      </c>
      <c r="C69" s="41">
        <f>IF(-3028.39300999999="","-",-3028.39300999999)</f>
        <v>-3028.39300999999</v>
      </c>
      <c r="D69" s="41" t="s">
        <v>276</v>
      </c>
    </row>
    <row r="70" spans="1:4" ht="15.75">
      <c r="A70" s="40" t="s">
        <v>165</v>
      </c>
      <c r="B70" s="41">
        <f>IF(-2012.33309="","-",-2012.33309)</f>
        <v>-2012.33309</v>
      </c>
      <c r="C70" s="41">
        <f>IF(-2717.37173="","-",-2717.37173)</f>
        <v>-2717.37173</v>
      </c>
      <c r="D70" s="41">
        <f>IF(OR(-2012.33309="",-2717.37173="",-2012.33309=0),"-",-2717.37173/-2012.33309*100)</f>
        <v>135.03588165913428</v>
      </c>
    </row>
    <row r="71" spans="1:4" ht="15.75">
      <c r="A71" s="40" t="s">
        <v>76</v>
      </c>
      <c r="B71" s="41">
        <f>IF(7358.28063="","-",7358.28063)</f>
        <v>7358.28063</v>
      </c>
      <c r="C71" s="41">
        <f>IF(-2434.04694="","-",-2434.04694)</f>
        <v>-2434.04694</v>
      </c>
      <c r="D71" s="41" t="s">
        <v>22</v>
      </c>
    </row>
    <row r="72" spans="1:4" ht="15.75">
      <c r="A72" s="40" t="s">
        <v>144</v>
      </c>
      <c r="B72" s="41">
        <f>IF(-1004.06519="","-",-1004.06519)</f>
        <v>-1004.06519</v>
      </c>
      <c r="C72" s="41">
        <f>IF(-2315.87666="","-",-2315.87666)</f>
        <v>-2315.87666</v>
      </c>
      <c r="D72" s="41" t="s">
        <v>166</v>
      </c>
    </row>
    <row r="73" spans="1:4" ht="15.75">
      <c r="A73" s="40" t="s">
        <v>90</v>
      </c>
      <c r="B73" s="41">
        <f>IF(-3834.26826="","-",-3834.26826)</f>
        <v>-3834.26826</v>
      </c>
      <c r="C73" s="41">
        <f>IF(-2206.0063="","-",-2206.0063)</f>
        <v>-2206.0063</v>
      </c>
      <c r="D73" s="41">
        <f>IF(OR(-3834.26826="",-2206.0063="",-3834.26826=0),"-",-2206.0063/-3834.26826*100)</f>
        <v>57.533958252571516</v>
      </c>
    </row>
    <row r="74" spans="1:4" ht="15.75">
      <c r="A74" s="40" t="s">
        <v>89</v>
      </c>
      <c r="B74" s="41">
        <f>IF(-2122.08102="","-",-2122.08102)</f>
        <v>-2122.08102</v>
      </c>
      <c r="C74" s="41">
        <f>IF(-1944.29941="","-",-1944.29941)</f>
        <v>-1944.29941</v>
      </c>
      <c r="D74" s="41">
        <f>IF(OR(-2122.08102="",-1944.29941="",-2122.08102=0),"-",-1944.29941/-2122.08102*100)</f>
        <v>91.62229866228199</v>
      </c>
    </row>
    <row r="75" spans="1:4" ht="15.75">
      <c r="A75" s="40" t="s">
        <v>40</v>
      </c>
      <c r="B75" s="41">
        <f>IF(-2759.78453="","-",-2759.78453)</f>
        <v>-2759.78453</v>
      </c>
      <c r="C75" s="41">
        <f>IF(-1718.03507="","-",-1718.03507)</f>
        <v>-1718.03507</v>
      </c>
      <c r="D75" s="41">
        <f>IF(OR(-2759.78453="",-1718.03507="",-2759.78453=0),"-",-1718.03507/-2759.78453*100)</f>
        <v>62.25250744484752</v>
      </c>
    </row>
    <row r="76" spans="1:4" ht="15.75">
      <c r="A76" s="40" t="s">
        <v>39</v>
      </c>
      <c r="B76" s="41">
        <f>IF(-1468.51423="","-",-1468.51423)</f>
        <v>-1468.51423</v>
      </c>
      <c r="C76" s="41">
        <f>IF(-1631.41926="","-",-1631.41926)</f>
        <v>-1631.41926</v>
      </c>
      <c r="D76" s="41">
        <f>IF(OR(-1468.51423="",-1631.41926="",-1468.51423=0),"-",-1631.41926/-1468.51423*100)</f>
        <v>111.09318702345838</v>
      </c>
    </row>
    <row r="77" spans="1:4" ht="15.75">
      <c r="A77" s="40" t="s">
        <v>68</v>
      </c>
      <c r="B77" s="41">
        <f>IF(-1433.71208="","-",-1433.71208)</f>
        <v>-1433.71208</v>
      </c>
      <c r="C77" s="41">
        <f>IF(-1591.70516="","-",-1591.70516)</f>
        <v>-1591.70516</v>
      </c>
      <c r="D77" s="41">
        <f>IF(OR(-1433.71208="",-1591.70516="",-1433.71208=0),"-",-1591.70516/-1433.71208*100)</f>
        <v>111.01986111465281</v>
      </c>
    </row>
    <row r="78" spans="1:4" ht="15.75">
      <c r="A78" s="40" t="s">
        <v>62</v>
      </c>
      <c r="B78" s="41">
        <f>IF(-945.22949="","-",-945.22949)</f>
        <v>-945.22949</v>
      </c>
      <c r="C78" s="41">
        <f>IF(-1425.57211="","-",-1425.57211)</f>
        <v>-1425.57211</v>
      </c>
      <c r="D78" s="41" t="s">
        <v>135</v>
      </c>
    </row>
    <row r="79" spans="1:4" ht="15.75">
      <c r="A79" s="40" t="s">
        <v>74</v>
      </c>
      <c r="B79" s="41">
        <f>IF(-1765.67323="","-",-1765.67323)</f>
        <v>-1765.67323</v>
      </c>
      <c r="C79" s="41">
        <f>IF(-1217.6933="","-",-1217.6933)</f>
        <v>-1217.6933</v>
      </c>
      <c r="D79" s="41">
        <f>IF(OR(-1765.67323="",-1217.6933="",-1765.67323=0),"-",-1217.6933/-1765.67323*100)</f>
        <v>68.96481632674465</v>
      </c>
    </row>
    <row r="80" spans="1:4" ht="15.75">
      <c r="A80" s="40" t="s">
        <v>91</v>
      </c>
      <c r="B80" s="41">
        <f>IF(-1033.50329="","-",-1033.50329)</f>
        <v>-1033.50329</v>
      </c>
      <c r="C80" s="41">
        <f>IF(-1048.76468="","-",-1048.76468)</f>
        <v>-1048.76468</v>
      </c>
      <c r="D80" s="41">
        <f>IF(OR(-1033.50329="",-1048.76468="",-1033.50329=0),"-",-1048.76468/-1033.50329*100)</f>
        <v>101.47666583625485</v>
      </c>
    </row>
    <row r="81" spans="1:4" ht="15.75">
      <c r="A81" s="40" t="s">
        <v>93</v>
      </c>
      <c r="B81" s="41">
        <f>IF(-465.23217="","-",-465.23217)</f>
        <v>-465.23217</v>
      </c>
      <c r="C81" s="41">
        <f>IF(-937.33206="","-",-937.33206)</f>
        <v>-937.33206</v>
      </c>
      <c r="D81" s="41" t="s">
        <v>20</v>
      </c>
    </row>
    <row r="82" spans="1:4" ht="15.75">
      <c r="A82" s="40" t="s">
        <v>145</v>
      </c>
      <c r="B82" s="41">
        <f>IF(-1291.82775="","-",-1291.82775)</f>
        <v>-1291.82775</v>
      </c>
      <c r="C82" s="41">
        <f>IF(-933.35531="","-",-933.35531)</f>
        <v>-933.35531</v>
      </c>
      <c r="D82" s="41">
        <f>IF(OR(-1291.82775="",-933.35531="",-1291.82775=0),"-",-933.35531/-1291.82775*100)</f>
        <v>72.2507555670638</v>
      </c>
    </row>
    <row r="83" spans="1:4" ht="15.75">
      <c r="A83" s="40" t="s">
        <v>98</v>
      </c>
      <c r="B83" s="41">
        <f>IF(-1177.80119="","-",-1177.80119)</f>
        <v>-1177.80119</v>
      </c>
      <c r="C83" s="41">
        <f>IF(-919.65238="","-",-919.65238)</f>
        <v>-919.65238</v>
      </c>
      <c r="D83" s="41">
        <f>IF(OR(-1177.80119="",-919.65238="",-1177.80119=0),"-",-919.65238/-1177.80119*100)</f>
        <v>78.08214050114859</v>
      </c>
    </row>
    <row r="84" spans="1:4" ht="15.75">
      <c r="A84" s="40" t="s">
        <v>280</v>
      </c>
      <c r="B84" s="41">
        <f>IF(-797.78782="","-",-797.78782)</f>
        <v>-797.78782</v>
      </c>
      <c r="C84" s="41">
        <f>IF(-869.52625="","-",-869.52625)</f>
        <v>-869.52625</v>
      </c>
      <c r="D84" s="41">
        <f>IF(OR(-797.78782="",-869.52625="",-797.78782=0),"-",-869.52625/-797.78782*100)</f>
        <v>108.99216912085723</v>
      </c>
    </row>
    <row r="85" spans="1:4" ht="15.75">
      <c r="A85" s="40" t="s">
        <v>160</v>
      </c>
      <c r="B85" s="41">
        <f>IF(-247.43642="","-",-247.43642)</f>
        <v>-247.43642</v>
      </c>
      <c r="C85" s="41">
        <f>IF(-788.42213="","-",-788.42213)</f>
        <v>-788.42213</v>
      </c>
      <c r="D85" s="41" t="s">
        <v>197</v>
      </c>
    </row>
    <row r="86" spans="1:4" ht="15.75">
      <c r="A86" s="40" t="s">
        <v>99</v>
      </c>
      <c r="B86" s="41">
        <f>IF(-513.75703="","-",-513.75703)</f>
        <v>-513.75703</v>
      </c>
      <c r="C86" s="41">
        <f>IF(-616.04127="","-",-616.04127)</f>
        <v>-616.04127</v>
      </c>
      <c r="D86" s="41">
        <f>IF(OR(-513.75703="",-616.04127="",-513.75703=0),"-",-616.04127/-513.75703*100)</f>
        <v>119.9090686895321</v>
      </c>
    </row>
    <row r="87" spans="1:4" ht="15.75">
      <c r="A87" s="40" t="s">
        <v>102</v>
      </c>
      <c r="B87" s="41">
        <f>IF(-430.09942="","-",-430.09942)</f>
        <v>-430.09942</v>
      </c>
      <c r="C87" s="41">
        <f>IF(-595.20908="","-",-595.20908)</f>
        <v>-595.20908</v>
      </c>
      <c r="D87" s="41">
        <f>IF(OR(-430.09942="",-595.20908="",-430.09942=0),"-",-595.20908/-430.09942*100)</f>
        <v>138.38871951977987</v>
      </c>
    </row>
    <row r="88" spans="1:4" ht="15.75">
      <c r="A88" s="40" t="s">
        <v>94</v>
      </c>
      <c r="B88" s="41">
        <f>IF(-986.42047="","-",-986.42047)</f>
        <v>-986.42047</v>
      </c>
      <c r="C88" s="41">
        <f>IF(-572.20095="","-",-572.20095)</f>
        <v>-572.20095</v>
      </c>
      <c r="D88" s="41">
        <f>IF(OR(-986.42047="",-572.20095="",-986.42047=0),"-",-572.20095/-986.42047*100)</f>
        <v>58.007813848388615</v>
      </c>
    </row>
    <row r="89" spans="1:4" ht="15.75">
      <c r="A89" s="40" t="s">
        <v>80</v>
      </c>
      <c r="B89" s="41">
        <f>IF(-943.48934="","-",-943.48934)</f>
        <v>-943.48934</v>
      </c>
      <c r="C89" s="41">
        <f>IF(-505.40079="","-",-505.40079)</f>
        <v>-505.40079</v>
      </c>
      <c r="D89" s="41">
        <f>IF(OR(-943.48934="",-505.40079="",-943.48934=0),"-",-505.40079/-943.48934*100)</f>
        <v>53.56719663626512</v>
      </c>
    </row>
    <row r="90" spans="1:4" ht="15.75">
      <c r="A90" s="40" t="s">
        <v>95</v>
      </c>
      <c r="B90" s="41">
        <f>IF(-412.60945="","-",-412.60945)</f>
        <v>-412.60945</v>
      </c>
      <c r="C90" s="41">
        <f>IF(-476.22429="","-",-476.22429)</f>
        <v>-476.22429</v>
      </c>
      <c r="D90" s="41">
        <f>IF(OR(-412.60945="",-476.22429="",-412.60945=0),"-",-476.22429/-412.60945*100)</f>
        <v>115.41768856723955</v>
      </c>
    </row>
    <row r="91" spans="1:4" ht="15.75">
      <c r="A91" s="40" t="s">
        <v>92</v>
      </c>
      <c r="B91" s="41">
        <f>IF(-901.57249="","-",-901.57249)</f>
        <v>-901.57249</v>
      </c>
      <c r="C91" s="41">
        <f>IF(-347.55659="","-",-347.55659)</f>
        <v>-347.55659</v>
      </c>
      <c r="D91" s="41">
        <f>IF(OR(-901.57249="",-347.55659="",-901.57249=0),"-",-347.55659/-901.57249*100)</f>
        <v>38.5500438239858</v>
      </c>
    </row>
    <row r="92" spans="1:4" ht="15.75">
      <c r="A92" s="40" t="s">
        <v>182</v>
      </c>
      <c r="B92" s="41">
        <f>IF(-130.621="","-",-130.621)</f>
        <v>-130.621</v>
      </c>
      <c r="C92" s="41">
        <f>IF(-281.97698="","-",-281.97698)</f>
        <v>-281.97698</v>
      </c>
      <c r="D92" s="41" t="s">
        <v>168</v>
      </c>
    </row>
    <row r="93" spans="1:4" ht="15.75">
      <c r="A93" s="40" t="s">
        <v>104</v>
      </c>
      <c r="B93" s="41">
        <f>IF(-467.01363="","-",-467.01363)</f>
        <v>-467.01363</v>
      </c>
      <c r="C93" s="41">
        <f>IF(-280.14664="","-",-280.14664)</f>
        <v>-280.14664</v>
      </c>
      <c r="D93" s="41">
        <f>IF(OR(-467.01363="",-280.14664="",-467.01363=0),"-",-280.14664/-467.01363*100)</f>
        <v>59.98682308265821</v>
      </c>
    </row>
    <row r="94" spans="1:4" ht="15.75">
      <c r="A94" s="40" t="s">
        <v>96</v>
      </c>
      <c r="B94" s="41">
        <f>IF(-385.06217="","-",-385.06217)</f>
        <v>-385.06217</v>
      </c>
      <c r="C94" s="41">
        <f>IF(-257.13121="","-",-257.13121)</f>
        <v>-257.13121</v>
      </c>
      <c r="D94" s="41">
        <f>IF(OR(-385.06217="",-257.13121="",-385.06217=0),"-",-257.13121/-385.06217*100)</f>
        <v>66.77654416168693</v>
      </c>
    </row>
    <row r="95" spans="1:4" ht="15.75">
      <c r="A95" s="40" t="s">
        <v>114</v>
      </c>
      <c r="B95" s="41">
        <f>IF(335.59473="","-",335.59473)</f>
        <v>335.59473</v>
      </c>
      <c r="C95" s="41">
        <f>IF(-197.35359="","-",-197.35359)</f>
        <v>-197.35359</v>
      </c>
      <c r="D95" s="41" t="s">
        <v>22</v>
      </c>
    </row>
    <row r="96" spans="1:4" ht="15.75">
      <c r="A96" s="40" t="s">
        <v>146</v>
      </c>
      <c r="B96" s="41">
        <f>IF(-19.32164="","-",-19.32164)</f>
        <v>-19.32164</v>
      </c>
      <c r="C96" s="41">
        <f>IF(-150.70653="","-",-150.70653)</f>
        <v>-150.70653</v>
      </c>
      <c r="D96" s="41" t="s">
        <v>274</v>
      </c>
    </row>
    <row r="97" spans="1:4" ht="15.75">
      <c r="A97" s="40" t="s">
        <v>154</v>
      </c>
      <c r="B97" s="41">
        <f>IF(-99.91526="","-",-99.91526)</f>
        <v>-99.91526</v>
      </c>
      <c r="C97" s="41">
        <f>IF(-143.42514="","-",-143.42514)</f>
        <v>-143.42514</v>
      </c>
      <c r="D97" s="41">
        <f>IF(OR(-99.91526="",-143.42514="",-99.91526=0),"-",-143.42514/-99.91526*100)</f>
        <v>143.54678154267927</v>
      </c>
    </row>
    <row r="98" spans="1:4" ht="15.75">
      <c r="A98" s="40" t="s">
        <v>185</v>
      </c>
      <c r="B98" s="41">
        <f>IF(-72.02677="","-",-72.02677)</f>
        <v>-72.02677</v>
      </c>
      <c r="C98" s="41">
        <f>IF(-134.80998="","-",-134.80998)</f>
        <v>-134.80998</v>
      </c>
      <c r="D98" s="41" t="s">
        <v>176</v>
      </c>
    </row>
    <row r="99" spans="1:4" ht="15.75">
      <c r="A99" s="40" t="s">
        <v>171</v>
      </c>
      <c r="B99" s="41">
        <f>IF(-358.01051="","-",-358.01051)</f>
        <v>-358.01051</v>
      </c>
      <c r="C99" s="41">
        <f>IF(-122.74016="","-",-122.74016)</f>
        <v>-122.74016</v>
      </c>
      <c r="D99" s="41">
        <f>IF(OR(-358.01051="",-122.74016="",-358.01051=0),"-",-122.74016/-358.01051*100)</f>
        <v>34.283954401226936</v>
      </c>
    </row>
    <row r="100" spans="1:4" ht="15.75">
      <c r="A100" s="40" t="s">
        <v>184</v>
      </c>
      <c r="B100" s="41">
        <f>IF(-82.81713="","-",-82.81713)</f>
        <v>-82.81713</v>
      </c>
      <c r="C100" s="41">
        <f>IF(-118.41813="","-",-118.41813)</f>
        <v>-118.41813</v>
      </c>
      <c r="D100" s="41">
        <f>IF(OR(-82.81713="",-118.41813="",-82.81713=0),"-",-118.41813/-82.81713*100)</f>
        <v>142.98748338658922</v>
      </c>
    </row>
    <row r="101" spans="1:4" ht="15.75">
      <c r="A101" s="40" t="s">
        <v>186</v>
      </c>
      <c r="B101" s="41">
        <f>IF(-22.27986="","-",-22.27986)</f>
        <v>-22.27986</v>
      </c>
      <c r="C101" s="41">
        <f>IF(-113.38431="","-",-113.38431)</f>
        <v>-113.38431</v>
      </c>
      <c r="D101" s="41" t="s">
        <v>275</v>
      </c>
    </row>
    <row r="102" spans="1:4" ht="15.75">
      <c r="A102" s="40" t="s">
        <v>189</v>
      </c>
      <c r="B102" s="41">
        <f>IF(-263.80301="","-",-263.80301)</f>
        <v>-263.80301</v>
      </c>
      <c r="C102" s="41">
        <f>IF(-103.15425="","-",-103.15425)</f>
        <v>-103.15425</v>
      </c>
      <c r="D102" s="41">
        <f>IF(OR(-263.80301="",-103.15425="",-263.80301=0),"-",-103.15425/-263.80301*100)</f>
        <v>39.102757015547326</v>
      </c>
    </row>
    <row r="103" spans="1:4" ht="15.75">
      <c r="A103" s="40" t="s">
        <v>183</v>
      </c>
      <c r="B103" s="41">
        <f>IF(-87.51132="","-",-87.51132)</f>
        <v>-87.51132</v>
      </c>
      <c r="C103" s="41">
        <f>IF(-98.72405="","-",-98.72405)</f>
        <v>-98.72405</v>
      </c>
      <c r="D103" s="41">
        <f>IF(OR(-87.51132="",-98.72405="",-87.51132=0),"-",-98.72405/-87.51132*100)</f>
        <v>112.81289094942233</v>
      </c>
    </row>
    <row r="104" spans="1:4" ht="15.75">
      <c r="A104" s="40" t="s">
        <v>187</v>
      </c>
      <c r="B104" s="41">
        <f>IF(-86.35776="","-",-86.35776)</f>
        <v>-86.35776</v>
      </c>
      <c r="C104" s="41">
        <f>IF(-97.36825="","-",-97.36825)</f>
        <v>-97.36825</v>
      </c>
      <c r="D104" s="41">
        <f>IF(OR(-86.35776="",-97.36825="",-86.35776=0),"-",-97.36825/-86.35776*100)</f>
        <v>112.74985594809314</v>
      </c>
    </row>
    <row r="105" spans="1:4" ht="15.75">
      <c r="A105" s="40" t="s">
        <v>281</v>
      </c>
      <c r="B105" s="41">
        <f>IF(-36.16465="","-",-36.16465)</f>
        <v>-36.16465</v>
      </c>
      <c r="C105" s="41">
        <f>IF(-68.72039="","-",-68.72039)</f>
        <v>-68.72039</v>
      </c>
      <c r="D105" s="41" t="s">
        <v>176</v>
      </c>
    </row>
    <row r="106" spans="1:4" ht="15.75">
      <c r="A106" s="40" t="s">
        <v>282</v>
      </c>
      <c r="B106" s="41">
        <f>IF(-11.34998="","-",-11.34998)</f>
        <v>-11.34998</v>
      </c>
      <c r="C106" s="41">
        <f>IF(-64.15347="","-",-64.15347)</f>
        <v>-64.15347</v>
      </c>
      <c r="D106" s="41" t="s">
        <v>291</v>
      </c>
    </row>
    <row r="107" spans="1:4" ht="15.75">
      <c r="A107" s="40" t="s">
        <v>283</v>
      </c>
      <c r="B107" s="41">
        <f>IF(-79.02661="","-",-79.02661)</f>
        <v>-79.02661</v>
      </c>
      <c r="C107" s="41">
        <f>IF(-58.31727="","-",-58.31727)</f>
        <v>-58.31727</v>
      </c>
      <c r="D107" s="41">
        <f>IF(OR(-79.02661="",-58.31727="",-79.02661=0),"-",-58.31727/-79.02661*100)</f>
        <v>73.794472520079</v>
      </c>
    </row>
    <row r="108" spans="1:4" ht="15.75">
      <c r="A108" s="40" t="s">
        <v>284</v>
      </c>
      <c r="B108" s="41">
        <f>IF(-83.79891="","-",-83.79891)</f>
        <v>-83.79891</v>
      </c>
      <c r="C108" s="41">
        <f>IF(-51.26234="","-",-51.26234)</f>
        <v>-51.26234</v>
      </c>
      <c r="D108" s="41">
        <f>IF(OR(-83.79891="",-51.26234="",-83.79891=0),"-",-51.26234/-83.79891*100)</f>
        <v>61.173039124255915</v>
      </c>
    </row>
    <row r="109" spans="1:4" ht="15.75">
      <c r="A109" s="40" t="s">
        <v>153</v>
      </c>
      <c r="B109" s="41">
        <f>IF(435.19628="","-",435.19628)</f>
        <v>435.19628</v>
      </c>
      <c r="C109" s="41">
        <f>IF(1.14925="","-",1.14925)</f>
        <v>1.14925</v>
      </c>
      <c r="D109" s="41">
        <f>IF(OR(435.19628="",1.14925="",435.19628=0),"-",1.14925/435.19628*100)</f>
        <v>0.2640762462399725</v>
      </c>
    </row>
    <row r="110" spans="1:4" ht="15.75">
      <c r="A110" s="40" t="s">
        <v>285</v>
      </c>
      <c r="B110" s="41">
        <f>IF(516.95587="","-",516.95587)</f>
        <v>516.95587</v>
      </c>
      <c r="C110" s="41">
        <f>IF(2.10648="","-",2.10648)</f>
        <v>2.10648</v>
      </c>
      <c r="D110" s="41">
        <f>IF(OR(516.95587="",2.10648="",516.95587=0),"-",2.10648/516.95587*100)</f>
        <v>0.40747772145425093</v>
      </c>
    </row>
    <row r="111" spans="1:4" ht="15.75">
      <c r="A111" s="40" t="s">
        <v>286</v>
      </c>
      <c r="B111" s="41">
        <f>IF(1732.39958="","-",1732.39958)</f>
        <v>1732.39958</v>
      </c>
      <c r="C111" s="41">
        <f>IF(9.16672="","-",9.16672)</f>
        <v>9.16672</v>
      </c>
      <c r="D111" s="41">
        <f>IF(OR(1732.39958="",9.16672="",1732.39958=0),"-",9.16672/1732.39958*100)</f>
        <v>0.5291342774396193</v>
      </c>
    </row>
    <row r="112" spans="1:4" ht="15.75">
      <c r="A112" s="40" t="s">
        <v>147</v>
      </c>
      <c r="B112" s="41">
        <f>IF(1566.59315="","-",1566.59315)</f>
        <v>1566.59315</v>
      </c>
      <c r="C112" s="41">
        <f>IF(9.35064="","-",9.35064)</f>
        <v>9.35064</v>
      </c>
      <c r="D112" s="41">
        <f>IF(OR(1566.59315="",9.35064="",1566.59315=0),"-",9.35064/1566.59315*100)</f>
        <v>0.5968773704902259</v>
      </c>
    </row>
    <row r="113" spans="1:4" ht="15.75">
      <c r="A113" s="40" t="s">
        <v>287</v>
      </c>
      <c r="B113" s="41">
        <f>IF(74.08598="","-",74.08598)</f>
        <v>74.08598</v>
      </c>
      <c r="C113" s="41">
        <f>IF(30.38124="","-",30.38124)</f>
        <v>30.38124</v>
      </c>
      <c r="D113" s="41">
        <f>IF(OR(74.08598="",30.38124="",74.08598=0),"-",30.38124/74.08598*100)</f>
        <v>41.008082770856234</v>
      </c>
    </row>
    <row r="114" spans="1:4" ht="15.75">
      <c r="A114" s="40" t="s">
        <v>288</v>
      </c>
      <c r="B114" s="41">
        <f>IF(134.90109="","-",134.90109)</f>
        <v>134.90109</v>
      </c>
      <c r="C114" s="41">
        <f>IF(43.23246="","-",43.23246)</f>
        <v>43.23246</v>
      </c>
      <c r="D114" s="41">
        <f>IF(OR(134.90109="",43.23246="",134.90109=0),"-",43.23246/134.90109*100)</f>
        <v>32.047524597466186</v>
      </c>
    </row>
    <row r="115" spans="1:4" ht="15.75">
      <c r="A115" s="40" t="s">
        <v>289</v>
      </c>
      <c r="B115" s="41">
        <f>IF(57.58637="","-",57.58637)</f>
        <v>57.58637</v>
      </c>
      <c r="C115" s="41">
        <f>IF(43.95036="","-",43.95036)</f>
        <v>43.95036</v>
      </c>
      <c r="D115" s="41">
        <f>IF(OR(57.58637="",43.95036="",57.58637=0),"-",43.95036/57.58637*100)</f>
        <v>76.32076826512942</v>
      </c>
    </row>
    <row r="116" spans="1:4" ht="15.75">
      <c r="A116" s="40" t="s">
        <v>164</v>
      </c>
      <c r="B116" s="41">
        <f>IF(74.06953="","-",74.06953)</f>
        <v>74.06953</v>
      </c>
      <c r="C116" s="41">
        <f>IF(89.75482="","-",89.75482)</f>
        <v>89.75482</v>
      </c>
      <c r="D116" s="41">
        <f>IF(OR(74.06953="",89.75482="",74.06953=0),"-",89.75482/74.06953*100)</f>
        <v>121.17644056874668</v>
      </c>
    </row>
    <row r="117" spans="1:4" ht="15.75">
      <c r="A117" s="40" t="s">
        <v>179</v>
      </c>
      <c r="B117" s="41">
        <f>IF(55.6754="","-",55.6754)</f>
        <v>55.6754</v>
      </c>
      <c r="C117" s="41">
        <f>IF(97.79062="","-",97.79062)</f>
        <v>97.79062</v>
      </c>
      <c r="D117" s="41" t="s">
        <v>105</v>
      </c>
    </row>
    <row r="118" spans="1:4" ht="15.75">
      <c r="A118" s="40" t="s">
        <v>180</v>
      </c>
      <c r="B118" s="41">
        <f>IF(122.30547="","-",122.30547)</f>
        <v>122.30547</v>
      </c>
      <c r="C118" s="41">
        <f>IF(115.07104="","-",115.07104)</f>
        <v>115.07104</v>
      </c>
      <c r="D118" s="41">
        <f>IF(OR(122.30547="",115.07104="",122.30547=0),"-",115.07104/122.30547*100)</f>
        <v>94.08494975735753</v>
      </c>
    </row>
    <row r="119" spans="1:4" ht="15.75">
      <c r="A119" s="40" t="s">
        <v>191</v>
      </c>
      <c r="B119" s="41">
        <f>IF(323.36313="","-",323.36313)</f>
        <v>323.36313</v>
      </c>
      <c r="C119" s="41">
        <f>IF(126.92288="","-",126.92288)</f>
        <v>126.92288</v>
      </c>
      <c r="D119" s="41">
        <f>IF(OR(323.36313="",126.92288="",323.36313=0),"-",126.92288/323.36313*100)</f>
        <v>39.2508818182209</v>
      </c>
    </row>
    <row r="120" spans="1:4" ht="15.75">
      <c r="A120" s="40" t="s">
        <v>109</v>
      </c>
      <c r="B120" s="41">
        <f>IF(358.56037="","-",358.56037)</f>
        <v>358.56037</v>
      </c>
      <c r="C120" s="41">
        <f>IF(151.12456="","-",151.12456)</f>
        <v>151.12456</v>
      </c>
      <c r="D120" s="41">
        <f>IF(OR(358.56037="",151.12456="",358.56037=0),"-",151.12456/358.56037*100)</f>
        <v>42.147591492054744</v>
      </c>
    </row>
    <row r="121" spans="1:4" ht="15.75">
      <c r="A121" s="40" t="s">
        <v>174</v>
      </c>
      <c r="B121" s="41">
        <f>IF(149.798="","-",149.798)</f>
        <v>149.798</v>
      </c>
      <c r="C121" s="41">
        <f>IF(197.6455="","-",197.6455)</f>
        <v>197.6455</v>
      </c>
      <c r="D121" s="41">
        <f>IF(OR(149.798="",197.6455="",149.798=0),"-",197.6455/149.798*100)</f>
        <v>131.94134768154447</v>
      </c>
    </row>
    <row r="122" spans="1:4" ht="15.75">
      <c r="A122" s="40" t="s">
        <v>38</v>
      </c>
      <c r="B122" s="41">
        <f>IF(4662.11769="","-",4662.11769)</f>
        <v>4662.11769</v>
      </c>
      <c r="C122" s="41">
        <f>IF(202.10946="","-",202.10946)</f>
        <v>202.10946</v>
      </c>
      <c r="D122" s="41">
        <f>IF(OR(4662.11769="",202.10946="",4662.11769=0),"-",202.10946/4662.11769*100)</f>
        <v>4.33514281360838</v>
      </c>
    </row>
    <row r="123" spans="1:4" ht="15.75">
      <c r="A123" s="40" t="s">
        <v>139</v>
      </c>
      <c r="B123" s="41">
        <f>IF(311.86855="","-",311.86855)</f>
        <v>311.86855</v>
      </c>
      <c r="C123" s="41">
        <f>IF(251.89679="","-",251.89679)</f>
        <v>251.89679</v>
      </c>
      <c r="D123" s="41">
        <f>IF(OR(311.86855="",251.89679="",311.86855=0),"-",251.89679/311.86855*100)</f>
        <v>80.77018025703457</v>
      </c>
    </row>
    <row r="124" spans="1:4" ht="15.75">
      <c r="A124" s="40" t="s">
        <v>163</v>
      </c>
      <c r="B124" s="41">
        <f>IF(309.22991="","-",309.22991)</f>
        <v>309.22991</v>
      </c>
      <c r="C124" s="41">
        <f>IF(381.58294="","-",381.58294)</f>
        <v>381.58294</v>
      </c>
      <c r="D124" s="41">
        <f>IF(OR(309.22991="",381.58294="",309.22991=0),"-",381.58294/309.22991*100)</f>
        <v>123.3978110332212</v>
      </c>
    </row>
    <row r="125" spans="1:4" ht="15.75">
      <c r="A125" s="40" t="s">
        <v>141</v>
      </c>
      <c r="B125" s="41">
        <f>IF(35.0227="","-",35.0227)</f>
        <v>35.0227</v>
      </c>
      <c r="C125" s="41">
        <f>IF(382.65104="","-",382.65104)</f>
        <v>382.65104</v>
      </c>
      <c r="D125" s="41" t="s">
        <v>198</v>
      </c>
    </row>
    <row r="126" spans="1:4" ht="15.75">
      <c r="A126" s="40" t="s">
        <v>149</v>
      </c>
      <c r="B126" s="41">
        <f>IF(426.13004="","-",426.13004)</f>
        <v>426.13004</v>
      </c>
      <c r="C126" s="41">
        <f>IF(391.84686="","-",391.84686)</f>
        <v>391.84686</v>
      </c>
      <c r="D126" s="41">
        <f>IF(OR(426.13004="",391.84686="",426.13004=0),"-",391.84686/426.13004*100)</f>
        <v>91.95476103961128</v>
      </c>
    </row>
    <row r="127" spans="1:4" ht="15.75">
      <c r="A127" s="40" t="s">
        <v>142</v>
      </c>
      <c r="B127" s="41">
        <f>IF(108.96629="","-",108.96629)</f>
        <v>108.96629</v>
      </c>
      <c r="C127" s="41">
        <f>IF(413.69755="","-",413.69755)</f>
        <v>413.69755</v>
      </c>
      <c r="D127" s="41" t="s">
        <v>270</v>
      </c>
    </row>
    <row r="128" spans="1:4" ht="15.75">
      <c r="A128" s="40" t="s">
        <v>148</v>
      </c>
      <c r="B128" s="41">
        <f>IF(52.753="","-",52.753)</f>
        <v>52.753</v>
      </c>
      <c r="C128" s="41">
        <f>IF(524.85238="","-",524.85238)</f>
        <v>524.85238</v>
      </c>
      <c r="D128" s="41" t="s">
        <v>292</v>
      </c>
    </row>
    <row r="129" spans="1:4" ht="15.75">
      <c r="A129" s="40" t="s">
        <v>97</v>
      </c>
      <c r="B129" s="41">
        <f>IF(482.3859="","-",482.3859)</f>
        <v>482.3859</v>
      </c>
      <c r="C129" s="41">
        <f>IF(641.86443="","-",641.86443)</f>
        <v>641.86443</v>
      </c>
      <c r="D129" s="41">
        <f>IF(OR(482.3859="",641.86443="",482.3859=0),"-",641.86443/482.3859*100)</f>
        <v>133.0603630827518</v>
      </c>
    </row>
    <row r="130" spans="1:4" ht="15.75">
      <c r="A130" s="40" t="s">
        <v>190</v>
      </c>
      <c r="B130" s="41">
        <f>IF(-36.47897="","-",-36.47897)</f>
        <v>-36.47897</v>
      </c>
      <c r="C130" s="41">
        <f>IF(751.77227="","-",751.77227)</f>
        <v>751.77227</v>
      </c>
      <c r="D130" s="41" t="s">
        <v>22</v>
      </c>
    </row>
    <row r="131" spans="1:4" ht="15.75">
      <c r="A131" s="40" t="s">
        <v>103</v>
      </c>
      <c r="B131" s="41">
        <f>IF(-540.86238="","-",-540.86238)</f>
        <v>-540.86238</v>
      </c>
      <c r="C131" s="41">
        <f>IF(754.14024="","-",754.14024)</f>
        <v>754.14024</v>
      </c>
      <c r="D131" s="41" t="s">
        <v>22</v>
      </c>
    </row>
    <row r="132" spans="1:4" ht="15.75">
      <c r="A132" s="40" t="s">
        <v>65</v>
      </c>
      <c r="B132" s="41">
        <f>IF(2011.48998="","-",2011.48998)</f>
        <v>2011.48998</v>
      </c>
      <c r="C132" s="41">
        <f>IF(791.70769="","-",791.70769)</f>
        <v>791.70769</v>
      </c>
      <c r="D132" s="41">
        <f>IF(OR(2011.48998="",791.70769="",2011.48998=0),"-",791.70769/2011.48998*100)</f>
        <v>39.35926591093434</v>
      </c>
    </row>
    <row r="133" spans="1:4" ht="15.75">
      <c r="A133" s="40" t="s">
        <v>69</v>
      </c>
      <c r="B133" s="41">
        <f>IF(-3503.33463="","-",-3503.33463)</f>
        <v>-3503.33463</v>
      </c>
      <c r="C133" s="41">
        <f>IF(845.1172="","-",845.1172)</f>
        <v>845.1172</v>
      </c>
      <c r="D133" s="41" t="s">
        <v>22</v>
      </c>
    </row>
    <row r="134" spans="1:4" ht="15.75">
      <c r="A134" s="40" t="s">
        <v>111</v>
      </c>
      <c r="B134" s="41">
        <f>IF(339.05068="","-",339.05068)</f>
        <v>339.05068</v>
      </c>
      <c r="C134" s="41">
        <f>IF(901.24039="","-",901.24039)</f>
        <v>901.24039</v>
      </c>
      <c r="D134" s="41" t="s">
        <v>195</v>
      </c>
    </row>
    <row r="135" spans="1:4" ht="15.75">
      <c r="A135" s="40" t="s">
        <v>162</v>
      </c>
      <c r="B135" s="41">
        <f>IF(69.65623="","-",69.65623)</f>
        <v>69.65623</v>
      </c>
      <c r="C135" s="41">
        <f>IF(1001.23142="","-",1001.23142)</f>
        <v>1001.23142</v>
      </c>
      <c r="D135" s="41" t="s">
        <v>172</v>
      </c>
    </row>
    <row r="136" spans="1:4" ht="15.75">
      <c r="A136" s="40" t="s">
        <v>140</v>
      </c>
      <c r="B136" s="41" t="str">
        <f>IF(OR(0="",1061.29363="",0=0),"-",1061.29363/0*100)</f>
        <v>-</v>
      </c>
      <c r="C136" s="41">
        <f>IF(1061.29363="","-",1061.29363)</f>
        <v>1061.29363</v>
      </c>
      <c r="D136" s="41" t="str">
        <f>IF(OR(0="",1061.29363="",0=0),"-",1061.29363/0*100)</f>
        <v>-</v>
      </c>
    </row>
    <row r="137" spans="1:4" ht="15.75">
      <c r="A137" s="40" t="s">
        <v>78</v>
      </c>
      <c r="B137" s="41">
        <f>IF(1232.08434="","-",1232.08434)</f>
        <v>1232.08434</v>
      </c>
      <c r="C137" s="41">
        <f>IF(1387.48422="","-",1387.48422)</f>
        <v>1387.48422</v>
      </c>
      <c r="D137" s="41">
        <f>IF(OR(1232.08434="",1387.48422="",1232.08434=0),"-",1387.48422/1232.08434*100)</f>
        <v>112.61276318145556</v>
      </c>
    </row>
    <row r="138" spans="1:4" ht="15.75">
      <c r="A138" s="40" t="s">
        <v>138</v>
      </c>
      <c r="B138" s="41">
        <f>IF(-114.11718="","-",-114.11718)</f>
        <v>-114.11718</v>
      </c>
      <c r="C138" s="41">
        <f>IF(3056.10171="","-",3056.10171)</f>
        <v>3056.10171</v>
      </c>
      <c r="D138" s="41" t="s">
        <v>22</v>
      </c>
    </row>
    <row r="139" spans="1:4" ht="15.75">
      <c r="A139" s="40" t="s">
        <v>66</v>
      </c>
      <c r="B139" s="41">
        <f>IF(883.18098="","-",883.18098)</f>
        <v>883.18098</v>
      </c>
      <c r="C139" s="41">
        <f>IF(5759.25158999999="","-",5759.25158999999)</f>
        <v>5759.25158999999</v>
      </c>
      <c r="D139" s="41" t="s">
        <v>293</v>
      </c>
    </row>
    <row r="140" spans="1:4" ht="15.75">
      <c r="A140" s="40" t="s">
        <v>58</v>
      </c>
      <c r="B140" s="41">
        <f>IF(10180.46486="","-",10180.46486)</f>
        <v>10180.46486</v>
      </c>
      <c r="C140" s="41">
        <f>IF(7914.93943="","-",7914.93943)</f>
        <v>7914.93943</v>
      </c>
      <c r="D140" s="41">
        <f>IF(OR(10180.46486="",7914.93943="",10180.46486=0),"-",7914.93943/10180.46486*100)</f>
        <v>77.74634595615116</v>
      </c>
    </row>
    <row r="141" spans="1:4" ht="15.75">
      <c r="A141" s="40" t="s">
        <v>61</v>
      </c>
      <c r="B141" s="41">
        <f>IF(11957.64638="","-",11957.64638)</f>
        <v>11957.64638</v>
      </c>
      <c r="C141" s="41">
        <f>IF(10855.12077="","-",10855.12077)</f>
        <v>10855.12077</v>
      </c>
      <c r="D141" s="41">
        <f>IF(OR(11957.64638="",10855.12077="",11957.64638=0),"-",10855.12077/11957.64638*100)</f>
        <v>90.77974398169148</v>
      </c>
    </row>
    <row r="142" spans="1:4" ht="15.75">
      <c r="A142" s="40" t="s">
        <v>137</v>
      </c>
      <c r="B142" s="41">
        <f>IF(2268.72148="","-",2268.72148)</f>
        <v>2268.72148</v>
      </c>
      <c r="C142" s="41">
        <f>IF(11392.12179="","-",11392.12179)</f>
        <v>11392.12179</v>
      </c>
      <c r="D142" s="41" t="s">
        <v>294</v>
      </c>
    </row>
    <row r="143" spans="1:4" ht="15.75">
      <c r="A143" s="53" t="s">
        <v>59</v>
      </c>
      <c r="B143" s="54">
        <f>IF(15347.61279="","-",15347.61279)</f>
        <v>15347.61279</v>
      </c>
      <c r="C143" s="54">
        <f>IF(14557.82072="","-",14557.82072)</f>
        <v>14557.82072</v>
      </c>
      <c r="D143" s="54">
        <f>IF(OR(15347.61279="",14557.82072="",15347.61279=0),"-",14557.82072/15347.61279*100)</f>
        <v>94.85397448576106</v>
      </c>
    </row>
    <row r="144" spans="1:4" ht="15.75">
      <c r="A144" s="42" t="s">
        <v>161</v>
      </c>
      <c r="B144" s="43">
        <f>IF(17050.51495="","-",17050.51495)</f>
        <v>17050.51495</v>
      </c>
      <c r="C144" s="43">
        <f>IF(40367.2897="","-",40367.2897)</f>
        <v>40367.2897</v>
      </c>
      <c r="D144" s="43" t="s">
        <v>169</v>
      </c>
    </row>
    <row r="145" ht="15.75">
      <c r="A145" s="30" t="s">
        <v>21</v>
      </c>
    </row>
  </sheetData>
  <sheetProtection/>
  <mergeCells count="4">
    <mergeCell ref="A1:D1"/>
    <mergeCell ref="A3:A4"/>
    <mergeCell ref="D3:D4"/>
    <mergeCell ref="B3:C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7"/>
  <sheetViews>
    <sheetView zoomScalePageLayoutView="0" workbookViewId="0" topLeftCell="A1">
      <selection activeCell="I7" sqref="I7"/>
    </sheetView>
  </sheetViews>
  <sheetFormatPr defaultColWidth="9.00390625" defaultRowHeight="15.75"/>
  <cols>
    <col min="1" max="1" width="32.625" style="0" customWidth="1"/>
    <col min="2" max="2" width="13.75390625" style="0" customWidth="1"/>
    <col min="3" max="3" width="14.625" style="0" customWidth="1"/>
    <col min="4" max="5" width="10.50390625" style="0" customWidth="1"/>
  </cols>
  <sheetData>
    <row r="1" spans="1:5" ht="15.75">
      <c r="A1" s="61" t="s">
        <v>126</v>
      </c>
      <c r="B1" s="61"/>
      <c r="C1" s="61"/>
      <c r="D1" s="61"/>
      <c r="E1" s="61"/>
    </row>
    <row r="2" spans="1:5" ht="15.75">
      <c r="A2" s="9"/>
      <c r="B2" s="9"/>
      <c r="C2" s="9"/>
      <c r="D2" s="9"/>
      <c r="E2" s="9"/>
    </row>
    <row r="3" spans="1:6" ht="15.75" customHeight="1">
      <c r="A3" s="62"/>
      <c r="B3" s="73" t="s">
        <v>260</v>
      </c>
      <c r="C3" s="73"/>
      <c r="D3" s="65" t="s">
        <v>110</v>
      </c>
      <c r="E3" s="79"/>
      <c r="F3" s="1"/>
    </row>
    <row r="4" spans="1:6" ht="18" customHeight="1">
      <c r="A4" s="63"/>
      <c r="B4" s="69" t="s">
        <v>134</v>
      </c>
      <c r="C4" s="71" t="s">
        <v>261</v>
      </c>
      <c r="D4" s="73" t="s">
        <v>262</v>
      </c>
      <c r="E4" s="65"/>
      <c r="F4" s="1"/>
    </row>
    <row r="5" spans="1:6" ht="28.5" customHeight="1">
      <c r="A5" s="64"/>
      <c r="B5" s="70"/>
      <c r="C5" s="72"/>
      <c r="D5" s="21">
        <v>2018</v>
      </c>
      <c r="E5" s="20">
        <v>2019</v>
      </c>
      <c r="F5" s="1"/>
    </row>
    <row r="6" spans="1:5" ht="15.75" customHeight="1">
      <c r="A6" s="50" t="s">
        <v>303</v>
      </c>
      <c r="B6" s="57">
        <f>IF(2294411.91883="","-",2294411.91883)</f>
        <v>2294411.91883</v>
      </c>
      <c r="C6" s="37">
        <f>IF(2218501.69139="","-",2294411.91883/2218501.69139*100)</f>
        <v>103.42168895947239</v>
      </c>
      <c r="D6" s="37">
        <v>100</v>
      </c>
      <c r="E6" s="37">
        <v>100</v>
      </c>
    </row>
    <row r="7" spans="1:5" ht="15.75" customHeight="1">
      <c r="A7" s="51" t="s">
        <v>150</v>
      </c>
      <c r="B7" s="25"/>
      <c r="C7" s="28"/>
      <c r="D7" s="25"/>
      <c r="E7" s="25"/>
    </row>
    <row r="8" spans="1:5" ht="15.75">
      <c r="A8" s="55" t="s">
        <v>116</v>
      </c>
      <c r="B8" s="41">
        <f>IF(152474.46536="","-",152474.46536)</f>
        <v>152474.46536</v>
      </c>
      <c r="C8" s="58">
        <v>103.89</v>
      </c>
      <c r="D8" s="41">
        <f>IF(146765.87413="","-",146765.87413/2218501.69139*100)</f>
        <v>6.615540330647393</v>
      </c>
      <c r="E8" s="41">
        <f>IF(152474.46536="","-",152474.46536/2294411.91883*100)</f>
        <v>6.645470419180528</v>
      </c>
    </row>
    <row r="9" spans="1:5" ht="15.75">
      <c r="A9" s="55" t="s">
        <v>117</v>
      </c>
      <c r="B9" s="41">
        <f>IF(105117.74303="","-",105117.74303)</f>
        <v>105117.74303</v>
      </c>
      <c r="C9" s="58">
        <v>116.42</v>
      </c>
      <c r="D9" s="41">
        <f>IF(90292.348="","-",90292.348/2218501.69139*100)</f>
        <v>4.0699697615928985</v>
      </c>
      <c r="E9" s="41">
        <f>IF(105117.74303="","-",105117.74303/2294411.91883*100)</f>
        <v>4.5814677899513</v>
      </c>
    </row>
    <row r="10" spans="1:5" ht="15.75">
      <c r="A10" s="55" t="s">
        <v>118</v>
      </c>
      <c r="B10" s="41">
        <f>IF(1998266.47454="","-",1998266.47454)</f>
        <v>1998266.47454</v>
      </c>
      <c r="C10" s="58">
        <v>103</v>
      </c>
      <c r="D10" s="41">
        <f>IF(1940165.16847="","-",1940165.16847/2218501.69139*100)</f>
        <v>87.4538512185849</v>
      </c>
      <c r="E10" s="41">
        <f>IF(1998266.47454="","-",1998266.47454/2294411.91883*100)</f>
        <v>87.09275166069506</v>
      </c>
    </row>
    <row r="11" spans="1:5" ht="15.75">
      <c r="A11" s="55" t="s">
        <v>119</v>
      </c>
      <c r="B11" s="41">
        <f>IF(36744.36574="","-",36744.36574)</f>
        <v>36744.36574</v>
      </c>
      <c r="C11" s="58">
        <v>91.72</v>
      </c>
      <c r="D11" s="41">
        <f>IF(40060.89287="","-",40060.89287/2218501.69139*100)</f>
        <v>1.8057634585304234</v>
      </c>
      <c r="E11" s="41">
        <f>IF(36744.36574="","-",36744.36574/2294411.91883*100)</f>
        <v>1.6014720564534561</v>
      </c>
    </row>
    <row r="12" spans="1:5" ht="15.75">
      <c r="A12" s="55" t="s">
        <v>120</v>
      </c>
      <c r="B12" s="41">
        <f>IF(1302.65153="","-",1302.65153)</f>
        <v>1302.65153</v>
      </c>
      <c r="C12" s="58">
        <v>115.73</v>
      </c>
      <c r="D12" s="41">
        <f>IF(1125.56977="","-",1125.56977/2218501.69139*100)</f>
        <v>0.05073558313560606</v>
      </c>
      <c r="E12" s="41">
        <f>IF(1302.65153="","-",1302.65153/2294411.91883*100)</f>
        <v>0.05677496352373671</v>
      </c>
    </row>
    <row r="13" spans="1:5" ht="15.75">
      <c r="A13" s="55" t="s">
        <v>121</v>
      </c>
      <c r="B13" s="41">
        <f>IF(6.56987="","-",6.56987)</f>
        <v>6.56987</v>
      </c>
      <c r="C13" s="58">
        <v>95.63</v>
      </c>
      <c r="D13" s="41">
        <f>IF(6.86808="","-",6.86808/2218501.69139*100)</f>
        <v>0.0003095819140753872</v>
      </c>
      <c r="E13" s="41">
        <f>IF(6.56987="","-",6.56987/2294411.91883*100)</f>
        <v>0.00028634221893992796</v>
      </c>
    </row>
    <row r="14" spans="1:5" ht="15.75">
      <c r="A14" s="55" t="s">
        <v>122</v>
      </c>
      <c r="B14" s="41">
        <f>IF(499.64876="","-",499.64876)</f>
        <v>499.64876</v>
      </c>
      <c r="C14" s="58" t="s">
        <v>297</v>
      </c>
      <c r="D14" s="41">
        <f>IF(84.97007="","-",84.97007/2218501.69139*100)</f>
        <v>0.00383006559471055</v>
      </c>
      <c r="E14" s="41">
        <f>IF(499.64876="","-",499.64876/2294411.91883*100)</f>
        <v>0.021776767976989422</v>
      </c>
    </row>
    <row r="15" spans="1:5" ht="15.75">
      <c r="A15" s="38" t="s">
        <v>300</v>
      </c>
      <c r="B15" s="39">
        <f>IF(1503360.75936="","-",1503360.75936)</f>
        <v>1503360.75936</v>
      </c>
      <c r="C15" s="39">
        <f>IF(1541461.40924="","-",1503360.75936/1541461.40924*100)</f>
        <v>97.52827740924211</v>
      </c>
      <c r="D15" s="39">
        <f>IF(1541461.40924="","-",1541461.40924/2218501.69139*100)</f>
        <v>69.48209303704425</v>
      </c>
      <c r="E15" s="39">
        <f>IF(1503360.75936="","-",1503360.75936/2294411.91883*100)</f>
        <v>65.522705274588</v>
      </c>
    </row>
    <row r="16" spans="1:5" ht="15.75">
      <c r="A16" s="55" t="s">
        <v>116</v>
      </c>
      <c r="B16" s="41">
        <f>IF(70690.05445="","-",70690.05445)</f>
        <v>70690.05445</v>
      </c>
      <c r="C16" s="58">
        <v>83.02</v>
      </c>
      <c r="D16" s="41">
        <f>IF(85151.42869="","-",85151.42869/2218501.69139*100)</f>
        <v>3.8382404223748177</v>
      </c>
      <c r="E16" s="41">
        <f>IF(70690.05445="","-",70690.05445/2294411.91883*100)</f>
        <v>3.0809661451744597</v>
      </c>
    </row>
    <row r="17" spans="1:5" ht="15.75">
      <c r="A17" s="55" t="s">
        <v>117</v>
      </c>
      <c r="B17" s="41">
        <f>IF(32789.2478899999="","-",32789.2478899999)</f>
        <v>32789.2478899999</v>
      </c>
      <c r="C17" s="58">
        <v>71.24</v>
      </c>
      <c r="D17" s="41">
        <f>IF(46029.52804="","-",46029.52804/2218501.69139*100)</f>
        <v>2.0748024767635065</v>
      </c>
      <c r="E17" s="41">
        <f>IF(32789.2478899999="","-",32789.2478899999/2294411.91883*100)</f>
        <v>1.429091595144793</v>
      </c>
    </row>
    <row r="18" spans="1:11" ht="15.75">
      <c r="A18" s="55" t="s">
        <v>118</v>
      </c>
      <c r="B18" s="41">
        <f>IF(1394168.85887="","-",1394168.85887)</f>
        <v>1394168.85887</v>
      </c>
      <c r="C18" s="58">
        <v>99.47</v>
      </c>
      <c r="D18" s="41">
        <f>IF(1401533.26931="","-",1401533.26931/2218501.69139*100)</f>
        <v>63.17476676936273</v>
      </c>
      <c r="E18" s="41">
        <f>IF(1394168.85887="","-",1394168.85887/2294411.91883*100)</f>
        <v>60.76366878275873</v>
      </c>
      <c r="K18" s="23"/>
    </row>
    <row r="19" spans="1:5" ht="15.75">
      <c r="A19" s="55" t="s">
        <v>119</v>
      </c>
      <c r="B19" s="41">
        <f>IF(4765.02458="","-",4765.02458)</f>
        <v>4765.02458</v>
      </c>
      <c r="C19" s="58">
        <v>59.24</v>
      </c>
      <c r="D19" s="41">
        <f>IF(8043.35529="","-",8043.35529/2218501.69139*100)</f>
        <v>0.362557996742407</v>
      </c>
      <c r="E19" s="41">
        <f>IF(4765.02458="","-",4765.02458/2294411.91883*100)</f>
        <v>0.20767956010400482</v>
      </c>
    </row>
    <row r="20" spans="1:5" ht="15.75">
      <c r="A20" s="55" t="s">
        <v>120</v>
      </c>
      <c r="B20" s="41">
        <f>IF(575.76672="","-",575.76672)</f>
        <v>575.76672</v>
      </c>
      <c r="C20" s="59">
        <v>92.67</v>
      </c>
      <c r="D20" s="41">
        <f>IF(621.32533="","-",621.32533/2218501.69139*100)</f>
        <v>0.02800652947037914</v>
      </c>
      <c r="E20" s="41">
        <f>IF(575.76672="","-",575.76672/2294411.91883*100)</f>
        <v>0.025094304787851844</v>
      </c>
    </row>
    <row r="21" spans="1:5" ht="15.75">
      <c r="A21" s="55" t="s">
        <v>122</v>
      </c>
      <c r="B21" s="41">
        <f>IF(371.80685="","-",371.80685)</f>
        <v>371.80685</v>
      </c>
      <c r="C21" s="59" t="s">
        <v>298</v>
      </c>
      <c r="D21" s="41">
        <f>IF(82.50258="","-",82.50258/2218501.69139*100)</f>
        <v>0.0037188423303976884</v>
      </c>
      <c r="E21" s="41">
        <f>IF(371.80685="","-",371.80685/2294411.91883*100)</f>
        <v>0.016204886618162148</v>
      </c>
    </row>
    <row r="22" spans="1:5" ht="15.75">
      <c r="A22" s="38" t="s">
        <v>301</v>
      </c>
      <c r="B22" s="39">
        <f>IF(354770.32381="","-",354770.32381)</f>
        <v>354770.32381</v>
      </c>
      <c r="C22" s="39">
        <f>IF(348586.66869="","-",354770.32381/348586.66869*100)</f>
        <v>101.77392186087847</v>
      </c>
      <c r="D22" s="39">
        <f>IF(348586.66869="","-",348586.66869/2218501.69139*100)</f>
        <v>15.712706915792046</v>
      </c>
      <c r="E22" s="39">
        <f>IF(354770.32381="","-",354770.32381/2294411.91883*100)</f>
        <v>15.462364054964883</v>
      </c>
    </row>
    <row r="23" spans="1:5" ht="15.75">
      <c r="A23" s="55" t="s">
        <v>116</v>
      </c>
      <c r="B23" s="41">
        <f>IF(6128.85177="","-",6128.85177)</f>
        <v>6128.85177</v>
      </c>
      <c r="C23" s="58">
        <v>153.42</v>
      </c>
      <c r="D23" s="41">
        <f>IF(3994.68937="","-",3994.68937/2218501.69139*100)</f>
        <v>0.18006248926937404</v>
      </c>
      <c r="E23" s="41">
        <f>IF(6128.85177="","-",6128.85177/2294411.91883*100)</f>
        <v>0.267120812949983</v>
      </c>
    </row>
    <row r="24" spans="1:5" ht="15.75">
      <c r="A24" s="55" t="s">
        <v>117</v>
      </c>
      <c r="B24" s="41">
        <f>IF(13861.87152="","-",13861.87152)</f>
        <v>13861.87152</v>
      </c>
      <c r="C24" s="58">
        <v>86.27</v>
      </c>
      <c r="D24" s="41">
        <f>IF(16067.47654="","-",16067.47654/2218501.69139*100)</f>
        <v>0.7242490101476073</v>
      </c>
      <c r="E24" s="41">
        <f>IF(13861.87152="","-",13861.87152/2294411.91883*100)</f>
        <v>0.6041579284973663</v>
      </c>
    </row>
    <row r="25" spans="1:5" ht="15.75">
      <c r="A25" s="55" t="s">
        <v>118</v>
      </c>
      <c r="B25" s="41">
        <f>IF(325900.88272="","-",325900.88272)</f>
        <v>325900.88272</v>
      </c>
      <c r="C25" s="41">
        <v>102.29</v>
      </c>
      <c r="D25" s="41">
        <f>IF(318614.54989="","-",318614.54989/2218501.69139*100)</f>
        <v>14.36169966092622</v>
      </c>
      <c r="E25" s="41">
        <f>IF(325900.88272="","-",325900.88272/2294411.91883*100)</f>
        <v>14.20411391892473</v>
      </c>
    </row>
    <row r="26" spans="1:5" ht="15.75">
      <c r="A26" s="55" t="s">
        <v>119</v>
      </c>
      <c r="B26" s="41">
        <f>IF(8461.55335="","-",8461.55335)</f>
        <v>8461.55335</v>
      </c>
      <c r="C26" s="41">
        <v>85.73</v>
      </c>
      <c r="D26" s="41">
        <f>IF(9870.43729="","-",9870.43729/2218501.69139*100)</f>
        <v>0.4449145713211373</v>
      </c>
      <c r="E26" s="41">
        <f>IF(8461.55335="","-",8461.55335/2294411.91883*100)</f>
        <v>0.36878963539881016</v>
      </c>
    </row>
    <row r="27" spans="1:5" ht="15.75">
      <c r="A27" s="55" t="s">
        <v>120</v>
      </c>
      <c r="B27" s="41">
        <f>IF(395.43714="","-",395.43714)</f>
        <v>395.43714</v>
      </c>
      <c r="C27" s="41" t="s">
        <v>299</v>
      </c>
      <c r="D27" s="41">
        <f>IF(30.18003="","-",30.18003/2218501.69139*100)</f>
        <v>0.0013603789493210048</v>
      </c>
      <c r="E27" s="41">
        <f>IF(395.43714="","-",395.43714/2294411.91883*100)</f>
        <v>0.01723479279176893</v>
      </c>
    </row>
    <row r="28" spans="1:7" ht="15.75">
      <c r="A28" s="55" t="s">
        <v>121</v>
      </c>
      <c r="B28" s="41">
        <f>IF(6.56987="","-",6.56987)</f>
        <v>6.56987</v>
      </c>
      <c r="C28" s="41">
        <v>95.63</v>
      </c>
      <c r="D28" s="41">
        <f>IF(6.86808="","-",6.86808/2218501.69139*100)</f>
        <v>0.0003095819140753872</v>
      </c>
      <c r="E28" s="41">
        <f>IF(6.56987="","-",6.56987/2294411.91883*100)</f>
        <v>0.00028634221893992796</v>
      </c>
      <c r="F28" s="1"/>
      <c r="G28" s="1"/>
    </row>
    <row r="29" spans="1:7" ht="15.75">
      <c r="A29" s="55" t="s">
        <v>122</v>
      </c>
      <c r="B29" s="41">
        <f>IF(15.15744="","-",15.15744)</f>
        <v>15.15744</v>
      </c>
      <c r="C29" s="41" t="s">
        <v>173</v>
      </c>
      <c r="D29" s="41">
        <f>IF(2.46749="","-",2.46749/2218501.69139*100)</f>
        <v>0.0001112232643128614</v>
      </c>
      <c r="E29" s="41">
        <f>IF(15.15744="","-",15.15744/2294411.91883*100)</f>
        <v>0.0006606241832865522</v>
      </c>
      <c r="F29" s="10"/>
      <c r="G29" s="10"/>
    </row>
    <row r="30" spans="1:5" ht="15.75">
      <c r="A30" s="38" t="s">
        <v>302</v>
      </c>
      <c r="B30" s="39">
        <f>IF(436280.83566="","-",436280.83566)</f>
        <v>436280.83566</v>
      </c>
      <c r="C30" s="39">
        <f>IF(328453.61346="","-",436280.83566/328453.61346*100)</f>
        <v>132.8287520006631</v>
      </c>
      <c r="D30" s="39">
        <f>IF(328453.61346="","-",328453.61346/2218501.69139*100)</f>
        <v>14.805200047163714</v>
      </c>
      <c r="E30" s="39">
        <f>IF(436280.83566="","-",436280.83566/2294411.91883*100)</f>
        <v>19.01493067044712</v>
      </c>
    </row>
    <row r="31" spans="1:5" ht="15.75">
      <c r="A31" s="55" t="s">
        <v>116</v>
      </c>
      <c r="B31" s="41">
        <f>IF(75655.55914="","-",75655.55914)</f>
        <v>75655.55914</v>
      </c>
      <c r="C31" s="58">
        <v>131.3</v>
      </c>
      <c r="D31" s="41">
        <f>IF(57619.75607="","-",57619.75607/2218501.69139*100)</f>
        <v>2.5972374190032013</v>
      </c>
      <c r="E31" s="41">
        <f>IF(75655.55914="","-",75655.55914/2294411.91883*100)</f>
        <v>3.2973834610560857</v>
      </c>
    </row>
    <row r="32" spans="1:5" ht="15.75">
      <c r="A32" s="55" t="s">
        <v>117</v>
      </c>
      <c r="B32" s="41">
        <f>IF(58466.62362="","-",58466.62362)</f>
        <v>58466.62362</v>
      </c>
      <c r="C32" s="58" t="s">
        <v>188</v>
      </c>
      <c r="D32" s="41">
        <f>IF(28195.34342="","-",28195.34342/2218501.69139*100)</f>
        <v>1.2709182746817849</v>
      </c>
      <c r="E32" s="41">
        <f>IF(58466.62362="","-",58466.62362/2294411.91883*100)</f>
        <v>2.548218266309136</v>
      </c>
    </row>
    <row r="33" spans="1:5" ht="15.75">
      <c r="A33" s="55" t="s">
        <v>118</v>
      </c>
      <c r="B33" s="41">
        <f>IF(278196.73295="","-",278196.73295)</f>
        <v>278196.73295</v>
      </c>
      <c r="C33" s="58">
        <v>126.44</v>
      </c>
      <c r="D33" s="41">
        <f>IF(220017.34927="","-",220017.34927/2218501.69139*100)</f>
        <v>9.91738478829594</v>
      </c>
      <c r="E33" s="41">
        <f>IF(278196.73295="","-",278196.73295/2294411.91883*100)</f>
        <v>12.124968959011603</v>
      </c>
    </row>
    <row r="34" spans="1:5" ht="15.75">
      <c r="A34" s="55" t="s">
        <v>119</v>
      </c>
      <c r="B34" s="41">
        <f>IF(23517.78781="","-",23517.78781)</f>
        <v>23517.78781</v>
      </c>
      <c r="C34" s="59">
        <v>106.19</v>
      </c>
      <c r="D34" s="41">
        <f>IF(22147.10029="","-",22147.10029/2218501.69139*100)</f>
        <v>0.9982908904668788</v>
      </c>
      <c r="E34" s="41">
        <f>IF(23517.78781="","-",23517.78781/2294411.91883*100)</f>
        <v>1.0250028609506412</v>
      </c>
    </row>
    <row r="35" spans="1:5" ht="15.75">
      <c r="A35" s="55" t="s">
        <v>120</v>
      </c>
      <c r="B35" s="41">
        <f>IF(331.44767="","-",331.44767)</f>
        <v>331.44767</v>
      </c>
      <c r="C35" s="59">
        <v>69.92</v>
      </c>
      <c r="D35" s="41">
        <f>IF(474.06441="","-",474.06441/2218501.69139*100)</f>
        <v>0.021368674715905915</v>
      </c>
      <c r="E35" s="41">
        <f>IF(331.44767="","-",331.44767/2294411.91883*100)</f>
        <v>0.01444586594411594</v>
      </c>
    </row>
    <row r="36" spans="1:5" ht="15.75">
      <c r="A36" s="56" t="s">
        <v>122</v>
      </c>
      <c r="B36" s="43">
        <f>IF(112.68447="","-",112.68447)</f>
        <v>112.68447</v>
      </c>
      <c r="C36" s="60" t="s">
        <v>22</v>
      </c>
      <c r="D36" s="43" t="s">
        <v>115</v>
      </c>
      <c r="E36" s="43">
        <f>IF(112.68447="","-",112.68447/2294411.91883*100)</f>
        <v>0.004911257175540725</v>
      </c>
    </row>
    <row r="37" spans="1:5" ht="15.75">
      <c r="A37" s="33" t="s">
        <v>21</v>
      </c>
      <c r="B37" s="26"/>
      <c r="C37" s="26"/>
      <c r="D37" s="26"/>
      <c r="E37" s="26"/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7"/>
  <sheetViews>
    <sheetView zoomScale="99" zoomScaleNormal="99" zoomScalePageLayoutView="0" workbookViewId="0" topLeftCell="A1">
      <selection activeCell="J29" sqref="J29"/>
    </sheetView>
  </sheetViews>
  <sheetFormatPr defaultColWidth="9.00390625" defaultRowHeight="15.75"/>
  <cols>
    <col min="1" max="1" width="32.125" style="0" customWidth="1"/>
    <col min="2" max="2" width="13.25390625" style="0" customWidth="1"/>
    <col min="3" max="3" width="13.50390625" style="0" customWidth="1"/>
    <col min="4" max="5" width="11.25390625" style="0" customWidth="1"/>
  </cols>
  <sheetData>
    <row r="1" spans="1:5" ht="15.75">
      <c r="A1" s="61" t="s">
        <v>127</v>
      </c>
      <c r="B1" s="61"/>
      <c r="C1" s="61"/>
      <c r="D1" s="61"/>
      <c r="E1" s="61"/>
    </row>
    <row r="2" spans="1:5" ht="15.75">
      <c r="A2" s="9"/>
      <c r="B2" s="9"/>
      <c r="C2" s="9"/>
      <c r="D2" s="9"/>
      <c r="E2" s="9"/>
    </row>
    <row r="3" spans="1:6" ht="15.75" customHeight="1">
      <c r="A3" s="62"/>
      <c r="B3" s="73" t="s">
        <v>260</v>
      </c>
      <c r="C3" s="73"/>
      <c r="D3" s="65" t="s">
        <v>110</v>
      </c>
      <c r="E3" s="79"/>
      <c r="F3" s="1"/>
    </row>
    <row r="4" spans="1:6" ht="18" customHeight="1">
      <c r="A4" s="63"/>
      <c r="B4" s="69" t="s">
        <v>100</v>
      </c>
      <c r="C4" s="71" t="s">
        <v>261</v>
      </c>
      <c r="D4" s="73" t="s">
        <v>262</v>
      </c>
      <c r="E4" s="65"/>
      <c r="F4" s="1"/>
    </row>
    <row r="5" spans="1:6" ht="27" customHeight="1">
      <c r="A5" s="64"/>
      <c r="B5" s="70"/>
      <c r="C5" s="72"/>
      <c r="D5" s="21">
        <v>2018</v>
      </c>
      <c r="E5" s="20">
        <v>2019</v>
      </c>
      <c r="F5" s="1"/>
    </row>
    <row r="6" spans="1:5" ht="15.75" customHeight="1">
      <c r="A6" s="50" t="s">
        <v>151</v>
      </c>
      <c r="B6" s="57">
        <f>IF(4797462.21183="","-",4797462.21183)</f>
        <v>4797462.21183</v>
      </c>
      <c r="C6" s="37">
        <f>IF(4718168.92486="","-",4797462.21183/4718168.92486*100)</f>
        <v>101.68059448978617</v>
      </c>
      <c r="D6" s="37">
        <v>100</v>
      </c>
      <c r="E6" s="37">
        <v>100</v>
      </c>
    </row>
    <row r="7" spans="1:5" ht="15.75" customHeight="1">
      <c r="A7" s="51" t="s">
        <v>150</v>
      </c>
      <c r="B7" s="25"/>
      <c r="C7" s="28"/>
      <c r="D7" s="25"/>
      <c r="E7" s="25"/>
    </row>
    <row r="8" spans="1:5" ht="15.75">
      <c r="A8" s="55" t="s">
        <v>116</v>
      </c>
      <c r="B8" s="41">
        <f>IF(104575.58798="","-",104575.58798)</f>
        <v>104575.58798</v>
      </c>
      <c r="C8" s="58">
        <v>75.33</v>
      </c>
      <c r="D8" s="41">
        <f>IF(138821.73844="","-",138821.73844/4718168.92486*100)</f>
        <v>2.942279953321493</v>
      </c>
      <c r="E8" s="41">
        <f>IF(104575.58798="","-",104575.58798/4797462.21183*100)</f>
        <v>2.179810561553323</v>
      </c>
    </row>
    <row r="9" spans="1:5" ht="15.75">
      <c r="A9" s="55" t="s">
        <v>117</v>
      </c>
      <c r="B9" s="41">
        <f>IF(231673.84928="","-",231673.84928)</f>
        <v>231673.84928</v>
      </c>
      <c r="C9" s="58">
        <v>83.91</v>
      </c>
      <c r="D9" s="41">
        <f>IF(276082.95978="","-",276082.95978/4718168.92486*100)</f>
        <v>5.85148527271503</v>
      </c>
      <c r="E9" s="41">
        <f>IF(231673.84928="","-",231673.84928/4797462.21183*100)</f>
        <v>4.8290916957869605</v>
      </c>
    </row>
    <row r="10" spans="1:5" ht="15.75">
      <c r="A10" s="55" t="s">
        <v>118</v>
      </c>
      <c r="B10" s="41">
        <f>IF(4073257.41518="","-",4073257.41518)</f>
        <v>4073257.41518</v>
      </c>
      <c r="C10" s="58">
        <v>103.5</v>
      </c>
      <c r="D10" s="41">
        <f>IF(3935502.64977="","-",3935502.64977/4718168.92486*100)</f>
        <v>83.4116521143163</v>
      </c>
      <c r="E10" s="41">
        <f>IF(4073257.41518="","-",4073257.41518/4797462.21183*100)</f>
        <v>84.904418947497</v>
      </c>
    </row>
    <row r="11" spans="1:5" ht="15.75">
      <c r="A11" s="55" t="s">
        <v>119</v>
      </c>
      <c r="B11" s="41">
        <f>IF(127321.02419="","-",127321.02419)</f>
        <v>127321.02419</v>
      </c>
      <c r="C11" s="58">
        <v>104.08</v>
      </c>
      <c r="D11" s="41">
        <f>IF(122335.4356="","-",122335.4356/4718168.92486*100)</f>
        <v>2.592858321697967</v>
      </c>
      <c r="E11" s="41">
        <f>IF(127321.02419="","-",127321.02419/4797462.21183*100)</f>
        <v>2.6539244827409108</v>
      </c>
    </row>
    <row r="12" spans="1:5" ht="15.75">
      <c r="A12" s="55" t="s">
        <v>120</v>
      </c>
      <c r="B12" s="41">
        <f>IF(9040.37115="","-",9040.37115)</f>
        <v>9040.37115</v>
      </c>
      <c r="C12" s="58">
        <v>81.03</v>
      </c>
      <c r="D12" s="41">
        <f>IF(11157.43455="","-",11157.43455/4718168.92486*100)</f>
        <v>0.23647806442901087</v>
      </c>
      <c r="E12" s="41">
        <f>IF(9040.37115="","-",9040.37115/4797462.21183*100)</f>
        <v>0.18844069532653046</v>
      </c>
    </row>
    <row r="13" spans="1:5" ht="15.75">
      <c r="A13" s="55" t="s">
        <v>121</v>
      </c>
      <c r="B13" s="41">
        <f>IF(216986.30562="","-",216986.30562)</f>
        <v>216986.30562</v>
      </c>
      <c r="C13" s="58">
        <v>106.1</v>
      </c>
      <c r="D13" s="41">
        <f>IF(204506.57956="","-",204506.57956/4718168.92486*100)</f>
        <v>4.334448020342304</v>
      </c>
      <c r="E13" s="41">
        <f>IF(216986.30562="","-",216986.30562/4797462.21183*100)</f>
        <v>4.522939338322171</v>
      </c>
    </row>
    <row r="14" spans="1:5" ht="15.75">
      <c r="A14" s="55" t="s">
        <v>122</v>
      </c>
      <c r="B14" s="41">
        <f>IF(34607.65843="","-",34607.65843)</f>
        <v>34607.65843</v>
      </c>
      <c r="C14" s="58">
        <v>116.28</v>
      </c>
      <c r="D14" s="41">
        <f>IF(29762.12716="","-",29762.12716/4718168.92486*100)</f>
        <v>0.630798253177913</v>
      </c>
      <c r="E14" s="41">
        <f>IF(34607.65843="","-",34607.65843/4797462.21183*100)</f>
        <v>0.7213742787730859</v>
      </c>
    </row>
    <row r="15" spans="1:5" ht="15.75">
      <c r="A15" s="38" t="s">
        <v>300</v>
      </c>
      <c r="B15" s="39">
        <f>IF(2391248.54737="","-",2391248.54737)</f>
        <v>2391248.54737</v>
      </c>
      <c r="C15" s="39">
        <f>IF(2376538.5619="","-",2391248.54737/2376538.5619*100)</f>
        <v>100.61896683293199</v>
      </c>
      <c r="D15" s="39">
        <f>IF(2376538.5619="","-",2376538.5619/4718168.92486*100)</f>
        <v>50.36993375497928</v>
      </c>
      <c r="E15" s="39">
        <f>IF(2391248.54737="","-",2391248.54737/4797462.21183*100)</f>
        <v>49.844030901868294</v>
      </c>
    </row>
    <row r="16" spans="1:5" ht="15.75">
      <c r="A16" s="55" t="s">
        <v>116</v>
      </c>
      <c r="B16" s="41">
        <f>IF(71238.72044="","-",71238.72044)</f>
        <v>71238.72044</v>
      </c>
      <c r="C16" s="58">
        <v>89.94</v>
      </c>
      <c r="D16" s="41">
        <f>IF(79206.94908="","-",79206.94908/4718168.92486*100)</f>
        <v>1.6787645873096897</v>
      </c>
      <c r="E16" s="41">
        <f>IF(71238.72044="","-",71238.72044/4797462.21183*100)</f>
        <v>1.4849250977805173</v>
      </c>
    </row>
    <row r="17" spans="1:5" ht="15.75">
      <c r="A17" s="55" t="s">
        <v>117</v>
      </c>
      <c r="B17" s="41">
        <f>IF(38950.70857="","-",38950.70857)</f>
        <v>38950.70857</v>
      </c>
      <c r="C17" s="58">
        <v>84.34</v>
      </c>
      <c r="D17" s="41">
        <f>IF(46185.39519="","-",46185.39519/4718168.92486*100)</f>
        <v>0.9788838832507559</v>
      </c>
      <c r="E17" s="41">
        <f>IF(38950.70857="","-",38950.70857/4797462.21183*100)</f>
        <v>0.8119023527470827</v>
      </c>
    </row>
    <row r="18" spans="1:5" ht="15.75">
      <c r="A18" s="55" t="s">
        <v>118</v>
      </c>
      <c r="B18" s="41">
        <f>IF(2211278.05196="","-",2211278.05196)</f>
        <v>2211278.05196</v>
      </c>
      <c r="C18" s="58">
        <v>101.15</v>
      </c>
      <c r="D18" s="41">
        <f>IF(2186193.9548="","-",2186193.9548/4718168.92486*100)</f>
        <v>46.33564396732298</v>
      </c>
      <c r="E18" s="41">
        <f>IF(2211278.05196="","-",2211278.05196/4797462.21183*100)</f>
        <v>46.09266221018349</v>
      </c>
    </row>
    <row r="19" spans="1:5" ht="15.75">
      <c r="A19" s="55" t="s">
        <v>119</v>
      </c>
      <c r="B19" s="41">
        <f>IF(37055.97506="","-",37055.97506)</f>
        <v>37055.97506</v>
      </c>
      <c r="C19" s="58">
        <v>110.63</v>
      </c>
      <c r="D19" s="41">
        <f>IF(33495.5397="","-",33495.5397/4718168.92486*100)</f>
        <v>0.709926673534562</v>
      </c>
      <c r="E19" s="41">
        <f>IF(37055.97506="","-",37055.97506/4797462.21183*100)</f>
        <v>0.7724078569837225</v>
      </c>
    </row>
    <row r="20" spans="1:5" ht="15.75">
      <c r="A20" s="55" t="s">
        <v>120</v>
      </c>
      <c r="B20" s="41">
        <f>IF(3921.18165="","-",3921.18165)</f>
        <v>3921.18165</v>
      </c>
      <c r="C20" s="58">
        <v>79.38</v>
      </c>
      <c r="D20" s="41">
        <f>IF(4939.62025="","-",4939.62025/4718168.92486*100)</f>
        <v>0.10469358619131193</v>
      </c>
      <c r="E20" s="41">
        <f>IF(3921.18165="","-",3921.18165/4797462.21183*100)</f>
        <v>0.08173449788371046</v>
      </c>
    </row>
    <row r="21" spans="1:5" ht="15.75">
      <c r="A21" s="55" t="s">
        <v>122</v>
      </c>
      <c r="B21" s="41">
        <f>IF(28803.90969="","-",28803.90969)</f>
        <v>28803.90969</v>
      </c>
      <c r="C21" s="58">
        <v>108.62</v>
      </c>
      <c r="D21" s="41">
        <f>IF(26517.10288="","-",26517.10288/4718168.92486*100)</f>
        <v>0.5620210573699802</v>
      </c>
      <c r="E21" s="41">
        <f>IF(28803.90969="","-",28803.90969/4797462.21183*100)</f>
        <v>0.6003988862897723</v>
      </c>
    </row>
    <row r="22" spans="1:5" ht="15.75">
      <c r="A22" s="38" t="s">
        <v>301</v>
      </c>
      <c r="B22" s="39">
        <f>IF(1151392.5851="","-",1151392.5851)</f>
        <v>1151392.5851</v>
      </c>
      <c r="C22" s="39">
        <f>IF(1145629.56529="","-",1151392.5851/1145629.56529*100)</f>
        <v>100.50304391442108</v>
      </c>
      <c r="D22" s="39">
        <f>IF(1145629.56529="","-",1145629.56529/4718168.92486*100)</f>
        <v>24.281232476728118</v>
      </c>
      <c r="E22" s="39">
        <f>IF(1151392.5851="","-",1151392.5851/4797462.21183*100)</f>
        <v>24.000034481997503</v>
      </c>
    </row>
    <row r="23" spans="1:5" ht="15.75">
      <c r="A23" s="55" t="s">
        <v>116</v>
      </c>
      <c r="B23" s="41">
        <f>IF(22440.06103="","-",22440.06103)</f>
        <v>22440.06103</v>
      </c>
      <c r="C23" s="58">
        <v>56.53</v>
      </c>
      <c r="D23" s="41">
        <f>IF(39698.30537="","-",39698.30537/4718168.92486*100)</f>
        <v>0.841392201131882</v>
      </c>
      <c r="E23" s="41">
        <f>IF(22440.06103="","-",22440.06103/4797462.21183*100)</f>
        <v>0.4677485728739112</v>
      </c>
    </row>
    <row r="24" spans="1:5" ht="15.75">
      <c r="A24" s="55" t="s">
        <v>117</v>
      </c>
      <c r="B24" s="41">
        <f>IF(192383.49495="","-",192383.49495)</f>
        <v>192383.49495</v>
      </c>
      <c r="C24" s="58">
        <v>83.94</v>
      </c>
      <c r="D24" s="41">
        <f>IF(229182.34801="","-",229182.34801/4718168.92486*100)</f>
        <v>4.857442615130624</v>
      </c>
      <c r="E24" s="41">
        <f>IF(192383.49495="","-",192383.49495/4797462.21183*100)</f>
        <v>4.010109646629504</v>
      </c>
    </row>
    <row r="25" spans="1:5" ht="15.75">
      <c r="A25" s="55" t="s">
        <v>118</v>
      </c>
      <c r="B25" s="41">
        <f>IF(700828.21501="","-",700828.21501)</f>
        <v>700828.21501</v>
      </c>
      <c r="C25" s="58">
        <v>106.56</v>
      </c>
      <c r="D25" s="41">
        <f>IF(657673.85428="","-",657673.85428/4718168.92486*100)</f>
        <v>13.939175658054992</v>
      </c>
      <c r="E25" s="41">
        <f>IF(700828.21501="","-",700828.21501/4797462.21183*100)</f>
        <v>14.60831131263185</v>
      </c>
    </row>
    <row r="26" spans="1:5" ht="15.75">
      <c r="A26" s="55" t="s">
        <v>119</v>
      </c>
      <c r="B26" s="41">
        <f>IF(14794.40039="","-",14794.40039)</f>
        <v>14794.40039</v>
      </c>
      <c r="C26" s="58">
        <v>118.61</v>
      </c>
      <c r="D26" s="41">
        <f>IF(12472.86818="","-",12472.86818/4718168.92486*100)</f>
        <v>0.26435823682107995</v>
      </c>
      <c r="E26" s="41">
        <f>IF(14794.40039="","-",14794.40039/4797462.21183*100)</f>
        <v>0.30837971695782573</v>
      </c>
    </row>
    <row r="27" spans="1:5" ht="15.75">
      <c r="A27" s="55" t="s">
        <v>120</v>
      </c>
      <c r="B27" s="41">
        <f>IF(509.6084="","-",509.6084)</f>
        <v>509.6084</v>
      </c>
      <c r="C27" s="58">
        <v>125.69</v>
      </c>
      <c r="D27" s="41">
        <f>IF(405.45992="","-",405.45992/4718168.92486*100)</f>
        <v>0.008593586335233452</v>
      </c>
      <c r="E27" s="41">
        <f>IF(509.6084="","-",509.6084/4797462.21183*100)</f>
        <v>0.010622457822457949</v>
      </c>
    </row>
    <row r="28" spans="1:7" ht="15.75">
      <c r="A28" s="55" t="s">
        <v>121</v>
      </c>
      <c r="B28" s="41">
        <f>IF(216986.30562="","-",216986.30562)</f>
        <v>216986.30562</v>
      </c>
      <c r="C28" s="58">
        <v>106.1</v>
      </c>
      <c r="D28" s="41">
        <f>IF(204506.57956="","-",204506.57956/4718168.92486*100)</f>
        <v>4.334448020342304</v>
      </c>
      <c r="E28" s="41">
        <f>IF(216986.30562="","-",216986.30562/4797462.21183*100)</f>
        <v>4.522939338322171</v>
      </c>
      <c r="F28" s="1"/>
      <c r="G28" s="1"/>
    </row>
    <row r="29" spans="1:7" ht="15.75">
      <c r="A29" s="55" t="s">
        <v>122</v>
      </c>
      <c r="B29" s="41">
        <f>IF(3450.4997="","-",3450.4997)</f>
        <v>3450.4997</v>
      </c>
      <c r="C29" s="58" t="s">
        <v>20</v>
      </c>
      <c r="D29" s="41">
        <f>IF(1690.14997="","-",1690.14997/4718168.92486*100)</f>
        <v>0.03582215891200104</v>
      </c>
      <c r="E29" s="41">
        <f>IF(3450.4997="","-",3450.4997/4797462.21183*100)</f>
        <v>0.07192343675978222</v>
      </c>
      <c r="F29" s="1"/>
      <c r="G29" s="1"/>
    </row>
    <row r="30" spans="1:7" ht="15.75">
      <c r="A30" s="38" t="s">
        <v>304</v>
      </c>
      <c r="B30" s="39">
        <f>IF(1254821.07936="","-",1254821.07936)</f>
        <v>1254821.07936</v>
      </c>
      <c r="C30" s="39">
        <f>IF(1196000.79767="","-",1254821.07936/1196000.79767*100)</f>
        <v>104.91808047323975</v>
      </c>
      <c r="D30" s="39">
        <f>IF(1196000.79767="","-",1196000.79767/4718168.92486*100)</f>
        <v>25.34883376829261</v>
      </c>
      <c r="E30" s="39">
        <f>IF(1254821.07936="","-",1254821.07936/4797462.21183*100)</f>
        <v>26.15593461613419</v>
      </c>
      <c r="F30" s="10"/>
      <c r="G30" s="10"/>
    </row>
    <row r="31" spans="1:5" ht="15.75">
      <c r="A31" s="55" t="s">
        <v>116</v>
      </c>
      <c r="B31" s="41">
        <f>IF(10896.80651="","-",10896.80651)</f>
        <v>10896.80651</v>
      </c>
      <c r="C31" s="58">
        <v>54.71</v>
      </c>
      <c r="D31" s="41">
        <f>IF(19916.48399="","-",19916.48399/4718168.92486*100)</f>
        <v>0.42212316487992163</v>
      </c>
      <c r="E31" s="41">
        <f>IF(10896.80651="","-",10896.80651/4797462.21183*100)</f>
        <v>0.22713689089889455</v>
      </c>
    </row>
    <row r="32" spans="1:5" ht="15.75">
      <c r="A32" s="55" t="s">
        <v>117</v>
      </c>
      <c r="B32" s="41">
        <f>IF(339.64576="","-",339.64576)</f>
        <v>339.64576</v>
      </c>
      <c r="C32" s="58">
        <v>47.49</v>
      </c>
      <c r="D32" s="41">
        <f>IF(715.21658="","-",715.21658/4718168.92486*100)</f>
        <v>0.015158774333651532</v>
      </c>
      <c r="E32" s="41">
        <f>IF(339.64576="","-",339.64576/4797462.21183*100)</f>
        <v>0.007079696410374466</v>
      </c>
    </row>
    <row r="33" spans="1:5" ht="15.75">
      <c r="A33" s="55" t="s">
        <v>118</v>
      </c>
      <c r="B33" s="41">
        <f>IF(1161151.14821="","-",1161151.14821)</f>
        <v>1161151.14821</v>
      </c>
      <c r="C33" s="58">
        <v>106.37</v>
      </c>
      <c r="D33" s="41">
        <f>IF(1091634.84069="","-",1091634.84069/4718168.92486*100)</f>
        <v>23.136832488938314</v>
      </c>
      <c r="E33" s="41">
        <f>IF(1161151.14821="","-",1161151.14821/4797462.21183*100)</f>
        <v>24.203445424681664</v>
      </c>
    </row>
    <row r="34" spans="1:5" ht="15.75">
      <c r="A34" s="55" t="s">
        <v>119</v>
      </c>
      <c r="B34" s="41">
        <f>IF(75470.64874="","-",75470.64874)</f>
        <v>75470.64874</v>
      </c>
      <c r="C34" s="58">
        <v>98.83</v>
      </c>
      <c r="D34" s="41">
        <f>IF(76367.02772="","-",76367.02772/4718168.92486*100)</f>
        <v>1.6185734113423251</v>
      </c>
      <c r="E34" s="41">
        <f>IF(75470.64874="","-",75470.64874/4797462.21183*100)</f>
        <v>1.5731369087993627</v>
      </c>
    </row>
    <row r="35" spans="1:5" ht="15.75">
      <c r="A35" s="55" t="s">
        <v>120</v>
      </c>
      <c r="B35" s="41">
        <f>IF(4609.5811="","-",4609.5811)</f>
        <v>4609.5811</v>
      </c>
      <c r="C35" s="58">
        <v>79.31</v>
      </c>
      <c r="D35" s="41">
        <f>IF(5812.35438="","-",5812.35438/4718168.92486*100)</f>
        <v>0.12319089190246549</v>
      </c>
      <c r="E35" s="41">
        <f>IF(4609.5811="","-",4609.5811/4797462.21183*100)</f>
        <v>0.09608373962036207</v>
      </c>
    </row>
    <row r="36" spans="1:5" ht="15.75">
      <c r="A36" s="56" t="s">
        <v>122</v>
      </c>
      <c r="B36" s="43">
        <f>IF(2353.24904="","-",2353.24904)</f>
        <v>2353.24904</v>
      </c>
      <c r="C36" s="60" t="s">
        <v>135</v>
      </c>
      <c r="D36" s="43">
        <f>IF(1554.87431="","-",1554.87431/4718168.92486*100)</f>
        <v>0.032955036895931766</v>
      </c>
      <c r="E36" s="43">
        <f>IF(2353.24904="","-",2353.24904/4797462.21183*100)</f>
        <v>0.04905195572353136</v>
      </c>
    </row>
    <row r="37" ht="17.25" customHeight="1">
      <c r="A37" s="34" t="s">
        <v>21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81"/>
  <sheetViews>
    <sheetView zoomScalePageLayoutView="0" workbookViewId="0" topLeftCell="A1">
      <selection activeCell="J77" sqref="J77"/>
    </sheetView>
  </sheetViews>
  <sheetFormatPr defaultColWidth="9.00390625" defaultRowHeight="15.75"/>
  <cols>
    <col min="1" max="1" width="26.75390625" style="0" customWidth="1"/>
    <col min="2" max="2" width="12.375" style="0" customWidth="1"/>
    <col min="3" max="3" width="9.875" style="0" customWidth="1"/>
    <col min="4" max="5" width="9.25390625" style="0" customWidth="1"/>
    <col min="6" max="6" width="9.375" style="0" customWidth="1"/>
    <col min="7" max="7" width="10.125" style="0" customWidth="1"/>
  </cols>
  <sheetData>
    <row r="1" spans="1:7" ht="15.75">
      <c r="A1" s="74" t="s">
        <v>128</v>
      </c>
      <c r="B1" s="74"/>
      <c r="C1" s="74"/>
      <c r="D1" s="74"/>
      <c r="E1" s="74"/>
      <c r="F1" s="74"/>
      <c r="G1" s="74"/>
    </row>
    <row r="2" spans="1:7" ht="15.75">
      <c r="A2" s="74" t="s">
        <v>23</v>
      </c>
      <c r="B2" s="74"/>
      <c r="C2" s="74"/>
      <c r="D2" s="74"/>
      <c r="E2" s="74"/>
      <c r="F2" s="74"/>
      <c r="G2" s="74"/>
    </row>
    <row r="3" ht="15.75">
      <c r="A3" s="6"/>
    </row>
    <row r="4" spans="1:7" ht="57" customHeight="1">
      <c r="A4" s="80"/>
      <c r="B4" s="65" t="s">
        <v>260</v>
      </c>
      <c r="C4" s="66"/>
      <c r="D4" s="83" t="s">
        <v>0</v>
      </c>
      <c r="E4" s="84"/>
      <c r="F4" s="77" t="s">
        <v>108</v>
      </c>
      <c r="G4" s="85"/>
    </row>
    <row r="5" spans="1:8" ht="26.25" customHeight="1">
      <c r="A5" s="81"/>
      <c r="B5" s="86" t="s">
        <v>113</v>
      </c>
      <c r="C5" s="71" t="s">
        <v>261</v>
      </c>
      <c r="D5" s="73" t="s">
        <v>262</v>
      </c>
      <c r="E5" s="73"/>
      <c r="F5" s="73" t="s">
        <v>262</v>
      </c>
      <c r="G5" s="65"/>
      <c r="H5" s="1"/>
    </row>
    <row r="6" spans="1:7" ht="31.5" customHeight="1">
      <c r="A6" s="82"/>
      <c r="B6" s="87"/>
      <c r="C6" s="72"/>
      <c r="D6" s="22">
        <v>2018</v>
      </c>
      <c r="E6" s="22">
        <v>2019</v>
      </c>
      <c r="F6" s="22" t="s">
        <v>112</v>
      </c>
      <c r="G6" s="18" t="s">
        <v>133</v>
      </c>
    </row>
    <row r="7" spans="1:7" ht="16.5" customHeight="1">
      <c r="A7" s="36" t="s">
        <v>101</v>
      </c>
      <c r="B7" s="37">
        <f>IF(2294411.91883="","-",2294411.91883)</f>
        <v>2294411.91883</v>
      </c>
      <c r="C7" s="37">
        <f>IF(2218501.69139="","-",2294411.91883/2218501.69139*100)</f>
        <v>103.42168895947239</v>
      </c>
      <c r="D7" s="37">
        <v>100</v>
      </c>
      <c r="E7" s="37">
        <v>100</v>
      </c>
      <c r="F7" s="37">
        <f>IF(1919782.20123="","-",(2218501.69139-1919782.20123)/1919782.20123*100)</f>
        <v>15.560071864850656</v>
      </c>
      <c r="G7" s="37">
        <f>IF(2218501.69139="","-",(2294411.91883-2218501.69139)/2218501.69139*100)</f>
        <v>3.4216889594723985</v>
      </c>
    </row>
    <row r="8" spans="1:7" ht="16.5" customHeight="1">
      <c r="A8" s="46" t="s">
        <v>150</v>
      </c>
      <c r="B8" s="35"/>
      <c r="C8" s="35"/>
      <c r="D8" s="35"/>
      <c r="E8" s="35"/>
      <c r="F8" s="35"/>
      <c r="G8" s="35"/>
    </row>
    <row r="9" spans="1:7" ht="15.75">
      <c r="A9" s="49" t="s">
        <v>202</v>
      </c>
      <c r="B9" s="39">
        <f>IF(512344.16281="","-",512344.16281)</f>
        <v>512344.16281</v>
      </c>
      <c r="C9" s="39">
        <f>IF(488645.3664="","-",512344.16281/488645.3664*100)</f>
        <v>104.84989688628306</v>
      </c>
      <c r="D9" s="39">
        <f>IF(488645.3664="","-",488645.3664/2218501.69139*100)</f>
        <v>22.0259181363905</v>
      </c>
      <c r="E9" s="39">
        <f>IF(512344.16281="","-",512344.16281/2294411.91883*100)</f>
        <v>22.330086354819063</v>
      </c>
      <c r="F9" s="39">
        <f>IF(1919782.20123="","-",(488645.3664-452555.79602)/1919782.20123*100)</f>
        <v>1.8798783714567977</v>
      </c>
      <c r="G9" s="39">
        <f>IF(2218501.69139="","-",(512344.16281-488645.3664)/2218501.69139*100)</f>
        <v>1.068234317872057</v>
      </c>
    </row>
    <row r="10" spans="1:7" ht="13.5" customHeight="1">
      <c r="A10" s="40" t="s">
        <v>24</v>
      </c>
      <c r="B10" s="41">
        <f>IF(8973.40312="","-",8973.40312)</f>
        <v>8973.40312</v>
      </c>
      <c r="C10" s="41">
        <f>IF(OR(10442.50038="",8973.40312=""),"-",8973.40312/10442.50038*100)</f>
        <v>85.93155655695558</v>
      </c>
      <c r="D10" s="41">
        <f>IF(10442.50038="","-",10442.50038/2218501.69139*100)</f>
        <v>0.4707005823131585</v>
      </c>
      <c r="E10" s="41">
        <f>IF(8973.40312="","-",8973.40312/2294411.91883*100)</f>
        <v>0.39109817406178093</v>
      </c>
      <c r="F10" s="41">
        <f>IF(OR(1919782.20123="",6594.42795="",10442.50038=""),"-",(10442.50038-6594.42795)/1919782.20123*100)</f>
        <v>0.20044317670694875</v>
      </c>
      <c r="G10" s="41">
        <f>IF(OR(2218501.69139="",8973.40312="",10442.50038=""),"-",(8973.40312-10442.50038)/2218501.69139*100)</f>
        <v>-0.06622024520880745</v>
      </c>
    </row>
    <row r="11" spans="1:10" ht="13.5" customHeight="1">
      <c r="A11" s="40" t="s">
        <v>203</v>
      </c>
      <c r="B11" s="41">
        <f>IF(6496.35073="","-",6496.35073)</f>
        <v>6496.35073</v>
      </c>
      <c r="C11" s="41">
        <f>IF(OR(6830.71074="",6496.35073=""),"-",6496.35073/6830.71074*100)</f>
        <v>95.10504802901374</v>
      </c>
      <c r="D11" s="41">
        <f>IF(6830.71074="","-",6830.71074/2218501.69139*100)</f>
        <v>0.30789747722573185</v>
      </c>
      <c r="E11" s="41">
        <f>IF(6496.35073="","-",6496.35073/2294411.91883*100)</f>
        <v>0.2831379438314945</v>
      </c>
      <c r="F11" s="41">
        <f>IF(OR(1919782.20123="",9124.34067="",6830.71074=""),"-",(6830.71074-9124.34067)/1919782.20123*100)</f>
        <v>-0.11947344487986584</v>
      </c>
      <c r="G11" s="41">
        <f>IF(OR(2218501.69139="",6496.35073="",6830.71074=""),"-",(6496.35073-6830.71074)/2218501.69139*100)</f>
        <v>-0.015071433630077938</v>
      </c>
      <c r="J11" s="15"/>
    </row>
    <row r="12" spans="1:10" s="9" customFormat="1" ht="13.5" customHeight="1">
      <c r="A12" s="40" t="s">
        <v>204</v>
      </c>
      <c r="B12" s="41">
        <f>IF(13640.13732="","-",13640.13732)</f>
        <v>13640.13732</v>
      </c>
      <c r="C12" s="41">
        <f>IF(OR(18532.98918="",13640.13732=""),"-",13640.13732/18532.98918*100)</f>
        <v>73.59922993275066</v>
      </c>
      <c r="D12" s="41">
        <f>IF(18532.98918="","-",18532.98918/2218501.69139*100)</f>
        <v>0.8353831440348453</v>
      </c>
      <c r="E12" s="41">
        <f>IF(13640.13732="","-",13640.13732/2294411.91883*100)</f>
        <v>0.5944938312103774</v>
      </c>
      <c r="F12" s="41">
        <f>IF(OR(1919782.20123="",17953.15985="",18532.98918=""),"-",(18532.98918-17953.15985)/1919782.20123*100)</f>
        <v>0.030202870389594464</v>
      </c>
      <c r="G12" s="41">
        <f>IF(OR(2218501.69139="",13640.13732="",18532.98918=""),"-",(13640.13732-18532.98918)/2218501.69139*100)</f>
        <v>-0.22054758303719793</v>
      </c>
      <c r="J12" s="15"/>
    </row>
    <row r="13" spans="1:10" s="9" customFormat="1" ht="14.25" customHeight="1">
      <c r="A13" s="40" t="s">
        <v>205</v>
      </c>
      <c r="B13" s="41">
        <f>IF(21.87227="","-",21.87227)</f>
        <v>21.87227</v>
      </c>
      <c r="C13" s="41" t="s">
        <v>105</v>
      </c>
      <c r="D13" s="41">
        <f>IF(12.30933="","-",12.30933/2218501.69139*100)</f>
        <v>0.0005548487994294745</v>
      </c>
      <c r="E13" s="41">
        <f>IF(21.87227="","-",21.87227/2294411.91883*100)</f>
        <v>0.000953284361038075</v>
      </c>
      <c r="F13" s="41">
        <f>IF(OR(1919782.20123="",22.46736="",12.30933=""),"-",(12.30933-22.46736)/1919782.20123*100)</f>
        <v>-0.0005291240846743851</v>
      </c>
      <c r="G13" s="41">
        <f>IF(OR(2218501.69139="",21.87227="",12.30933=""),"-",(21.87227-12.30933)/2218501.69139*100)</f>
        <v>0.0004310539873426173</v>
      </c>
      <c r="J13" s="15"/>
    </row>
    <row r="14" spans="1:10" s="9" customFormat="1" ht="15.75">
      <c r="A14" s="40" t="s">
        <v>206</v>
      </c>
      <c r="B14" s="41">
        <f>IF(212706.52148="","-",212706.52148)</f>
        <v>212706.52148</v>
      </c>
      <c r="C14" s="41">
        <f>IF(OR(186830.16356="",212706.52148=""),"-",212706.52148/186830.16356*100)</f>
        <v>113.85020353615967</v>
      </c>
      <c r="D14" s="41">
        <f>IF(186830.16356="","-",186830.16356/2218501.69139*100)</f>
        <v>8.421456890706347</v>
      </c>
      <c r="E14" s="41">
        <f>IF(212706.52148="","-",212706.52148/2294411.91883*100)</f>
        <v>9.27063356559211</v>
      </c>
      <c r="F14" s="41">
        <f>IF(OR(1919782.20123="",161347.60573="",186830.16356=""),"-",(186830.16356-161347.60573)/1919782.20123*100)</f>
        <v>1.3273671260038435</v>
      </c>
      <c r="G14" s="41">
        <f>IF(OR(2218501.69139="",212706.52148="",186830.16356=""),"-",(212706.52148-186830.16356)/2218501.69139*100)</f>
        <v>1.1663889200727724</v>
      </c>
      <c r="J14" s="15"/>
    </row>
    <row r="15" spans="1:10" s="9" customFormat="1" ht="15.75">
      <c r="A15" s="40" t="s">
        <v>207</v>
      </c>
      <c r="B15" s="41">
        <f>IF(225091.68595="","-",225091.68595)</f>
        <v>225091.68595</v>
      </c>
      <c r="C15" s="41">
        <f>IF(OR(213203.34183="",225091.68595=""),"-",225091.68595/213203.34183*100)</f>
        <v>105.5760589951162</v>
      </c>
      <c r="D15" s="41">
        <f>IF(213203.34183="","-",213203.34183/2218501.69139*100)</f>
        <v>9.61024022011981</v>
      </c>
      <c r="E15" s="41">
        <f>IF(225091.68595="","-",225091.68595/2294411.91883*100)</f>
        <v>9.810430468160316</v>
      </c>
      <c r="F15" s="41">
        <f>IF(OR(1919782.20123="",199714.13426="",213203.34183=""),"-",(213203.34183-199714.13426)/1919782.20123*100)</f>
        <v>0.7026425998406223</v>
      </c>
      <c r="G15" s="41">
        <f>IF(OR(2218501.69139="",225091.68595="",213203.34183=""),"-",(225091.68595-213203.34183)/2218501.69139*100)</f>
        <v>0.5358726642462641</v>
      </c>
      <c r="J15" s="15"/>
    </row>
    <row r="16" spans="1:10" s="9" customFormat="1" ht="15" customHeight="1">
      <c r="A16" s="40" t="s">
        <v>208</v>
      </c>
      <c r="B16" s="41">
        <f>IF(16519.4187="","-",16519.4187)</f>
        <v>16519.4187</v>
      </c>
      <c r="C16" s="41">
        <f>IF(OR(26262.51923="",16519.4187=""),"-",16519.4187/26262.51923*100)</f>
        <v>62.901119863358964</v>
      </c>
      <c r="D16" s="41">
        <f>IF(26262.51923="","-",26262.51923/2218501.69139*100)</f>
        <v>1.1837953214967012</v>
      </c>
      <c r="E16" s="41">
        <f>IF(16519.4187="","-",16519.4187/2294411.91883*100)</f>
        <v>0.7199848712616443</v>
      </c>
      <c r="F16" s="41">
        <f>IF(OR(1919782.20123="",36772.27512="",26262.51923=""),"-",(26262.51923-36772.27512)/1919782.20123*100)</f>
        <v>-0.54744521973724</v>
      </c>
      <c r="G16" s="41">
        <f>IF(OR(2218501.69139="",16519.4187="",26262.51923=""),"-",(16519.4187-26262.51923)/2218501.69139*100)</f>
        <v>-0.4391748073852256</v>
      </c>
      <c r="J16" s="15"/>
    </row>
    <row r="17" spans="1:10" s="9" customFormat="1" ht="25.5">
      <c r="A17" s="40" t="s">
        <v>209</v>
      </c>
      <c r="B17" s="41">
        <f>IF(8198.41356="","-",8198.41356)</f>
        <v>8198.41356</v>
      </c>
      <c r="C17" s="41">
        <f>IF(OR(9125.19027="",8198.41356=""),"-",8198.41356/9125.19027*100)</f>
        <v>89.84375467712852</v>
      </c>
      <c r="D17" s="41">
        <f>IF(9125.19027="","-",9125.19027/2218501.69139*100)</f>
        <v>0.41132221379027306</v>
      </c>
      <c r="E17" s="41">
        <f>IF(8198.41356="","-",8198.41356/2294411.91883*100)</f>
        <v>0.35732091054428694</v>
      </c>
      <c r="F17" s="41">
        <f>IF(OR(1919782.20123="",7887.23479="",9125.19027=""),"-",(9125.19027-7887.23479)/1919782.20123*100)</f>
        <v>0.06448416279757378</v>
      </c>
      <c r="G17" s="41">
        <f>IF(OR(2218501.69139="",8198.41356="",9125.19027=""),"-",(8198.41356-9125.19027)/2218501.69139*100)</f>
        <v>-0.04177489310000604</v>
      </c>
      <c r="J17" s="15"/>
    </row>
    <row r="18" spans="1:10" s="9" customFormat="1" ht="25.5">
      <c r="A18" s="40" t="s">
        <v>210</v>
      </c>
      <c r="B18" s="41">
        <f>IF(18336.04362="","-",18336.04362)</f>
        <v>18336.04362</v>
      </c>
      <c r="C18" s="41">
        <f>IF(OR(15235.94253="",18336.04362=""),"-",18336.04362/15235.94253*100)</f>
        <v>120.34728789437092</v>
      </c>
      <c r="D18" s="41">
        <f>IF(15235.94253="","-",15235.94253/2218501.69139*100)</f>
        <v>0.6867672262379001</v>
      </c>
      <c r="E18" s="41">
        <f>IF(18336.04362="","-",18336.04362/2294411.91883*100)</f>
        <v>0.7991609296272391</v>
      </c>
      <c r="F18" s="41">
        <f>IF(OR(1919782.20123="",10735.99864="",15235.94253=""),"-",(15235.94253-10735.99864)/1919782.20123*100)</f>
        <v>0.23439866705279883</v>
      </c>
      <c r="G18" s="41">
        <f>IF(OR(2218501.69139="",18336.04362="",15235.94253=""),"-",(18336.04362-15235.94253)/2218501.69139*100)</f>
        <v>0.13973850468681118</v>
      </c>
      <c r="J18" s="15"/>
    </row>
    <row r="19" spans="1:10" s="9" customFormat="1" ht="15.75" customHeight="1">
      <c r="A19" s="40" t="s">
        <v>211</v>
      </c>
      <c r="B19" s="41">
        <f>IF(2360.31606="","-",2360.31606)</f>
        <v>2360.31606</v>
      </c>
      <c r="C19" s="41">
        <f>IF(OR(2169.69935="",2360.31606=""),"-",2360.31606/2169.69935*100)</f>
        <v>108.78539738696978</v>
      </c>
      <c r="D19" s="41">
        <f>IF(2169.69935="","-",2169.69935/2218501.69139*100)</f>
        <v>0.09780021166630606</v>
      </c>
      <c r="E19" s="41">
        <f>IF(2360.31606="","-",2360.31606/2294411.91883*100)</f>
        <v>0.10287237616877475</v>
      </c>
      <c r="F19" s="41">
        <f>IF(OR(1919782.20123="",2404.15165="",2169.69935=""),"-",(2169.69935-2404.15165)/1919782.20123*100)</f>
        <v>-0.012212442632804224</v>
      </c>
      <c r="G19" s="41">
        <f>IF(OR(2218501.69139="",2360.31606="",2169.69935=""),"-",(2360.31606-2169.69935)/2218501.69139*100)</f>
        <v>0.008592137240182565</v>
      </c>
      <c r="J19" s="15"/>
    </row>
    <row r="20" spans="1:10" s="9" customFormat="1" ht="15.75">
      <c r="A20" s="49" t="s">
        <v>212</v>
      </c>
      <c r="B20" s="39">
        <f>IF(179225.31989="","-",179225.31989)</f>
        <v>179225.31989</v>
      </c>
      <c r="C20" s="39">
        <f>IF(181333.66468="","-",179225.31989/181333.66468*100)</f>
        <v>98.83731198301177</v>
      </c>
      <c r="D20" s="39">
        <f>IF(181333.66468="","-",181333.66468/2218501.69139*100)</f>
        <v>8.173699636279546</v>
      </c>
      <c r="E20" s="39">
        <f>IF(179225.31989="","-",179225.31989/2294411.91883*100)</f>
        <v>7.8113837545523745</v>
      </c>
      <c r="F20" s="39">
        <f>IF(1919782.20123="","-",(181333.66468-160570.21539)/1919782.20123*100)</f>
        <v>1.081552338421353</v>
      </c>
      <c r="G20" s="39">
        <f>IF(2218501.69139="","-",(179225.31989-181333.66468)/2218501.69139*100)</f>
        <v>-0.09503462621563262</v>
      </c>
      <c r="J20" s="15"/>
    </row>
    <row r="21" spans="1:7" s="9" customFormat="1" ht="15.75">
      <c r="A21" s="40" t="s">
        <v>213</v>
      </c>
      <c r="B21" s="41">
        <f>IF(159397.28249="","-",159397.28249)</f>
        <v>159397.28249</v>
      </c>
      <c r="C21" s="41">
        <f>IF(OR(162661.55111="",159397.28249=""),"-",159397.28249/162661.55111*100)</f>
        <v>97.99321437812154</v>
      </c>
      <c r="D21" s="41">
        <f>IF(162661.55111="","-",162661.55111/2218501.69139*100)</f>
        <v>7.332045395380546</v>
      </c>
      <c r="E21" s="41">
        <f>IF(159397.28249="","-",159397.28249/2294411.91883*100)</f>
        <v>6.94719553981755</v>
      </c>
      <c r="F21" s="41">
        <f>IF(OR(1919782.20123="",145231.77091="",162661.55111=""),"-",(162661.55111-145231.77091)/1919782.20123*100)</f>
        <v>0.907904041866457</v>
      </c>
      <c r="G21" s="41">
        <f>IF(OR(2218501.69139="",159397.28249="",162661.55111=""),"-",(159397.28249-162661.55111)/2218501.69139*100)</f>
        <v>-0.1471384327840996</v>
      </c>
    </row>
    <row r="22" spans="1:7" s="9" customFormat="1" ht="15.75">
      <c r="A22" s="40" t="s">
        <v>214</v>
      </c>
      <c r="B22" s="41">
        <f>IF(19828.0374="","-",19828.0374)</f>
        <v>19828.0374</v>
      </c>
      <c r="C22" s="41">
        <f>IF(OR(18672.11357="",19828.0374=""),"-",19828.0374/18672.11357*100)</f>
        <v>106.19064266970395</v>
      </c>
      <c r="D22" s="41">
        <f>IF(18672.11357="","-",18672.11357/2218501.69139*100)</f>
        <v>0.8416542408990011</v>
      </c>
      <c r="E22" s="41">
        <f>IF(19828.0374="","-",19828.0374/2294411.91883*100)</f>
        <v>0.8641882147348243</v>
      </c>
      <c r="F22" s="41">
        <f>IF(OR(1919782.20123="",15338.44448="",18672.11357=""),"-",(18672.11357-15338.44448)/1919782.20123*100)</f>
        <v>0.17364829655489708</v>
      </c>
      <c r="G22" s="41">
        <f>IF(OR(2218501.69139="",19828.0374="",18672.11357=""),"-",(19828.0374-18672.11357)/2218501.69139*100)</f>
        <v>0.052103806568466346</v>
      </c>
    </row>
    <row r="23" spans="1:7" s="9" customFormat="1" ht="25.5">
      <c r="A23" s="49" t="s">
        <v>25</v>
      </c>
      <c r="B23" s="39">
        <f>IF(242307.48962="","-",242307.48962)</f>
        <v>242307.48962</v>
      </c>
      <c r="C23" s="39">
        <f>IF(220576.68344="","-",242307.48962/220576.68344*100)</f>
        <v>109.85181472542682</v>
      </c>
      <c r="D23" s="39">
        <f>IF(220576.68344="","-",220576.68344/2218501.69139*100)</f>
        <v>9.942597037273291</v>
      </c>
      <c r="E23" s="39">
        <f>IF(242307.48962="","-",242307.48962/2294411.91883*100)</f>
        <v>10.560766688466341</v>
      </c>
      <c r="F23" s="39">
        <f>IF(1919782.20123="","-",(220576.68344-211696.85119)/1919782.20123*100)</f>
        <v>0.4625437325291754</v>
      </c>
      <c r="G23" s="39">
        <f>IF(2218501.69139="","-",(242307.48962-220576.68344)/2218501.69139*100)</f>
        <v>0.9795262390079406</v>
      </c>
    </row>
    <row r="24" spans="1:7" s="9" customFormat="1" ht="15.75" customHeight="1">
      <c r="A24" s="40" t="s">
        <v>215</v>
      </c>
      <c r="B24" s="41">
        <f>IF(1315.67343="","-",1315.67343)</f>
        <v>1315.67343</v>
      </c>
      <c r="C24" s="41">
        <f>IF(OR(2592.93928="",1315.67343=""),"-",1315.67343/2592.93928*100)</f>
        <v>50.740618577076745</v>
      </c>
      <c r="D24" s="41">
        <f>IF(2592.93928="","-",2592.93928/2218501.69139*100)</f>
        <v>0.11687794920613277</v>
      </c>
      <c r="E24" s="41">
        <f>IF(1315.67343="","-",1315.67343/2294411.91883*100)</f>
        <v>0.05734251200503297</v>
      </c>
      <c r="F24" s="41">
        <f>IF(OR(1919782.20123="",3208.21613="",2592.93928=""),"-",(2592.93928-3208.21613)/1919782.20123*100)</f>
        <v>-0.0320493048433199</v>
      </c>
      <c r="G24" s="41">
        <f>IF(OR(2218501.69139="",1315.67343="",2592.93928=""),"-",(1315.67343-2592.93928)/2218501.69139*100)</f>
        <v>-0.05757335479873943</v>
      </c>
    </row>
    <row r="25" spans="1:8" s="9" customFormat="1" ht="15.75">
      <c r="A25" s="40" t="s">
        <v>216</v>
      </c>
      <c r="B25" s="41">
        <f>IF(212574.47742="","-",212574.47742)</f>
        <v>212574.47742</v>
      </c>
      <c r="C25" s="41">
        <f>IF(OR(187322.04544="",212574.47742=""),"-",212574.47742/187322.04544*100)</f>
        <v>113.48075818875706</v>
      </c>
      <c r="D25" s="41">
        <f>IF(187322.04544="","-",187322.04544/2218501.69139*100)</f>
        <v>8.44362869620503</v>
      </c>
      <c r="E25" s="41">
        <f>IF(212574.47742="","-",212574.47742/2294411.91883*100)</f>
        <v>9.264878537084966</v>
      </c>
      <c r="F25" s="41">
        <f>IF(OR(1919782.20123="",181620.83789="",187322.04544=""),"-",(187322.04544-181620.83789)/1919782.20123*100)</f>
        <v>0.29697158075261043</v>
      </c>
      <c r="G25" s="41">
        <f>IF(OR(2218501.69139="",212574.47742="",187322.04544=""),"-",(212574.47742-187322.04544)/2218501.69139*100)</f>
        <v>1.1382651668919008</v>
      </c>
      <c r="H25" s="7"/>
    </row>
    <row r="26" spans="1:8" s="9" customFormat="1" ht="25.5">
      <c r="A26" s="40" t="s">
        <v>255</v>
      </c>
      <c r="B26" s="41">
        <f>IF(0.74013="","-",0.74013)</f>
        <v>0.74013</v>
      </c>
      <c r="C26" s="41">
        <f>IF(OR(0.95231="",0.74013=""),"-",0.74013/0.95231*100)</f>
        <v>77.71944009828732</v>
      </c>
      <c r="D26" s="41">
        <f>IF(0.95231="","-",0.95231/2218501.69139*100)</f>
        <v>4.29258180733381E-05</v>
      </c>
      <c r="E26" s="41">
        <f>IF(0.74013="","-",0.74013/2294411.91883*100)</f>
        <v>3.225793912269327E-05</v>
      </c>
      <c r="F26" s="41">
        <f>IF(OR(1919782.20123="",0.46425="",0.95231=""),"-",(0.95231-0.46425)/1919782.20123*100)</f>
        <v>2.542267553513628E-05</v>
      </c>
      <c r="G26" s="41">
        <f>IF(OR(2218501.69139="",0.74013="",0.95231=""),"-",(0.74013-0.95231)/2218501.69139*100)</f>
        <v>-9.564112609130305E-06</v>
      </c>
      <c r="H26" s="8"/>
    </row>
    <row r="27" spans="1:8" s="9" customFormat="1" ht="15.75">
      <c r="A27" s="40" t="s">
        <v>217</v>
      </c>
      <c r="B27" s="41">
        <f>IF(853.48836="","-",853.48836)</f>
        <v>853.48836</v>
      </c>
      <c r="C27" s="41">
        <f>IF(OR(707.47807="",853.48836=""),"-",853.48836/707.47807*100)</f>
        <v>120.6381365290941</v>
      </c>
      <c r="D27" s="41">
        <f>IF(707.47807="","-",707.47807/2218501.69139*100)</f>
        <v>0.031889904467764026</v>
      </c>
      <c r="E27" s="41">
        <f>IF(853.48836="","-",853.48836/2294411.91883*100)</f>
        <v>0.0371985672230653</v>
      </c>
      <c r="F27" s="41">
        <f>IF(OR(1919782.20123="",490.61893="",707.47807=""),"-",(707.47807-490.61893)/1919782.20123*100)</f>
        <v>0.011296028260969336</v>
      </c>
      <c r="G27" s="41">
        <f>IF(OR(2218501.69139="",853.48836="",707.47807=""),"-",(853.48836-707.47807)/2218501.69139*100)</f>
        <v>0.006581482023054819</v>
      </c>
      <c r="H27" s="8"/>
    </row>
    <row r="28" spans="1:8" s="9" customFormat="1" ht="15.75">
      <c r="A28" s="40" t="s">
        <v>218</v>
      </c>
      <c r="B28" s="41">
        <f>IF(2254.77171="","-",2254.77171)</f>
        <v>2254.77171</v>
      </c>
      <c r="C28" s="41">
        <f>IF(OR(2743.99655="",2254.77171=""),"-",2254.77171/2743.99655*100)</f>
        <v>82.17108399790081</v>
      </c>
      <c r="D28" s="41">
        <f>IF(2743.99655="","-",2743.99655/2218501.69139*100)</f>
        <v>0.1236869262101284</v>
      </c>
      <c r="E28" s="41">
        <f>IF(2254.77171="","-",2254.77171/2294411.91883*100)</f>
        <v>0.09827231507539354</v>
      </c>
      <c r="F28" s="41">
        <f>IF(OR(1919782.20123="",2404.24266="",2743.99655=""),"-",(2743.99655-2404.24266)/1919782.20123*100)</f>
        <v>0.01769752265555543</v>
      </c>
      <c r="G28" s="41">
        <f>IF(OR(2218501.69139="",2254.77171="",2743.99655=""),"-",(2254.77171-2743.99655)/2218501.69139*100)</f>
        <v>-0.02205203817958221</v>
      </c>
      <c r="H28" s="8"/>
    </row>
    <row r="29" spans="1:8" s="9" customFormat="1" ht="38.25">
      <c r="A29" s="40" t="s">
        <v>219</v>
      </c>
      <c r="B29" s="41">
        <f>IF(319.53469="","-",319.53469)</f>
        <v>319.53469</v>
      </c>
      <c r="C29" s="41">
        <f>IF(OR(333.38182="",319.53469=""),"-",319.53469/333.38182*100)</f>
        <v>95.84646517317591</v>
      </c>
      <c r="D29" s="41">
        <f>IF(333.38182="","-",333.38182/2218501.69139*100)</f>
        <v>0.015027341258916057</v>
      </c>
      <c r="E29" s="41">
        <f>IF(319.53469="","-",319.53469/2294411.91883*100)</f>
        <v>0.013926648801708711</v>
      </c>
      <c r="F29" s="41">
        <f>IF(OR(1919782.20123="",346.30044="",333.38182=""),"-",(333.38182-346.30044)/1919782.20123*100)</f>
        <v>-0.0006729211257257748</v>
      </c>
      <c r="G29" s="41">
        <f>IF(OR(2218501.69139="",319.53469="",333.38182=""),"-",(319.53469-333.38182)/2218501.69139*100)</f>
        <v>-0.0006241658527347837</v>
      </c>
      <c r="H29" s="8"/>
    </row>
    <row r="30" spans="1:7" s="9" customFormat="1" ht="27" customHeight="1">
      <c r="A30" s="40" t="s">
        <v>220</v>
      </c>
      <c r="B30" s="41">
        <f>IF(8131.93347="","-",8131.93347)</f>
        <v>8131.93347</v>
      </c>
      <c r="C30" s="41">
        <f>IF(OR(9564.63923="",8131.93347=""),"-",8131.93347/9564.63923*100)</f>
        <v>85.02080710471293</v>
      </c>
      <c r="D30" s="41">
        <f>IF(9564.63923="","-",9564.63923/2218501.69139*100)</f>
        <v>0.4311305809285765</v>
      </c>
      <c r="E30" s="41">
        <f>IF(8131.93347="","-",8131.93347/2294411.91883*100)</f>
        <v>0.3544234321336142</v>
      </c>
      <c r="F30" s="41">
        <f>IF(OR(1919782.20123="",8929.22246="",9564.63923=""),"-",(9564.63923-8929.22246)/1919782.20123*100)</f>
        <v>0.033098378013552254</v>
      </c>
      <c r="G30" s="41">
        <f>IF(OR(2218501.69139="",8131.93347="",9564.63923=""),"-",(8131.93347-9564.63923)/2218501.69139*100)</f>
        <v>-0.06457988134786323</v>
      </c>
    </row>
    <row r="31" spans="1:7" s="9" customFormat="1" ht="25.5">
      <c r="A31" s="40" t="s">
        <v>221</v>
      </c>
      <c r="B31" s="41">
        <f>IF(13949.70818="","-",13949.70818)</f>
        <v>13949.70818</v>
      </c>
      <c r="C31" s="41">
        <f>IF(OR(14280.02472="",13949.70818=""),"-",13949.70818/14280.02472*100)</f>
        <v>97.68686296783946</v>
      </c>
      <c r="D31" s="41">
        <f>IF(14280.02472="","-",14280.02472/2218501.69139*100)</f>
        <v>0.6436787844436064</v>
      </c>
      <c r="E31" s="41">
        <f>IF(13949.70818="","-",13949.70818/2294411.91883*100)</f>
        <v>0.6079862149214008</v>
      </c>
      <c r="F31" s="41">
        <f>IF(OR(1919782.20123="",12878.15635="",14280.02472=""),"-",(14280.02472-12878.15635)/1919782.20123*100)</f>
        <v>0.07302226102012126</v>
      </c>
      <c r="G31" s="41">
        <f>IF(OR(2218501.69139="",13949.70818="",14280.02472=""),"-",(13949.70818-14280.02472)/2218501.69139*100)</f>
        <v>-0.014889172331125893</v>
      </c>
    </row>
    <row r="32" spans="1:7" s="9" customFormat="1" ht="25.5">
      <c r="A32" s="40" t="s">
        <v>222</v>
      </c>
      <c r="B32" s="41">
        <f>IF(2907.16223="","-",2907.16223)</f>
        <v>2907.16223</v>
      </c>
      <c r="C32" s="41">
        <f>IF(OR(3031.22602="",2907.16223=""),"-",2907.16223/3031.22602*100)</f>
        <v>95.90714155983656</v>
      </c>
      <c r="D32" s="41">
        <f>IF(3031.22602="","-",3031.22602/2218501.69139*100)</f>
        <v>0.13663392873506391</v>
      </c>
      <c r="E32" s="41">
        <f>IF(2907.16223="","-",2907.16223/2294411.91883*100)</f>
        <v>0.12670620328203588</v>
      </c>
      <c r="F32" s="41">
        <f>IF(OR(1919782.20123="",1818.79208="",3031.22602=""),"-",(3031.22602-1818.79208)/1919782.20123*100)</f>
        <v>0.06315476511987644</v>
      </c>
      <c r="G32" s="41">
        <f>IF(OR(2218501.69139="",2907.16223="",3031.22602=""),"-",(2907.16223-3031.22602)/2218501.69139*100)</f>
        <v>-0.005592233284359956</v>
      </c>
    </row>
    <row r="33" spans="1:7" s="9" customFormat="1" ht="25.5">
      <c r="A33" s="49" t="s">
        <v>223</v>
      </c>
      <c r="B33" s="39">
        <f>IF(8978.75904="","-",8978.75904)</f>
        <v>8978.75904</v>
      </c>
      <c r="C33" s="39">
        <f>IF(15865.36767="","-",8978.75904/15865.36767*100)</f>
        <v>56.59345075864858</v>
      </c>
      <c r="D33" s="39">
        <f>IF(15865.36767="","-",15865.36767/2218501.69139*100)</f>
        <v>0.7151388584274448</v>
      </c>
      <c r="E33" s="39">
        <f>IF(8978.75904="","-",8978.75904/2294411.91883*100)</f>
        <v>0.3913316072982475</v>
      </c>
      <c r="F33" s="39">
        <f>IF(1919782.20123="","-",(15865.36767-13738.10666)/1919782.20123*100)</f>
        <v>0.11080741391586342</v>
      </c>
      <c r="G33" s="39">
        <f>IF(2218501.69139="","-",(8978.75904-15865.36767)/2218501.69139*100)</f>
        <v>-0.3104171007273473</v>
      </c>
    </row>
    <row r="34" spans="1:7" s="9" customFormat="1" ht="15.75">
      <c r="A34" s="40" t="s">
        <v>256</v>
      </c>
      <c r="B34" s="41">
        <f>IF(3.98403="","-",3.98403)</f>
        <v>3.98403</v>
      </c>
      <c r="C34" s="41">
        <f>IF(OR(18.25726="",3.98403=""),"-",3.98403/18.25726*100)</f>
        <v>21.8216205498525</v>
      </c>
      <c r="D34" s="41">
        <f>IF(18.25726="","-",18.25726/2218501.69139*100)</f>
        <v>0.0008229545224534372</v>
      </c>
      <c r="E34" s="41">
        <f>IF(3.98403="","-",3.98403/2294411.91883*100)</f>
        <v>0.00017364057287636456</v>
      </c>
      <c r="F34" s="41">
        <f>IF(OR(1919782.20123="",7.71163="",18.25726=""),"-",(18.25726-7.71163)/1919782.20123*100)</f>
        <v>0.0005493138749407844</v>
      </c>
      <c r="G34" s="41">
        <f>IF(OR(2218501.69139="",3.98403="",18.25726=""),"-",(3.98403-18.25726)/2218501.69139*100)</f>
        <v>-0.0006433725092657973</v>
      </c>
    </row>
    <row r="35" spans="1:7" s="9" customFormat="1" ht="25.5">
      <c r="A35" s="40" t="s">
        <v>224</v>
      </c>
      <c r="B35" s="41">
        <f>IF(8942.0939="","-",8942.0939)</f>
        <v>8942.0939</v>
      </c>
      <c r="C35" s="41">
        <f>IF(OR(15830.86096="",8942.0939=""),"-",8942.0939/15830.86096*100)</f>
        <v>56.485202684769206</v>
      </c>
      <c r="D35" s="41">
        <f>IF(15830.86096="","-",15830.86096/2218501.69139*100)</f>
        <v>0.7135834523561346</v>
      </c>
      <c r="E35" s="41">
        <f>IF(8942.0939="","-",8942.0939/2294411.91883*100)</f>
        <v>0.38973358822856374</v>
      </c>
      <c r="F35" s="41">
        <f>IF(OR(1919782.20123="",13724.50598="",15830.86096=""),"-",(15830.86096-13724.50598)/1919782.20123*100)</f>
        <v>0.10971843465630964</v>
      </c>
      <c r="G35" s="41">
        <f>IF(OR(2218501.69139="",8942.0939="",15830.86096=""),"-",(8942.0939-15830.86096)/2218501.69139*100)</f>
        <v>-0.3105143929677985</v>
      </c>
    </row>
    <row r="36" spans="1:7" s="9" customFormat="1" ht="25.5">
      <c r="A36" s="40" t="s">
        <v>257</v>
      </c>
      <c r="B36" s="41">
        <f>IF(26.11124="","-",26.11124)</f>
        <v>26.11124</v>
      </c>
      <c r="C36" s="41" t="s">
        <v>200</v>
      </c>
      <c r="D36" s="41">
        <f>IF(9.38137="","-",9.38137/2218501.69139*100)</f>
        <v>0.0004228696347813967</v>
      </c>
      <c r="E36" s="41">
        <f>IF(26.11124="","-",26.11124/2294411.91883*100)</f>
        <v>0.001138036277867447</v>
      </c>
      <c r="F36" s="41" t="str">
        <f>IF(OR(1919782.20123="",""="",9.38137=""),"-",(9.38137-"")/1919782.20123*100)</f>
        <v>-</v>
      </c>
      <c r="G36" s="41">
        <f>IF(OR(2218501.69139="",26.11124="",9.38137=""),"-",(26.11124-9.38137)/2218501.69139*100)</f>
        <v>0.0007541067047606313</v>
      </c>
    </row>
    <row r="37" spans="1:7" s="9" customFormat="1" ht="15.75">
      <c r="A37" s="40" t="s">
        <v>225</v>
      </c>
      <c r="B37" s="41">
        <f>IF(6.56987="","-",6.56987)</f>
        <v>6.56987</v>
      </c>
      <c r="C37" s="41">
        <f>IF(OR(6.86808="",6.56987=""),"-",6.56987/6.86808*100)</f>
        <v>95.65802960943961</v>
      </c>
      <c r="D37" s="41">
        <f>IF(6.86808="","-",6.86808/2218501.69139*100)</f>
        <v>0.0003095819140753872</v>
      </c>
      <c r="E37" s="41">
        <f>IF(6.56987="","-",6.56987/2294411.91883*100)</f>
        <v>0.00028634221893992796</v>
      </c>
      <c r="F37" s="41">
        <f>IF(OR(1919782.20123="",5.88905="",6.86808=""),"-",(6.86808-5.88905)/1919782.20123*100)</f>
        <v>5.099693076499707E-05</v>
      </c>
      <c r="G37" s="41">
        <f>IF(OR(2218501.69139="",6.56987="",6.86808=""),"-",(6.56987-6.86808)/2218501.69139*100)</f>
        <v>-1.344195504368342E-05</v>
      </c>
    </row>
    <row r="38" spans="1:7" s="9" customFormat="1" ht="14.25" customHeight="1">
      <c r="A38" s="49" t="s">
        <v>226</v>
      </c>
      <c r="B38" s="39">
        <f>IF(48237.18862="","-",48237.18862)</f>
        <v>48237.18862</v>
      </c>
      <c r="C38" s="39">
        <f>IF(54891.47319="","-",48237.18862/54891.47319*100)</f>
        <v>87.87738024999435</v>
      </c>
      <c r="D38" s="39">
        <f>IF(54891.47319="","-",54891.47319/2218501.69139*100)</f>
        <v>2.474258793808167</v>
      </c>
      <c r="E38" s="39">
        <f>IF(48237.18862="","-",48237.18862/2294411.91883*100)</f>
        <v>2.102377006679682</v>
      </c>
      <c r="F38" s="39">
        <f>IF(1919782.20123="","-",(54891.47319-35178.65676)/1919782.20123*100)</f>
        <v>1.0268256689415103</v>
      </c>
      <c r="G38" s="39">
        <f>IF(2218501.69139="","-",(48237.18862-54891.47319)/2218501.69139*100)</f>
        <v>-0.29994498520444046</v>
      </c>
    </row>
    <row r="39" spans="1:7" s="9" customFormat="1" ht="15" customHeight="1">
      <c r="A39" s="40" t="s">
        <v>227</v>
      </c>
      <c r="B39" s="41">
        <f>IF(48210.7894="","-",48210.7894)</f>
        <v>48210.7894</v>
      </c>
      <c r="C39" s="41">
        <f>IF(OR(54717.71026="",48210.7894=""),"-",48210.7894/54717.71026*100)</f>
        <v>88.10819965038502</v>
      </c>
      <c r="D39" s="41">
        <f>IF(54717.71026="","-",54717.71026/2218501.69139*100)</f>
        <v>2.4664263485738736</v>
      </c>
      <c r="E39" s="41">
        <f>IF(48210.7894="","-",48210.7894/2294411.91883*100)</f>
        <v>2.101226419037448</v>
      </c>
      <c r="F39" s="41">
        <f>IF(OR(1919782.20123="",35078.15289="",54717.71026=""),"-",(54717.71026-35078.15289)/1919782.20123*100)</f>
        <v>1.0230096600237768</v>
      </c>
      <c r="G39" s="41">
        <f>IF(OR(2218501.69139="",48210.7894="",54717.71026=""),"-",(48210.7894-54717.71026)/2218501.69139*100)</f>
        <v>-0.2933024971427042</v>
      </c>
    </row>
    <row r="40" spans="1:7" s="9" customFormat="1" ht="63.75">
      <c r="A40" s="40" t="s">
        <v>228</v>
      </c>
      <c r="B40" s="41">
        <f>IF(26.39922="","-",26.39922)</f>
        <v>26.39922</v>
      </c>
      <c r="C40" s="41">
        <f>IF(OR(173.74538="",26.39922=""),"-",26.39922/173.74538*100)</f>
        <v>15.194199696130047</v>
      </c>
      <c r="D40" s="41">
        <f>IF(173.74538="","-",173.74538/2218501.69139*100)</f>
        <v>0.007831654159846055</v>
      </c>
      <c r="E40" s="41">
        <f>IF(26.39922="","-",26.39922/2294411.91883*100)</f>
        <v>0.001150587642233914</v>
      </c>
      <c r="F40" s="41">
        <f>IF(OR(1919782.20123="",100.50387="",173.74538=""),"-",(173.74538-100.50387)/1919782.20123*100)</f>
        <v>0.003815094751533499</v>
      </c>
      <c r="G40" s="41">
        <f>IF(OR(2218501.69139="",26.39922="",173.74538=""),"-",(26.39922-173.74538)/2218501.69139*100)</f>
        <v>-0.006641696987288769</v>
      </c>
    </row>
    <row r="41" spans="1:7" s="9" customFormat="1" ht="15.75" customHeight="1">
      <c r="A41" s="49" t="s">
        <v>229</v>
      </c>
      <c r="B41" s="39">
        <f>IF(116146.28878="","-",116146.28878)</f>
        <v>116146.28878</v>
      </c>
      <c r="C41" s="39">
        <f>IF(106271.32458="","-",116146.28878/106271.32458*100)</f>
        <v>109.29221898666204</v>
      </c>
      <c r="D41" s="39">
        <f>IF(106271.32458="","-",106271.32458/2218501.69139*100)</f>
        <v>4.790229594705236</v>
      </c>
      <c r="E41" s="39">
        <f>IF(116146.28878="","-",116146.28878/2294411.91883*100)</f>
        <v>5.062137614732538</v>
      </c>
      <c r="F41" s="39">
        <f>IF(1919782.20123="","-",(106271.32458-106601.95844)/1919782.20123*100)</f>
        <v>-0.017222467204257096</v>
      </c>
      <c r="G41" s="39">
        <f>IF(2218501.69139="","-",(116146.28878-106271.32458)/2218501.69139*100)</f>
        <v>0.44511862390390394</v>
      </c>
    </row>
    <row r="42" spans="1:7" s="9" customFormat="1" ht="15.75">
      <c r="A42" s="40" t="s">
        <v>26</v>
      </c>
      <c r="B42" s="41">
        <f>IF(19697.27207="","-",19697.27207)</f>
        <v>19697.27207</v>
      </c>
      <c r="C42" s="41">
        <f>IF(OR(21541.39057="",19697.27207=""),"-",19697.27207/21541.39057*100)</f>
        <v>91.43918544159241</v>
      </c>
      <c r="D42" s="41">
        <f>IF(21541.39057="","-",21541.39057/2218501.69139*100)</f>
        <v>0.9709882419112904</v>
      </c>
      <c r="E42" s="41">
        <f>IF(19697.27207="","-",19697.27207/2294411.91883*100)</f>
        <v>0.8584889185915805</v>
      </c>
      <c r="F42" s="41">
        <f>IF(OR(1919782.20123="",18829.96789="",21541.39057=""),"-",(21541.39057-18829.96789)/1919782.20123*100)</f>
        <v>0.14123595261289523</v>
      </c>
      <c r="G42" s="41">
        <f>IF(OR(2218501.69139="",19697.27207="",21541.39057=""),"-",(19697.27207-21541.39057)/2218501.69139*100)</f>
        <v>-0.08312450277396768</v>
      </c>
    </row>
    <row r="43" spans="1:7" s="9" customFormat="1" ht="15.75">
      <c r="A43" s="40" t="s">
        <v>27</v>
      </c>
      <c r="B43" s="41">
        <f>IF(1120.46353="","-",1120.46353)</f>
        <v>1120.46353</v>
      </c>
      <c r="C43" s="41">
        <f>IF(OR(925.08409="",1120.46353=""),"-",1120.46353/925.08409*100)</f>
        <v>121.12018162586713</v>
      </c>
      <c r="D43" s="41">
        <f>IF(925.08409="","-",925.08409/2218501.69139*100)</f>
        <v>0.04169859746288449</v>
      </c>
      <c r="E43" s="41">
        <f>IF(1120.46353="","-",1120.46353/2294411.91883*100)</f>
        <v>0.04883445386612893</v>
      </c>
      <c r="F43" s="41">
        <f>IF(OR(1919782.20123="",975.37537="",925.08409=""),"-",(925.08409-975.37537)/1919782.20123*100)</f>
        <v>-0.002619634663128897</v>
      </c>
      <c r="G43" s="41">
        <f>IF(OR(2218501.69139="",1120.46353="",925.08409=""),"-",(1120.46353-925.08409)/2218501.69139*100)</f>
        <v>0.008806819519600422</v>
      </c>
    </row>
    <row r="44" spans="1:7" s="9" customFormat="1" ht="15.75">
      <c r="A44" s="40" t="s">
        <v>230</v>
      </c>
      <c r="B44" s="41">
        <f>IF(728.78234="","-",728.78234)</f>
        <v>728.78234</v>
      </c>
      <c r="C44" s="41">
        <f>IF(OR(2680.16377="",728.78234=""),"-",728.78234/2680.16377*100)</f>
        <v>27.191709258871143</v>
      </c>
      <c r="D44" s="41">
        <f>IF(2680.16377="","-",2680.16377/2218501.69139*100)</f>
        <v>0.12080963383538132</v>
      </c>
      <c r="E44" s="41">
        <f>IF(728.78234="","-",728.78234/2294411.91883*100)</f>
        <v>0.031763360973631596</v>
      </c>
      <c r="F44" s="41">
        <f>IF(OR(1919782.20123="",895.06908="",2680.16377=""),"-",(2680.16377-895.06908)/1919782.20123*100)</f>
        <v>0.09298422960981167</v>
      </c>
      <c r="G44" s="41">
        <f>IF(OR(2218501.69139="",728.78234="",2680.16377=""),"-",(728.78234-2680.16377)/2218501.69139*100)</f>
        <v>-0.08795942944615762</v>
      </c>
    </row>
    <row r="45" spans="1:7" s="9" customFormat="1" ht="15.75">
      <c r="A45" s="40" t="s">
        <v>231</v>
      </c>
      <c r="B45" s="41">
        <f>IF(75872.4241="","-",75872.4241)</f>
        <v>75872.4241</v>
      </c>
      <c r="C45" s="41">
        <f>IF(OR(56286.49645="",75872.4241=""),"-",75872.4241/56286.49645*100)</f>
        <v>134.79684984017157</v>
      </c>
      <c r="D45" s="41">
        <f>IF(56286.49645="","-",56286.49645/2218501.69139*100)</f>
        <v>2.537140118867061</v>
      </c>
      <c r="E45" s="41">
        <f>IF(75872.4241="","-",75872.4241/2294411.91883*100)</f>
        <v>3.3068353366421657</v>
      </c>
      <c r="F45" s="41">
        <f>IF(OR(1919782.20123="",51017.3923="",56286.49645=""),"-",(56286.49645-51017.3923)/1919782.20123*100)</f>
        <v>0.2744636421060731</v>
      </c>
      <c r="G45" s="41">
        <f>IF(OR(2218501.69139="",75872.4241="",56286.49645=""),"-",(75872.4241-56286.49645)/2218501.69139*100)</f>
        <v>0.882844837396922</v>
      </c>
    </row>
    <row r="46" spans="1:7" s="9" customFormat="1" ht="38.25">
      <c r="A46" s="40" t="s">
        <v>232</v>
      </c>
      <c r="B46" s="41">
        <f>IF(13034.31117="","-",13034.31117)</f>
        <v>13034.31117</v>
      </c>
      <c r="C46" s="41">
        <f>IF(OR(19002.62869="",13034.31117=""),"-",13034.31117/19002.62869*100)</f>
        <v>68.59214786877995</v>
      </c>
      <c r="D46" s="41">
        <f>IF(19002.62869="","-",19002.62869/2218501.69139*100)</f>
        <v>0.8565523643163835</v>
      </c>
      <c r="E46" s="41">
        <f>IF(13034.31117="","-",13034.31117/2294411.91883*100)</f>
        <v>0.5680894116278234</v>
      </c>
      <c r="F46" s="41">
        <f>IF(OR(1919782.20123="",25095.50936="",19002.62869=""),"-",(19002.62869-25095.50936)/1919782.20123*100)</f>
        <v>-0.31737353675309127</v>
      </c>
      <c r="G46" s="41">
        <f>IF(OR(2218501.69139="",13034.31117="",19002.62869=""),"-",(13034.31117-19002.62869)/2218501.69139*100)</f>
        <v>-0.2690247000109591</v>
      </c>
    </row>
    <row r="47" spans="1:7" ht="15.75">
      <c r="A47" s="40" t="s">
        <v>234</v>
      </c>
      <c r="B47" s="41">
        <f>IF(45.5386="","-",45.5386)</f>
        <v>45.5386</v>
      </c>
      <c r="C47" s="41">
        <f>IF(OR(36.52661="",45.5386=""),"-",45.5386/36.52661*100)</f>
        <v>124.67239637075546</v>
      </c>
      <c r="D47" s="41">
        <f>IF(36.52661="","-",36.52661/2218501.69139*100)</f>
        <v>0.0016464540073041047</v>
      </c>
      <c r="E47" s="41">
        <f>IF(45.5386="","-",45.5386/2294411.91883*100)</f>
        <v>0.001984761307517166</v>
      </c>
      <c r="F47" s="41">
        <f>IF(OR(1919782.20123="",50.4="",36.52661=""),"-",(36.52661-50.4)/1919782.20123*100)</f>
        <v>-0.0007226543714756472</v>
      </c>
      <c r="G47" s="41">
        <f>IF(OR(2218501.69139="",45.5386="",36.52661=""),"-",(45.5386-36.52661)/2218501.69139*100)</f>
        <v>0.00040621965874425596</v>
      </c>
    </row>
    <row r="48" spans="1:7" ht="15.75">
      <c r="A48" s="40" t="s">
        <v>28</v>
      </c>
      <c r="B48" s="41">
        <f>IF(1770.59404="","-",1770.59404)</f>
        <v>1770.59404</v>
      </c>
      <c r="C48" s="41">
        <f>IF(OR(1979.07366="",1770.59404=""),"-",1770.59404/1979.07366*100)</f>
        <v>89.46579785211229</v>
      </c>
      <c r="D48" s="41">
        <f>IF(1979.07366="","-",1979.07366/2218501.69139*100)</f>
        <v>0.08920766964842897</v>
      </c>
      <c r="E48" s="41">
        <f>IF(1770.59404="","-",1770.59404/2294411.91883*100)</f>
        <v>0.07716984145126335</v>
      </c>
      <c r="F48" s="41">
        <f>IF(OR(1919782.20123="",2993.83099="",1979.07366=""),"-",(1979.07366-2993.83099)/1919782.20123*100)</f>
        <v>-0.05285794030957507</v>
      </c>
      <c r="G48" s="41">
        <f>IF(OR(2218501.69139="",1770.59404="",1979.07366=""),"-",(1770.59404-1979.07366)/2218501.69139*100)</f>
        <v>-0.009397316252185383</v>
      </c>
    </row>
    <row r="49" spans="1:7" ht="14.25" customHeight="1">
      <c r="A49" s="40" t="s">
        <v>29</v>
      </c>
      <c r="B49" s="41">
        <f>IF(2067.44854="","-",2067.44854)</f>
        <v>2067.44854</v>
      </c>
      <c r="C49" s="41">
        <f>IF(OR(1632.52836="",2067.44854=""),"-",2067.44854/1632.52836*100)</f>
        <v>126.64089584330405</v>
      </c>
      <c r="D49" s="41">
        <f>IF(1632.52836="","-",1632.52836/2218501.69139*100)</f>
        <v>0.07358697837986056</v>
      </c>
      <c r="E49" s="41">
        <f>IF(2067.44854="","-",2067.44854/2294411.91883*100)</f>
        <v>0.09010799338308283</v>
      </c>
      <c r="F49" s="41">
        <f>IF(OR(1919782.20123="",2732.89157="",1632.52836=""),"-",(1632.52836-2732.89157)/1919782.20123*100)</f>
        <v>-0.05731708572435975</v>
      </c>
      <c r="G49" s="41">
        <f>IF(OR(2218501.69139="",2067.44854="",1632.52836=""),"-",(2067.44854-1632.52836)/2218501.69139*100)</f>
        <v>0.019604230264413325</v>
      </c>
    </row>
    <row r="50" spans="1:7" ht="15.75">
      <c r="A50" s="40" t="s">
        <v>233</v>
      </c>
      <c r="B50" s="41">
        <f>IF(1809.45439="","-",1809.45439)</f>
        <v>1809.45439</v>
      </c>
      <c r="C50" s="41">
        <f>IF(OR(2187.43238="",1809.45439=""),"-",1809.45439/2187.43238*100)</f>
        <v>82.72047202665985</v>
      </c>
      <c r="D50" s="41">
        <f>IF(2187.43238="","-",2187.43238/2218501.69139*100)</f>
        <v>0.09859953627664203</v>
      </c>
      <c r="E50" s="41">
        <f>IF(1809.45439="","-",1809.45439/2294411.91883*100)</f>
        <v>0.0788635368893439</v>
      </c>
      <c r="F50" s="41">
        <f>IF(OR(1919782.20123="",4011.52188="",2187.43238=""),"-",(2187.43238-4011.52188)/1919782.20123*100)</f>
        <v>-0.09501543971140632</v>
      </c>
      <c r="G50" s="41">
        <f>IF(OR(2218501.69139="",1809.45439="",2187.43238=""),"-",(1809.45439-2187.43238)/2218501.69139*100)</f>
        <v>-0.017037534452506022</v>
      </c>
    </row>
    <row r="51" spans="1:7" ht="25.5">
      <c r="A51" s="49" t="s">
        <v>235</v>
      </c>
      <c r="B51" s="39">
        <f>IF(147412.91523="","-",147412.91523)</f>
        <v>147412.91523</v>
      </c>
      <c r="C51" s="39">
        <f>IF(151347.95766="","-",147412.91523/151347.95766*100)</f>
        <v>97.40000295290409</v>
      </c>
      <c r="D51" s="39">
        <f>IF(151347.95766="","-",151347.95766/2218501.69139*100)</f>
        <v>6.82207988605017</v>
      </c>
      <c r="E51" s="39">
        <f>IF(147412.91523="","-",147412.91523/2294411.91883*100)</f>
        <v>6.424867044151818</v>
      </c>
      <c r="F51" s="39">
        <f>IF(1919782.20123="","-",(151347.95766-141197.11051)/1919782.20123*100)</f>
        <v>0.5287499354612394</v>
      </c>
      <c r="G51" s="39">
        <f>IF(2218501.69139="","-",(147412.91523-151347.95766)/2218501.69139*100)</f>
        <v>-0.17737387558782863</v>
      </c>
    </row>
    <row r="52" spans="1:7" ht="15.75">
      <c r="A52" s="40" t="s">
        <v>236</v>
      </c>
      <c r="B52" s="41">
        <f>IF(482.23747="","-",482.23747)</f>
        <v>482.23747</v>
      </c>
      <c r="C52" s="41">
        <f>IF(OR(1269.19595="",482.23747=""),"-",482.23747/1269.19595*100)</f>
        <v>37.995509676815466</v>
      </c>
      <c r="D52" s="41">
        <f>IF(1269.19595="","-",1269.19595/2218501.69139*100)</f>
        <v>0.05720960028679477</v>
      </c>
      <c r="E52" s="41">
        <f>IF(482.23747="","-",482.23747/2294411.91883*100)</f>
        <v>0.021017911650577092</v>
      </c>
      <c r="F52" s="41">
        <f>IF(OR(1919782.20123="",2059.40772="",1269.19595=""),"-",(1269.19595-2059.40772)/1919782.20123*100)</f>
        <v>-0.041161532255779495</v>
      </c>
      <c r="G52" s="41">
        <f>IF(OR(2218501.69139="",482.23747="",1269.19595=""),"-",(482.23747-1269.19595)/2218501.69139*100)</f>
        <v>-0.03547252107375821</v>
      </c>
    </row>
    <row r="53" spans="1:7" ht="15.75">
      <c r="A53" s="40" t="s">
        <v>30</v>
      </c>
      <c r="B53" s="41">
        <f>IF(1839.50327="","-",1839.50327)</f>
        <v>1839.50327</v>
      </c>
      <c r="C53" s="41" t="s">
        <v>107</v>
      </c>
      <c r="D53" s="41">
        <f>IF(1149.42087="","-",1149.42087/2218501.69139*100)</f>
        <v>0.05181068260893826</v>
      </c>
      <c r="E53" s="41">
        <f>IF(1839.50327="","-",1839.50327/2294411.91883*100)</f>
        <v>0.08017319187123237</v>
      </c>
      <c r="F53" s="41">
        <f>IF(OR(1919782.20123="",1943.23285="",1149.42087=""),"-",(1149.42087-1943.23285)/1919782.20123*100)</f>
        <v>-0.0413490644663445</v>
      </c>
      <c r="G53" s="41">
        <f>IF(OR(2218501.69139="",1839.50327="",1149.42087=""),"-",(1839.50327-1149.42087)/2218501.69139*100)</f>
        <v>0.03110578651700868</v>
      </c>
    </row>
    <row r="54" spans="1:7" ht="15.75">
      <c r="A54" s="40" t="s">
        <v>237</v>
      </c>
      <c r="B54" s="41">
        <f>IF(17325.07009="","-",17325.07009)</f>
        <v>17325.07009</v>
      </c>
      <c r="C54" s="41">
        <f>IF(OR(13950.49337="",17325.07009=""),"-",17325.07009/13950.49337*100)</f>
        <v>124.18965860560098</v>
      </c>
      <c r="D54" s="41">
        <f>IF(13950.49337="","-",13950.49337/2218501.69139*100)</f>
        <v>0.6288250049184922</v>
      </c>
      <c r="E54" s="41">
        <f>IF(17325.07009="","-",17325.07009/2294411.91883*100)</f>
        <v>0.7550985046675774</v>
      </c>
      <c r="F54" s="41">
        <f>IF(OR(1919782.20123="",8052.06645="",13950.49337=""),"-",(13950.49337-8052.06645)/1919782.20123*100)</f>
        <v>0.30724458827782086</v>
      </c>
      <c r="G54" s="41">
        <f>IF(OR(2218501.69139="",17325.07009="",13950.49337=""),"-",(17325.07009-13950.49337)/2218501.69139*100)</f>
        <v>0.15211062191643693</v>
      </c>
    </row>
    <row r="55" spans="1:7" ht="25.5">
      <c r="A55" s="40" t="s">
        <v>238</v>
      </c>
      <c r="B55" s="41">
        <f>IF(9000.60373="","-",9000.60373)</f>
        <v>9000.60373</v>
      </c>
      <c r="C55" s="41">
        <f>IF(OR(8049.72842="",9000.60373=""),"-",9000.60373/8049.72842*100)</f>
        <v>111.81251416678228</v>
      </c>
      <c r="D55" s="41">
        <f>IF(8049.72842="","-",8049.72842/2218501.69139*100)</f>
        <v>0.3628452685540416</v>
      </c>
      <c r="E55" s="41">
        <f>IF(9000.60373="","-",9000.60373/2294411.91883*100)</f>
        <v>0.3922836896083472</v>
      </c>
      <c r="F55" s="41">
        <f>IF(OR(1919782.20123="",5986.52562="",8049.72842=""),"-",(8049.72842-5986.52562)/1919782.20123*100)</f>
        <v>0.10747067030198065</v>
      </c>
      <c r="G55" s="41">
        <f>IF(OR(2218501.69139="",9000.60373="",8049.72842=""),"-",(9000.60373-8049.72842)/2218501.69139*100)</f>
        <v>0.042861148751445415</v>
      </c>
    </row>
    <row r="56" spans="1:7" ht="27" customHeight="1">
      <c r="A56" s="40" t="s">
        <v>278</v>
      </c>
      <c r="B56" s="41">
        <f>IF(52970.92454="","-",52970.92454)</f>
        <v>52970.92454</v>
      </c>
      <c r="C56" s="41">
        <f>IF(OR(60648.22163="",52970.92454=""),"-",52970.92454/60648.22163*100)</f>
        <v>87.3412659371328</v>
      </c>
      <c r="D56" s="41">
        <f>IF(60648.22163="","-",60648.22163/2218501.69139*100)</f>
        <v>2.7337469187143566</v>
      </c>
      <c r="E56" s="41">
        <f>IF(52970.92454="","-",52970.92454/2294411.91883*100)</f>
        <v>2.308692877040654</v>
      </c>
      <c r="F56" s="41">
        <f>IF(OR(1919782.20123="",68217.97759="",60648.22163=""),"-",(60648.22163-68217.97759)/1919782.20123*100)</f>
        <v>-0.39430285139377114</v>
      </c>
      <c r="G56" s="41">
        <f>IF(OR(2218501.69139="",52970.92454="",60648.22163=""),"-",(52970.92454-60648.22163)/2218501.69139*100)</f>
        <v>-0.3460577523918766</v>
      </c>
    </row>
    <row r="57" spans="1:7" ht="15.75">
      <c r="A57" s="40" t="s">
        <v>31</v>
      </c>
      <c r="B57" s="41">
        <f>IF(41078.57419="","-",41078.57419)</f>
        <v>41078.57419</v>
      </c>
      <c r="C57" s="41">
        <f>IF(OR(42114.72405="",41078.57419=""),"-",41078.57419/42114.72405*100)</f>
        <v>97.53969690322594</v>
      </c>
      <c r="D57" s="41">
        <f>IF(42114.72405="","-",42114.72405/2218501.69139*100)</f>
        <v>1.8983408583120378</v>
      </c>
      <c r="E57" s="41">
        <f>IF(41078.57419="","-",41078.57419/2294411.91883*100)</f>
        <v>1.7903748604543246</v>
      </c>
      <c r="F57" s="41">
        <f>IF(OR(1919782.20123="",27237.31877="",42114.72405=""),"-",(42114.72405-27237.31877)/1919782.20123*100)</f>
        <v>0.7749527665413335</v>
      </c>
      <c r="G57" s="41">
        <f>IF(OR(2218501.69139="",41078.57419="",42114.72405=""),"-",(41078.57419-42114.72405)/2218501.69139*100)</f>
        <v>-0.04670493892437824</v>
      </c>
    </row>
    <row r="58" spans="1:7" ht="15.75">
      <c r="A58" s="40" t="s">
        <v>239</v>
      </c>
      <c r="B58" s="41">
        <f>IF(3299.95605="","-",3299.95605)</f>
        <v>3299.95605</v>
      </c>
      <c r="C58" s="41">
        <f>IF(OR(2366.67947="",3299.95605=""),"-",3299.95605/2366.67947*100)</f>
        <v>139.4340083577097</v>
      </c>
      <c r="D58" s="41">
        <f>IF(2366.67947="","-",2366.67947/2218501.69139*100)</f>
        <v>0.10667918258458299</v>
      </c>
      <c r="E58" s="41">
        <f>IF(3299.95605="","-",3299.95605/2294411.91883*100)</f>
        <v>0.1438257892106297</v>
      </c>
      <c r="F58" s="41">
        <f>IF(OR(1919782.20123="",2464.9335="",2366.67947=""),"-",(2366.67947-2464.9335)/1919782.20123*100)</f>
        <v>-0.00511797796317983</v>
      </c>
      <c r="G58" s="41">
        <f>IF(OR(2218501.69139="",3299.95605="",2366.67947=""),"-",(3299.95605-2366.67947)/2218501.69139*100)</f>
        <v>0.042067877776340856</v>
      </c>
    </row>
    <row r="59" spans="1:7" ht="15.75">
      <c r="A59" s="40" t="s">
        <v>32</v>
      </c>
      <c r="B59" s="41">
        <f>IF(1384.71744="","-",1384.71744)</f>
        <v>1384.71744</v>
      </c>
      <c r="C59" s="41">
        <f>IF(OR(1937.65971="",1384.71744=""),"-",1384.71744/1937.65971*100)</f>
        <v>71.46339642888069</v>
      </c>
      <c r="D59" s="41">
        <f>IF(1937.65971="","-",1937.65971/2218501.69139*100)</f>
        <v>0.08734091650775175</v>
      </c>
      <c r="E59" s="41">
        <f>IF(1384.71744="","-",1384.71744/2294411.91883*100)</f>
        <v>0.06035173669713655</v>
      </c>
      <c r="F59" s="41">
        <f>IF(OR(1919782.20123="",2760.05832="",1937.65971=""),"-",(1937.65971-2760.05832)/1919782.20123*100)</f>
        <v>-0.042838120359335104</v>
      </c>
      <c r="G59" s="41">
        <f>IF(OR(2218501.69139="",1384.71744="",1937.65971=""),"-",(1384.71744-1937.65971)/2218501.69139*100)</f>
        <v>-0.024924131099199418</v>
      </c>
    </row>
    <row r="60" spans="1:7" ht="15.75">
      <c r="A60" s="40" t="s">
        <v>33</v>
      </c>
      <c r="B60" s="41">
        <f>IF(20031.32845="","-",20031.32845)</f>
        <v>20031.32845</v>
      </c>
      <c r="C60" s="41">
        <f>IF(OR(19861.83419="",20031.32845=""),"-",20031.32845/19861.83419*100)</f>
        <v>100.85336660440622</v>
      </c>
      <c r="D60" s="41">
        <f>IF(19861.83419="","-",19861.83419/2218501.69139*100)</f>
        <v>0.8952814535631746</v>
      </c>
      <c r="E60" s="41">
        <f>IF(20031.32845="","-",20031.32845/2294411.91883*100)</f>
        <v>0.8730484829513382</v>
      </c>
      <c r="F60" s="41">
        <f>IF(OR(1919782.20123="",22475.58969="",19861.83419=""),"-",(19861.83419-22475.58969)/1919782.20123*100)</f>
        <v>-0.13614854322148484</v>
      </c>
      <c r="G60" s="41">
        <f>IF(OR(2218501.69139="",20031.32845="",19861.83419=""),"-",(20031.32845-19861.83419)/2218501.69139*100)</f>
        <v>0.007640032940150839</v>
      </c>
    </row>
    <row r="61" spans="1:7" ht="25.5">
      <c r="A61" s="49" t="s">
        <v>240</v>
      </c>
      <c r="B61" s="39">
        <f>IF(550441.61012="","-",550441.61012)</f>
        <v>550441.61012</v>
      </c>
      <c r="C61" s="39">
        <f>IF(481438.72543="","-",550441.61012/481438.72543*100)</f>
        <v>114.33264111198567</v>
      </c>
      <c r="D61" s="39">
        <f>IF(481438.72543="","-",481438.72543/2218501.69139*100)</f>
        <v>21.70107542845077</v>
      </c>
      <c r="E61" s="39">
        <f>IF(550441.61012="","-",550441.61012/2294411.91883*100)</f>
        <v>23.990531325372874</v>
      </c>
      <c r="F61" s="39">
        <f>IF(1919782.20123="","-",(481438.72543-356138.20662)/1919782.20123*100)</f>
        <v>6.52680906874333</v>
      </c>
      <c r="G61" s="39">
        <f>IF(2218501.69139="","-",(550441.61012-481438.72543)/2218501.69139*100)</f>
        <v>3.110337258601155</v>
      </c>
    </row>
    <row r="62" spans="1:7" ht="25.5">
      <c r="A62" s="40" t="s">
        <v>241</v>
      </c>
      <c r="B62" s="41">
        <f>IF(3726.99319="","-",3726.99319)</f>
        <v>3726.99319</v>
      </c>
      <c r="C62" s="41">
        <f>IF(OR(2586.09842="",3726.99319=""),"-",3726.99319/2586.09842*100)</f>
        <v>144.11644820540127</v>
      </c>
      <c r="D62" s="41">
        <f>IF(2586.09842="","-",2586.09842/2218501.69139*100)</f>
        <v>0.1165695942462718</v>
      </c>
      <c r="E62" s="41">
        <f>IF(3726.99319="","-",3726.99319/2294411.91883*100)</f>
        <v>0.16243784123561053</v>
      </c>
      <c r="F62" s="41">
        <f>IF(OR(1919782.20123="",2671.06206="",2586.09842=""),"-",(2586.09842-2671.06206)/1919782.20123*100)</f>
        <v>-0.004425691619891277</v>
      </c>
      <c r="G62" s="41">
        <f>IF(OR(2218501.69139="",3726.99319="",2586.09842=""),"-",(3726.99319-2586.09842)/2218501.69139*100)</f>
        <v>0.05142636466890291</v>
      </c>
    </row>
    <row r="63" spans="1:7" ht="25.5">
      <c r="A63" s="40" t="s">
        <v>242</v>
      </c>
      <c r="B63" s="41">
        <f>IF(11752.61988="","-",11752.61988)</f>
        <v>11752.61988</v>
      </c>
      <c r="C63" s="41">
        <f>IF(OR(11508.53035="",11752.61988=""),"-",11752.61988/11508.53035*100)</f>
        <v>102.12094440016834</v>
      </c>
      <c r="D63" s="41">
        <f>IF(11508.53035="","-",11508.53035/2218501.69139*100)</f>
        <v>0.5187523811527655</v>
      </c>
      <c r="E63" s="41">
        <f>IF(11752.61988="","-",11752.61988/2294411.91883*100)</f>
        <v>0.51222798241011</v>
      </c>
      <c r="F63" s="41">
        <f>IF(OR(1919782.20123="",8167.63461="",11508.53035=""),"-",(11508.53035-8167.63461)/1919782.20123*100)</f>
        <v>0.17402472727684926</v>
      </c>
      <c r="G63" s="41">
        <f>IF(OR(2218501.69139="",11752.61988="",11508.53035=""),"-",(11752.61988-11508.53035)/2218501.69139*100)</f>
        <v>0.011002449578799521</v>
      </c>
    </row>
    <row r="64" spans="1:7" ht="25.5">
      <c r="A64" s="40" t="s">
        <v>243</v>
      </c>
      <c r="B64" s="41">
        <f>IF(2289.67656="","-",2289.67656)</f>
        <v>2289.67656</v>
      </c>
      <c r="C64" s="41">
        <f>IF(OR(1852.85258="",2289.67656=""),"-",2289.67656/1852.85258*100)</f>
        <v>123.5757547424523</v>
      </c>
      <c r="D64" s="41">
        <f>IF(1852.85258="","-",1852.85258/2218501.69139*100)</f>
        <v>0.08351819550965035</v>
      </c>
      <c r="E64" s="41">
        <f>IF(2289.67656="","-",2289.67656/2294411.91883*100)</f>
        <v>0.09979361339648136</v>
      </c>
      <c r="F64" s="41">
        <f>IF(OR(1919782.20123="",1274.42215="",1852.85258=""),"-",(1852.85258-1274.42215)/1919782.20123*100)</f>
        <v>0.030130002748718104</v>
      </c>
      <c r="G64" s="41">
        <f>IF(OR(2218501.69139="",2289.67656="",1852.85258=""),"-",(2289.67656-1852.85258)/2218501.69139*100)</f>
        <v>0.01969004493867698</v>
      </c>
    </row>
    <row r="65" spans="1:7" ht="38.25">
      <c r="A65" s="40" t="s">
        <v>244</v>
      </c>
      <c r="B65" s="41">
        <f>IF(19804.47219="","-",19804.47219)</f>
        <v>19804.47219</v>
      </c>
      <c r="C65" s="41">
        <f>IF(OR(17232.12276="",19804.47219=""),"-",19804.47219/17232.12276*100)</f>
        <v>114.9276410447299</v>
      </c>
      <c r="D65" s="41">
        <f>IF(17232.12276="","-",17232.12276/2218501.69139*100)</f>
        <v>0.7767459825195459</v>
      </c>
      <c r="E65" s="41">
        <f>IF(19804.47219="","-",19804.47219/2294411.91883*100)</f>
        <v>0.8631611450178914</v>
      </c>
      <c r="F65" s="41">
        <f>IF(OR(1919782.20123="",24662.53264="",17232.12276=""),"-",(17232.12276-24662.53264)/1919782.20123*100)</f>
        <v>-0.38704441968674136</v>
      </c>
      <c r="G65" s="41">
        <f>IF(OR(2218501.69139="",19804.47219="",17232.12276=""),"-",(19804.47219-17232.12276)/2218501.69139*100)</f>
        <v>0.11594985209987824</v>
      </c>
    </row>
    <row r="66" spans="1:7" ht="25.5">
      <c r="A66" s="40" t="s">
        <v>245</v>
      </c>
      <c r="B66" s="41">
        <f>IF(1059.22354="","-",1059.22354)</f>
        <v>1059.22354</v>
      </c>
      <c r="C66" s="41">
        <f>IF(OR(1035.32601="",1059.22354=""),"-",1059.22354/1035.32601*100)</f>
        <v>102.30821304296218</v>
      </c>
      <c r="D66" s="41">
        <f>IF(1035.32601="","-",1035.32601/2218501.69139*100)</f>
        <v>0.04666780350080858</v>
      </c>
      <c r="E66" s="41">
        <f>IF(1059.22354="","-",1059.22354/2294411.91883*100)</f>
        <v>0.0461653607753282</v>
      </c>
      <c r="F66" s="41">
        <f>IF(OR(1919782.20123="",706.75007="",1035.32601=""),"-",(1035.32601-706.75007)/1919782.20123*100)</f>
        <v>0.017115271711003577</v>
      </c>
      <c r="G66" s="41">
        <f>IF(OR(2218501.69139="",1059.22354="",1035.32601=""),"-",(1059.22354-1035.32601)/2218501.69139*100)</f>
        <v>0.0010771923272696264</v>
      </c>
    </row>
    <row r="67" spans="1:7" ht="38.25">
      <c r="A67" s="40" t="s">
        <v>246</v>
      </c>
      <c r="B67" s="41">
        <f>IF(2762.78059="","-",2762.78059)</f>
        <v>2762.78059</v>
      </c>
      <c r="C67" s="41">
        <f>IF(OR(3391.74887="",2762.78059=""),"-",2762.78059/3391.74887*100)</f>
        <v>81.45593013789373</v>
      </c>
      <c r="D67" s="41">
        <f>IF(3391.74887="","-",3391.74887/2218501.69139*100)</f>
        <v>0.1528846645987862</v>
      </c>
      <c r="E67" s="41">
        <f>IF(2762.78059="","-",2762.78059/2294411.91883*100)</f>
        <v>0.12041345180114114</v>
      </c>
      <c r="F67" s="41">
        <f>IF(OR(1919782.20123="",3351.44606="",3391.74887=""),"-",(3391.74887-3351.44606)/1919782.20123*100)</f>
        <v>0.0020993428303574106</v>
      </c>
      <c r="G67" s="41">
        <f>IF(OR(2218501.69139="",2762.78059="",3391.74887=""),"-",(2762.78059-3391.74887)/2218501.69139*100)</f>
        <v>-0.02835103901164577</v>
      </c>
    </row>
    <row r="68" spans="1:7" ht="51">
      <c r="A68" s="40" t="s">
        <v>247</v>
      </c>
      <c r="B68" s="41">
        <f>IF(486204.68866="","-",486204.68866)</f>
        <v>486204.68866</v>
      </c>
      <c r="C68" s="41">
        <f>IF(OR(426108.44626="",486204.68866=""),"-",486204.68866/426108.44626*100)</f>
        <v>114.10350884322318</v>
      </c>
      <c r="D68" s="41">
        <f>IF(426108.44626="","-",426108.44626/2218501.69139*100)</f>
        <v>19.20703725012814</v>
      </c>
      <c r="E68" s="41">
        <f>IF(486204.68866="","-",486204.68866/2294411.91883*100)</f>
        <v>21.190819515439607</v>
      </c>
      <c r="F68" s="41">
        <f>IF(OR(1919782.20123="",279270.30969="",426108.44626=""),"-",(426108.44626-279270.30969)/1919782.20123*100)</f>
        <v>7.648687256081503</v>
      </c>
      <c r="G68" s="41">
        <f>IF(OR(2218501.69139="",486204.68866="",426108.44626=""),"-",(486204.68866-426108.44626)/2218501.69139*100)</f>
        <v>2.7088661970929917</v>
      </c>
    </row>
    <row r="69" spans="1:7" ht="25.5">
      <c r="A69" s="40" t="s">
        <v>248</v>
      </c>
      <c r="B69" s="41">
        <f>IF(19854.96324="","-",19854.96324)</f>
        <v>19854.96324</v>
      </c>
      <c r="C69" s="41">
        <f>IF(OR(17289.50303="",19854.96324=""),"-",19854.96324/17289.50303*100)</f>
        <v>114.83825304607382</v>
      </c>
      <c r="D69" s="41">
        <f>IF(17289.50303="","-",17289.50303/2218501.69139*100)</f>
        <v>0.7793324249920802</v>
      </c>
      <c r="E69" s="41">
        <f>IF(19854.96324="","-",19854.96324/2294411.91883*100)</f>
        <v>0.8653617546636846</v>
      </c>
      <c r="F69" s="41">
        <f>IF(OR(1919782.20123="",20518.89468="",17289.50303=""),"-",(17289.50303-20518.89468)/1919782.20123*100)</f>
        <v>-0.16821656372951774</v>
      </c>
      <c r="G69" s="41">
        <f>IF(OR(2218501.69139="",19854.96324="",17289.50303=""),"-",(19854.96324-17289.50303)/2218501.69139*100)</f>
        <v>0.11563931729042833</v>
      </c>
    </row>
    <row r="70" spans="1:7" ht="15.75">
      <c r="A70" s="40" t="s">
        <v>34</v>
      </c>
      <c r="B70" s="41">
        <f>IF(2986.19227="","-",2986.19227)</f>
        <v>2986.19227</v>
      </c>
      <c r="C70" s="41" t="s">
        <v>199</v>
      </c>
      <c r="D70" s="41">
        <f>IF(434.09715="","-",434.09715/2218501.69139*100)</f>
        <v>0.01956713180272659</v>
      </c>
      <c r="E70" s="41">
        <f>IF(2986.19227="","-",2986.19227/2294411.91883*100)</f>
        <v>0.1301506606330202</v>
      </c>
      <c r="F70" s="41">
        <f>IF(OR(1919782.20123="",15515.15466="",434.09715=""),"-",(434.09715-15515.15466)/1919782.20123*100)</f>
        <v>-0.7855608568689512</v>
      </c>
      <c r="G70" s="41">
        <f>IF(OR(2218501.69139="",2986.19227="",434.09715=""),"-",(2986.19227-434.09715)/2218501.69139*100)</f>
        <v>0.11503687961585404</v>
      </c>
    </row>
    <row r="71" spans="1:7" ht="15.75">
      <c r="A71" s="49" t="s">
        <v>35</v>
      </c>
      <c r="B71" s="39">
        <f>IF(488507.3099="","-",488507.3099)</f>
        <v>488507.3099</v>
      </c>
      <c r="C71" s="39">
        <f>IF(517328.69861="","-",488507.3099/517328.69861*100)</f>
        <v>94.42880536350687</v>
      </c>
      <c r="D71" s="39">
        <f>IF(517328.69861="","-",517328.69861/2218501.69139*100)</f>
        <v>23.31883273372076</v>
      </c>
      <c r="E71" s="39">
        <f>IF(488507.3099="","-",488507.3099/2294411.91883*100)</f>
        <v>21.291177311749095</v>
      </c>
      <c r="F71" s="39">
        <f>IF(1919782.20123="","-",(517328.69861-441730.26301)/1919782.20123*100)</f>
        <v>3.937865219896522</v>
      </c>
      <c r="G71" s="39">
        <f>IF(2218501.69139="","-",(488507.3099-517328.69861)/2218501.69139*100)</f>
        <v>-1.2991375585538554</v>
      </c>
    </row>
    <row r="72" spans="1:7" ht="38.25">
      <c r="A72" s="40" t="s">
        <v>279</v>
      </c>
      <c r="B72" s="41">
        <f>IF(7382.50288="","-",7382.50288)</f>
        <v>7382.50288</v>
      </c>
      <c r="C72" s="41">
        <f>IF(OR(6521.32158="",7382.50288=""),"-",7382.50288/6521.32158*100)</f>
        <v>113.20562541557719</v>
      </c>
      <c r="D72" s="41">
        <f>IF(6521.32158="","-",6521.32158/2218501.69139*100)</f>
        <v>0.29395161632327055</v>
      </c>
      <c r="E72" s="41">
        <f>IF(7382.50288="","-",7382.50288/2294411.91883*100)</f>
        <v>0.32176013467383807</v>
      </c>
      <c r="F72" s="41">
        <f>IF(OR(1919782.20123="",7559.63314="",6521.32158=""),"-",(6521.32158-7559.63314)/1919782.20123*100)</f>
        <v>-0.054084862300252404</v>
      </c>
      <c r="G72" s="41">
        <f>IF(OR(2218501.69139="",7382.50288="",6521.32158=""),"-",(7382.50288-6521.32158)/2218501.69139*100)</f>
        <v>0.03881814935468578</v>
      </c>
    </row>
    <row r="73" spans="1:7" ht="15.75">
      <c r="A73" s="40" t="s">
        <v>249</v>
      </c>
      <c r="B73" s="41">
        <f>IF(122517.986="","-",122517.986)</f>
        <v>122517.986</v>
      </c>
      <c r="C73" s="41">
        <f>IF(OR(133207.58491="",122517.986=""),"-",122517.986/133207.58491*100)</f>
        <v>91.97523255359499</v>
      </c>
      <c r="D73" s="41">
        <f>IF(133207.58491="","-",133207.58491/2218501.69139*100)</f>
        <v>6.004394110988436</v>
      </c>
      <c r="E73" s="41">
        <f>IF(122517.986="","-",122517.986/2294411.91883*100)</f>
        <v>5.33984264091847</v>
      </c>
      <c r="F73" s="41">
        <f>IF(OR(1919782.20123="",108833.53608="",133207.58491=""),"-",(133207.58491-108833.53608)/1919782.20123*100)</f>
        <v>1.2696257322514817</v>
      </c>
      <c r="G73" s="41">
        <f>IF(OR(2218501.69139="",122517.986="",133207.58491=""),"-",(122517.986-133207.58491)/2218501.69139*100)</f>
        <v>-0.4818386639724599</v>
      </c>
    </row>
    <row r="74" spans="1:7" ht="15.75">
      <c r="A74" s="40" t="s">
        <v>250</v>
      </c>
      <c r="B74" s="41">
        <f>IF(11437.97964="","-",11437.97964)</f>
        <v>11437.97964</v>
      </c>
      <c r="C74" s="41">
        <f>IF(OR(14467.82851="",11437.97964=""),"-",11437.97964/14467.82851*100)</f>
        <v>79.0580261031861</v>
      </c>
      <c r="D74" s="41">
        <f>IF(14467.82851="","-",14467.82851/2218501.69139*100)</f>
        <v>0.6521441280008761</v>
      </c>
      <c r="E74" s="41">
        <f>IF(11437.97964="","-",11437.97964/2294411.91883*100)</f>
        <v>0.4985146540658062</v>
      </c>
      <c r="F74" s="41">
        <f>IF(OR(1919782.20123="",10084.86137="",14467.82851=""),"-",(14467.82851-10084.86137)/1919782.20123*100)</f>
        <v>0.22830543679339468</v>
      </c>
      <c r="G74" s="41">
        <f>IF(OR(2218501.69139="",11437.97964="",14467.82851=""),"-",(11437.97964-14467.82851)/2218501.69139*100)</f>
        <v>-0.1365718530555481</v>
      </c>
    </row>
    <row r="75" spans="1:7" ht="15.75">
      <c r="A75" s="40" t="s">
        <v>251</v>
      </c>
      <c r="B75" s="41">
        <f>IF(235503.17549="","-",235503.17549)</f>
        <v>235503.17549</v>
      </c>
      <c r="C75" s="41">
        <f>IF(OR(262254.69143="",235503.17549=""),"-",235503.17549/262254.69143*100)</f>
        <v>89.79941377058628</v>
      </c>
      <c r="D75" s="41">
        <f>IF(262254.69143="","-",262254.69143/2218501.69139*100)</f>
        <v>11.821252715191063</v>
      </c>
      <c r="E75" s="41">
        <f>IF(235503.17549="","-",235503.17549/2294411.91883*100)</f>
        <v>10.264206420706323</v>
      </c>
      <c r="F75" s="41">
        <f>IF(OR(1919782.20123="",231455.41885="",262254.69143=""),"-",(262254.69143-231455.41885)/1919782.20123*100)</f>
        <v>1.6043107681833386</v>
      </c>
      <c r="G75" s="41">
        <f>IF(OR(2218501.69139="",235503.17549="",262254.69143=""),"-",(235503.17549-262254.69143)/2218501.69139*100)</f>
        <v>-1.2058370766099744</v>
      </c>
    </row>
    <row r="76" spans="1:7" ht="15.75">
      <c r="A76" s="40" t="s">
        <v>259</v>
      </c>
      <c r="B76" s="41">
        <f>IF(29743.73512="","-",29743.73512)</f>
        <v>29743.73512</v>
      </c>
      <c r="C76" s="41">
        <f>IF(OR(30738.53937="",29743.73512=""),"-",29743.73512/30738.53937*100)</f>
        <v>96.76365803193987</v>
      </c>
      <c r="D76" s="41">
        <f>IF(30738.53937="","-",30738.53937/2218501.69139*100)</f>
        <v>1.3855540200530927</v>
      </c>
      <c r="E76" s="41">
        <f>IF(29743.73512="","-",29743.73512/2294411.91883*100)</f>
        <v>1.296355500766722</v>
      </c>
      <c r="F76" s="41">
        <f>IF(OR(1919782.20123="",27613.17493="",30738.53937=""),"-",(30738.53937-27613.17493)/1919782.20123*100)</f>
        <v>0.16279786519520723</v>
      </c>
      <c r="G76" s="41">
        <f>IF(OR(2218501.69139="",29743.73512="",30738.53937=""),"-",(29743.73512-30738.53937)/2218501.69139*100)</f>
        <v>-0.04484126624112258</v>
      </c>
    </row>
    <row r="77" spans="1:7" ht="25.5">
      <c r="A77" s="40" t="s">
        <v>252</v>
      </c>
      <c r="B77" s="41">
        <f>IF(22906.44046="","-",22906.44046)</f>
        <v>22906.44046</v>
      </c>
      <c r="C77" s="41">
        <f>IF(OR(19205.84791="",22906.44046=""),"-",22906.44046/19205.84791*100)</f>
        <v>119.26805089440073</v>
      </c>
      <c r="D77" s="41">
        <f>IF(19205.84791="","-",19205.84791/2218501.69139*100)</f>
        <v>0.8657125655814397</v>
      </c>
      <c r="E77" s="41">
        <f>IF(22906.44046="","-",22906.44046/2294411.91883*100)</f>
        <v>0.9983578045428212</v>
      </c>
      <c r="F77" s="41">
        <f>IF(OR(1919782.20123="",18840.12398="",19205.84791=""),"-",(19205.84791-18840.12398)/1919782.20123*100)</f>
        <v>0.019050282358367615</v>
      </c>
      <c r="G77" s="41">
        <f>IF(OR(2218501.69139="",22906.44046="",19205.84791=""),"-",(22906.44046-19205.84791)/2218501.69139*100)</f>
        <v>0.16680593773545419</v>
      </c>
    </row>
    <row r="78" spans="1:7" ht="25.5">
      <c r="A78" s="40" t="s">
        <v>253</v>
      </c>
      <c r="B78" s="41">
        <f>IF(3469.73139="","-",3469.73139)</f>
        <v>3469.73139</v>
      </c>
      <c r="C78" s="41">
        <f>IF(OR(3135.47498="",3469.73139=""),"-",3469.73139/3135.47498*100)</f>
        <v>110.66047128846807</v>
      </c>
      <c r="D78" s="41">
        <f>IF(3135.47498="","-",3135.47498/2218501.69139*100)</f>
        <v>0.14133299930168056</v>
      </c>
      <c r="E78" s="41">
        <f>IF(3469.73139="","-",3469.73139/2294411.91883*100)</f>
        <v>0.15122530359628433</v>
      </c>
      <c r="F78" s="41">
        <f>IF(OR(1919782.20123="",2334.59517="",3135.47498=""),"-",(3135.47498-2334.59517)/1919782.20123*100)</f>
        <v>0.041717222374854715</v>
      </c>
      <c r="G78" s="41">
        <f>IF(OR(2218501.69139="",3469.73139="",3135.47498=""),"-",(3469.73139-3135.47498)/2218501.69139*100)</f>
        <v>0.015066763811686434</v>
      </c>
    </row>
    <row r="79" spans="1:7" ht="15.75">
      <c r="A79" s="40" t="s">
        <v>36</v>
      </c>
      <c r="B79" s="41">
        <f>IF(55545.75892="","-",55545.75892)</f>
        <v>55545.75892</v>
      </c>
      <c r="C79" s="41">
        <f>IF(OR(47797.40992="",55545.75892=""),"-",55545.75892/47797.40992*100)</f>
        <v>116.2108135419234</v>
      </c>
      <c r="D79" s="41">
        <f>IF(47797.40992="","-",47797.40992/2218501.69139*100)</f>
        <v>2.154490578280902</v>
      </c>
      <c r="E79" s="41">
        <f>IF(55545.75892="","-",55545.75892/2294411.91883*100)</f>
        <v>2.4209148524788304</v>
      </c>
      <c r="F79" s="41">
        <f>IF(OR(1919782.20123="",35008.91949="",47797.40992=""),"-",(47797.40992-35008.91949)/1919782.20123*100)</f>
        <v>0.6661427750401292</v>
      </c>
      <c r="G79" s="41">
        <f>IF(OR(2218501.69139="",55545.75892="",47797.40992=""),"-",(55545.75892-47797.40992)/2218501.69139*100)</f>
        <v>0.3492604504234244</v>
      </c>
    </row>
    <row r="80" spans="1:7" ht="25.5">
      <c r="A80" s="31" t="s">
        <v>254</v>
      </c>
      <c r="B80" s="32">
        <f>IF(810.87482="","-",810.87482)</f>
        <v>810.87482</v>
      </c>
      <c r="C80" s="32">
        <f>IF(802.42973="","-",810.87482/802.42973*100)</f>
        <v>101.05243981924747</v>
      </c>
      <c r="D80" s="32">
        <f>IF(802.42973="","-",802.42973/2218501.69139*100)</f>
        <v>0.036169894894118315</v>
      </c>
      <c r="E80" s="32">
        <f>IF(810.87482="","-",810.87482/2294411.91883*100)</f>
        <v>0.03534129217797531</v>
      </c>
      <c r="F80" s="32">
        <f>IF(1919782.20123="","-",(802.42973-375.03663)/1919782.20123*100)</f>
        <v>0.022262582689128493</v>
      </c>
      <c r="G80" s="32">
        <f>IF(2218501.69139="","-",(810.87482-802.42973)/2218501.69139*100)</f>
        <v>0.00038066637644566266</v>
      </c>
    </row>
    <row r="81" ht="15.75">
      <c r="A81" s="29" t="s">
        <v>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82"/>
  <sheetViews>
    <sheetView zoomScalePageLayoutView="0" workbookViewId="0" topLeftCell="A1">
      <selection activeCell="J78" sqref="J78"/>
    </sheetView>
  </sheetViews>
  <sheetFormatPr defaultColWidth="9.00390625" defaultRowHeight="15.75"/>
  <cols>
    <col min="1" max="1" width="28.25390625" style="0" customWidth="1"/>
    <col min="2" max="2" width="12.00390625" style="0" customWidth="1"/>
    <col min="3" max="3" width="10.125" style="0" customWidth="1"/>
    <col min="4" max="4" width="8.50390625" style="0" customWidth="1"/>
    <col min="5" max="5" width="8.625" style="0" customWidth="1"/>
    <col min="6" max="6" width="9.875" style="0" customWidth="1"/>
    <col min="7" max="7" width="9.625" style="0" customWidth="1"/>
  </cols>
  <sheetData>
    <row r="1" spans="1:7" ht="15.75">
      <c r="A1" s="74" t="s">
        <v>129</v>
      </c>
      <c r="B1" s="74"/>
      <c r="C1" s="74"/>
      <c r="D1" s="74"/>
      <c r="E1" s="74"/>
      <c r="F1" s="74"/>
      <c r="G1" s="74"/>
    </row>
    <row r="2" spans="1:7" ht="15.75">
      <c r="A2" s="74" t="s">
        <v>23</v>
      </c>
      <c r="B2" s="74"/>
      <c r="C2" s="74"/>
      <c r="D2" s="74"/>
      <c r="E2" s="74"/>
      <c r="F2" s="74"/>
      <c r="G2" s="74"/>
    </row>
    <row r="3" ht="12" customHeight="1">
      <c r="A3" s="5"/>
    </row>
    <row r="4" spans="1:7" ht="57" customHeight="1">
      <c r="A4" s="80"/>
      <c r="B4" s="65" t="s">
        <v>260</v>
      </c>
      <c r="C4" s="66"/>
      <c r="D4" s="83" t="s">
        <v>0</v>
      </c>
      <c r="E4" s="84"/>
      <c r="F4" s="77" t="s">
        <v>131</v>
      </c>
      <c r="G4" s="85"/>
    </row>
    <row r="5" spans="1:8" ht="26.25" customHeight="1">
      <c r="A5" s="81"/>
      <c r="B5" s="86" t="s">
        <v>113</v>
      </c>
      <c r="C5" s="71" t="s">
        <v>261</v>
      </c>
      <c r="D5" s="73" t="s">
        <v>262</v>
      </c>
      <c r="E5" s="73"/>
      <c r="F5" s="73" t="s">
        <v>262</v>
      </c>
      <c r="G5" s="65"/>
      <c r="H5" s="1"/>
    </row>
    <row r="6" spans="1:7" ht="31.5" customHeight="1">
      <c r="A6" s="82"/>
      <c r="B6" s="87"/>
      <c r="C6" s="72"/>
      <c r="D6" s="22">
        <v>2018</v>
      </c>
      <c r="E6" s="22">
        <v>2019</v>
      </c>
      <c r="F6" s="22" t="s">
        <v>112</v>
      </c>
      <c r="G6" s="18" t="s">
        <v>133</v>
      </c>
    </row>
    <row r="7" spans="1:7" ht="15.75">
      <c r="A7" s="36" t="s">
        <v>143</v>
      </c>
      <c r="B7" s="37">
        <f>IF(4797462.21183="","-",4797462.21183)</f>
        <v>4797462.21183</v>
      </c>
      <c r="C7" s="37">
        <f>IF(4718168.92486="","-",4797462.21183/4718168.92486*100)</f>
        <v>101.68059448978617</v>
      </c>
      <c r="D7" s="37">
        <v>100</v>
      </c>
      <c r="E7" s="37">
        <v>100</v>
      </c>
      <c r="F7" s="37">
        <f>IF(3904696.37575="","-",(4718168.92486-3904696.37575)/3904696.37575*100)</f>
        <v>20.8331831935012</v>
      </c>
      <c r="G7" s="37">
        <f>IF(4718168.92486="","-",(4797462.21183-4718168.92486)/4718168.92486*100)</f>
        <v>1.680594489786174</v>
      </c>
    </row>
    <row r="8" spans="1:7" ht="13.5" customHeight="1">
      <c r="A8" s="46" t="s">
        <v>150</v>
      </c>
      <c r="B8" s="35"/>
      <c r="C8" s="35"/>
      <c r="D8" s="35"/>
      <c r="E8" s="35"/>
      <c r="F8" s="35"/>
      <c r="G8" s="35"/>
    </row>
    <row r="9" spans="1:7" ht="13.5" customHeight="1">
      <c r="A9" s="49" t="s">
        <v>202</v>
      </c>
      <c r="B9" s="39">
        <f>IF(483064.72256="","-",483064.72256)</f>
        <v>483064.72256</v>
      </c>
      <c r="C9" s="39">
        <f>IF(451682.31155="","-",483064.72256/451682.31155*100)</f>
        <v>106.94789461697265</v>
      </c>
      <c r="D9" s="39">
        <f>IF(451682.31155="","-",451682.31155/4718168.92486*100)</f>
        <v>9.573254343863972</v>
      </c>
      <c r="E9" s="39">
        <f>IF(483064.72256="","-",483064.72256/4797462.21183*100)</f>
        <v>10.06917201700551</v>
      </c>
      <c r="F9" s="39">
        <f>IF(3904696.37575="","-",(451682.31155-401793.70097)/3904696.37575*100)</f>
        <v>1.2776565904030772</v>
      </c>
      <c r="G9" s="39">
        <f>IF(4718168.92486="","-",(483064.72256-451682.31155)/4718168.92486*100)</f>
        <v>0.6651396232264244</v>
      </c>
    </row>
    <row r="10" spans="1:7" ht="12" customHeight="1">
      <c r="A10" s="40" t="s">
        <v>24</v>
      </c>
      <c r="B10" s="41">
        <f>IF(4476.05172="","-",4476.05172)</f>
        <v>4476.05172</v>
      </c>
      <c r="C10" s="41">
        <f>IF(OR(4207.77226="",4476.05172=""),"-",4476.05172/4207.77226*100)</f>
        <v>106.37580751578035</v>
      </c>
      <c r="D10" s="41">
        <f>IF(4207.77226="","-",4207.77226/4718168.92486*100)</f>
        <v>0.08918231472869224</v>
      </c>
      <c r="E10" s="41">
        <f>IF(4476.05172="","-",4476.05172/4797462.21183*100)</f>
        <v>0.09330040597219426</v>
      </c>
      <c r="F10" s="41">
        <f>IF(OR(3904696.37575="",5340.81975="",4207.77226=""),"-",(4207.77226-5340.81975)/3904696.37575*100)</f>
        <v>-0.02901755683327281</v>
      </c>
      <c r="G10" s="41">
        <f>IF(OR(4718168.92486="",4476.05172="",4207.77226=""),"-",(4476.05172-4207.77226)/4718168.92486*100)</f>
        <v>0.005686092725218845</v>
      </c>
    </row>
    <row r="11" spans="1:7" ht="12.75" customHeight="1">
      <c r="A11" s="40" t="s">
        <v>203</v>
      </c>
      <c r="B11" s="41">
        <f>IF(38565.07519="","-",38565.07519)</f>
        <v>38565.07519</v>
      </c>
      <c r="C11" s="41">
        <f>IF(OR(33931.92085="",38565.07519=""),"-",38565.07519/33931.92085*100)</f>
        <v>113.654264845428</v>
      </c>
      <c r="D11" s="41">
        <f>IF(33931.92085="","-",33931.92085/4718168.92486*100)</f>
        <v>0.7191756249169661</v>
      </c>
      <c r="E11" s="41">
        <f>IF(38565.07519="","-",38565.07519/4797462.21183*100)</f>
        <v>0.8038640741119936</v>
      </c>
      <c r="F11" s="41">
        <f>IF(OR(3904696.37575="",30458.34777="",33931.92085=""),"-",(33931.92085-30458.34777)/3904696.37575*100)</f>
        <v>0.08895885225731054</v>
      </c>
      <c r="G11" s="41">
        <f>IF(OR(4718168.92486="",38565.07519="",33931.92085=""),"-",(38565.07519-33931.92085)/4718168.92486*100)</f>
        <v>0.09819814452992437</v>
      </c>
    </row>
    <row r="12" spans="1:7" ht="14.25" customHeight="1">
      <c r="A12" s="40" t="s">
        <v>204</v>
      </c>
      <c r="B12" s="41">
        <f>IF(54141.90696="","-",54141.90696)</f>
        <v>54141.90696</v>
      </c>
      <c r="C12" s="41">
        <f>IF(OR(47321.67137="",54141.90696=""),"-",54141.90696/47321.67137*100)</f>
        <v>114.4124993740685</v>
      </c>
      <c r="D12" s="41">
        <f>IF(47321.67137="","-",47321.67137/4718168.92486*100)</f>
        <v>1.0029668738790263</v>
      </c>
      <c r="E12" s="41">
        <f>IF(54141.90696="","-",54141.90696/4797462.21183*100)</f>
        <v>1.1285530676300517</v>
      </c>
      <c r="F12" s="41">
        <f>IF(OR(3904696.37575="",42121.53323="",47321.67137=""),"-",(47321.67137-42121.53323)/3904696.37575*100)</f>
        <v>0.13317650438316528</v>
      </c>
      <c r="G12" s="41">
        <f>IF(OR(4718168.92486="",54141.90696="",47321.67137=""),"-",(54141.90696-47321.67137)/4718168.92486*100)</f>
        <v>0.14455259441992907</v>
      </c>
    </row>
    <row r="13" spans="1:7" s="9" customFormat="1" ht="13.5" customHeight="1">
      <c r="A13" s="40" t="s">
        <v>205</v>
      </c>
      <c r="B13" s="41">
        <f>IF(46564.57871="","-",46564.57871)</f>
        <v>46564.57871</v>
      </c>
      <c r="C13" s="41">
        <f>IF(OR(40726.1807="",46564.57871=""),"-",46564.57871/40726.1807*100)</f>
        <v>114.33573664323502</v>
      </c>
      <c r="D13" s="41">
        <f>IF(40726.1807="","-",40726.1807/4718168.92486*100)</f>
        <v>0.8631776722832882</v>
      </c>
      <c r="E13" s="41">
        <f>IF(46564.57871="","-",46564.57871/4797462.21183*100)</f>
        <v>0.9706085562316052</v>
      </c>
      <c r="F13" s="41">
        <f>IF(OR(3904696.37575="",35695.18573="",40726.1807=""),"-",(40726.1807-35695.18573)/3904696.37575*100)</f>
        <v>0.12884471635860967</v>
      </c>
      <c r="G13" s="41">
        <f>IF(OR(4718168.92486="",46564.57871="",40726.1807=""),"-",(46564.57871-40726.1807)/4718168.92486*100)</f>
        <v>0.12374287786173838</v>
      </c>
    </row>
    <row r="14" spans="1:7" s="9" customFormat="1" ht="13.5" customHeight="1">
      <c r="A14" s="40" t="s">
        <v>206</v>
      </c>
      <c r="B14" s="41">
        <f>IF(67236.38148="","-",67236.38148)</f>
        <v>67236.38148</v>
      </c>
      <c r="C14" s="41">
        <f>IF(OR(62961.38954="",67236.38148=""),"-",67236.38148/62961.38954*100)</f>
        <v>106.78986275753024</v>
      </c>
      <c r="D14" s="41">
        <f>IF(62961.38954="","-",62961.38954/4718168.92486*100)</f>
        <v>1.3344454287818492</v>
      </c>
      <c r="E14" s="41">
        <f>IF(67236.38148="","-",67236.38148/4797462.21183*100)</f>
        <v>1.4014989282083903</v>
      </c>
      <c r="F14" s="41">
        <f>IF(OR(3904696.37575="",53693.73946="",62961.38954=""),"-",(62961.38954-53693.73946)/3904696.37575*100)</f>
        <v>0.23734624124826872</v>
      </c>
      <c r="G14" s="41">
        <f>IF(OR(4718168.92486="",67236.38148="",62961.38954=""),"-",(67236.38148-62961.38954)/4718168.92486*100)</f>
        <v>0.09060701318842351</v>
      </c>
    </row>
    <row r="15" spans="1:7" s="9" customFormat="1" ht="14.25" customHeight="1">
      <c r="A15" s="40" t="s">
        <v>207</v>
      </c>
      <c r="B15" s="41">
        <f>IF(127231.18767="","-",127231.18767)</f>
        <v>127231.18767</v>
      </c>
      <c r="C15" s="41">
        <f>IF(OR(118211.05192="",127231.18767=""),"-",127231.18767/118211.05192*100)</f>
        <v>107.63053505022899</v>
      </c>
      <c r="D15" s="41">
        <f>IF(118211.05192="","-",118211.05192/4718168.92486*100)</f>
        <v>2.505443399814423</v>
      </c>
      <c r="E15" s="41">
        <f>IF(127231.18767="","-",127231.18767/4797462.21183*100)</f>
        <v>2.652051898527981</v>
      </c>
      <c r="F15" s="41">
        <f>IF(OR(3904696.37575="",81560.83269="",118211.05192=""),"-",(118211.05192-81560.83269)/3904696.37575*100)</f>
        <v>0.9386189271364374</v>
      </c>
      <c r="G15" s="41">
        <f>IF(OR(4718168.92486="",127231.18767="",118211.05192=""),"-",(127231.18767-118211.05192)/4718168.92486*100)</f>
        <v>0.19117873678648867</v>
      </c>
    </row>
    <row r="16" spans="1:7" s="9" customFormat="1" ht="15.75">
      <c r="A16" s="40" t="s">
        <v>208</v>
      </c>
      <c r="B16" s="41">
        <f>IF(12108.73953="","-",12108.73953)</f>
        <v>12108.73953</v>
      </c>
      <c r="C16" s="41">
        <f>IF(OR(12605.36565="",12108.73953=""),"-",12108.73953/12605.36565*100)</f>
        <v>96.06020060195557</v>
      </c>
      <c r="D16" s="41">
        <f>IF(12605.36565="","-",12605.36565/4718168.92486*100)</f>
        <v>0.26716647603654914</v>
      </c>
      <c r="E16" s="41">
        <f>IF(12108.73953="","-",12108.73953/4797462.21183*100)</f>
        <v>0.25239885162912207</v>
      </c>
      <c r="F16" s="41">
        <f>IF(OR(3904696.37575="",30168.33959="",12605.36565=""),"-",(12605.36565-30168.33959)/3904696.37575*100)</f>
        <v>-0.44979102726333153</v>
      </c>
      <c r="G16" s="41">
        <f>IF(OR(4718168.92486="",12108.73953="",12605.36565=""),"-",(12108.73953-12605.36565)/4718168.92486*100)</f>
        <v>-0.010525823214664472</v>
      </c>
    </row>
    <row r="17" spans="1:7" s="9" customFormat="1" ht="25.5">
      <c r="A17" s="40" t="s">
        <v>209</v>
      </c>
      <c r="B17" s="41">
        <f>IF(42801.55155="","-",42801.55155)</f>
        <v>42801.55155</v>
      </c>
      <c r="C17" s="41">
        <f>IF(OR(43230.64782="",42801.55155=""),"-",42801.55155/43230.64782*100)</f>
        <v>99.00742576936011</v>
      </c>
      <c r="D17" s="41">
        <f>IF(43230.64782="","-",43230.64782/4718168.92486*100)</f>
        <v>0.9162590087060684</v>
      </c>
      <c r="E17" s="41">
        <f>IF(42801.55155="","-",42801.55155/4797462.21183*100)</f>
        <v>0.8921706865028807</v>
      </c>
      <c r="F17" s="41">
        <f>IF(OR(3904696.37575="",40088.6541399999="",43230.64782=""),"-",(43230.64782-40088.6541399999)/3904696.37575*100)</f>
        <v>0.0804670421883084</v>
      </c>
      <c r="G17" s="41">
        <f>IF(OR(4718168.92486="",42801.55155="",43230.64782=""),"-",(42801.55155-43230.64782)/4718168.92486*100)</f>
        <v>-0.009094550806332867</v>
      </c>
    </row>
    <row r="18" spans="1:7" s="9" customFormat="1" ht="25.5">
      <c r="A18" s="40" t="s">
        <v>210</v>
      </c>
      <c r="B18" s="41">
        <f>IF(26236.96995="","-",26236.96995)</f>
        <v>26236.96995</v>
      </c>
      <c r="C18" s="41">
        <f>IF(OR(30192.77507="",26236.96995=""),"-",26236.96995/30192.77507*100)</f>
        <v>86.89817311979861</v>
      </c>
      <c r="D18" s="41">
        <f>IF(30192.77507="","-",30192.77507/4718168.92486*100)</f>
        <v>0.6399256904710316</v>
      </c>
      <c r="E18" s="41">
        <f>IF(26236.96995="","-",26236.96995/4797462.21183*100)</f>
        <v>0.5468926859976633</v>
      </c>
      <c r="F18" s="41">
        <f>IF(OR(3904696.37575="",25582.76004="",30192.77507=""),"-",(30192.77507-25582.76004)/3904696.37575*100)</f>
        <v>0.118063341842156</v>
      </c>
      <c r="G18" s="41">
        <f>IF(OR(4718168.92486="",26236.96995="",30192.77507=""),"-",(26236.96995-30192.77507)/4718168.92486*100)</f>
        <v>-0.0838419561274479</v>
      </c>
    </row>
    <row r="19" spans="1:7" s="9" customFormat="1" ht="15.75">
      <c r="A19" s="40" t="s">
        <v>211</v>
      </c>
      <c r="B19" s="41">
        <f>IF(63702.2798="","-",63702.2798)</f>
        <v>63702.2798</v>
      </c>
      <c r="C19" s="41">
        <f>IF(OR(58293.53637="",63702.2798=""),"-",63702.2798/58293.53637*100)</f>
        <v>109.27846167312563</v>
      </c>
      <c r="D19" s="41">
        <f>IF(58293.53637="","-",58293.53637/4718168.92486*100)</f>
        <v>1.2355118542460777</v>
      </c>
      <c r="E19" s="41">
        <f>IF(63702.2798="","-",63702.2798/4797462.21183*100)</f>
        <v>1.3278328621936275</v>
      </c>
      <c r="F19" s="41">
        <f>IF(OR(3904696.37575="",57083.48857="",58293.53637=""),"-",(58293.53637-57083.48857)/3904696.37575*100)</f>
        <v>0.030989549085428662</v>
      </c>
      <c r="G19" s="41">
        <f>IF(OR(4718168.92486="",63702.2798="",58293.53637=""),"-",(63702.2798-58293.53637)/4718168.92486*100)</f>
        <v>0.11463649386314599</v>
      </c>
    </row>
    <row r="20" spans="1:7" s="9" customFormat="1" ht="15.75">
      <c r="A20" s="49" t="s">
        <v>212</v>
      </c>
      <c r="B20" s="39">
        <f>IF(101959.94823="","-",101959.94823)</f>
        <v>101959.94823</v>
      </c>
      <c r="C20" s="39">
        <f>IF(97229.96084="","-",101959.94823/97229.96084*100)</f>
        <v>104.86474266690652</v>
      </c>
      <c r="D20" s="39">
        <f>IF(97229.96084="","-",97229.96084/4718168.92486*100)</f>
        <v>2.0607562465111413</v>
      </c>
      <c r="E20" s="39">
        <f>IF(101959.94823="","-",101959.94823/4797462.21183*100)</f>
        <v>2.1252892410195177</v>
      </c>
      <c r="F20" s="39">
        <f>IF(3904696.37575="","-",(97229.96084-94325.79377)/3904696.37575*100)</f>
        <v>0.07437625849825964</v>
      </c>
      <c r="G20" s="39">
        <f>IF(4718168.92486="","-",(101959.94823-97229.96084)/4718168.92486*100)</f>
        <v>0.10025048838496908</v>
      </c>
    </row>
    <row r="21" spans="1:7" s="9" customFormat="1" ht="13.5" customHeight="1">
      <c r="A21" s="40" t="s">
        <v>213</v>
      </c>
      <c r="B21" s="41">
        <f>IF(51978.85802="","-",51978.85802)</f>
        <v>51978.85802</v>
      </c>
      <c r="C21" s="41">
        <f>IF(OR(51125.68629="",51978.85802=""),"-",51978.85802/51125.68629*100)</f>
        <v>101.66877315868301</v>
      </c>
      <c r="D21" s="41">
        <f>IF(51125.68629="","-",51125.68629/4718168.92486*100)</f>
        <v>1.083591687881693</v>
      </c>
      <c r="E21" s="41">
        <f>IF(51978.85802="","-",51978.85802/4797462.21183*100)</f>
        <v>1.083465710096184</v>
      </c>
      <c r="F21" s="41">
        <f>IF(OR(3904696.37575="",45235.30745="",51125.68629=""),"-",(51125.68629-45235.30745)/3904696.37575*100)</f>
        <v>0.15085369701424212</v>
      </c>
      <c r="G21" s="41">
        <f>IF(OR(4718168.92486="",51978.85802="",51125.68629=""),"-",(51978.85802-51125.68629)/4718168.92486*100)</f>
        <v>0.018082687237089917</v>
      </c>
    </row>
    <row r="22" spans="1:7" s="9" customFormat="1" ht="13.5" customHeight="1">
      <c r="A22" s="40" t="s">
        <v>214</v>
      </c>
      <c r="B22" s="41">
        <f>IF(49981.09021="","-",49981.09021)</f>
        <v>49981.09021</v>
      </c>
      <c r="C22" s="41">
        <f>IF(OR(46104.27455="",49981.09021=""),"-",49981.09021/46104.27455*100)</f>
        <v>108.40879874553843</v>
      </c>
      <c r="D22" s="41">
        <f>IF(46104.27455="","-",46104.27455/4718168.92486*100)</f>
        <v>0.9771645586294483</v>
      </c>
      <c r="E22" s="41">
        <f>IF(49981.09021="","-",49981.09021/4797462.21183*100)</f>
        <v>1.0418235309233344</v>
      </c>
      <c r="F22" s="41">
        <f>IF(OR(3904696.37575="",49090.48632="",46104.27455=""),"-",(46104.27455-49090.48632)/3904696.37575*100)</f>
        <v>-0.07647743851598246</v>
      </c>
      <c r="G22" s="41">
        <f>IF(OR(4718168.92486="",49981.09021="",46104.27455=""),"-",(49981.09021-46104.27455)/4718168.92486*100)</f>
        <v>0.08216780114787932</v>
      </c>
    </row>
    <row r="23" spans="1:7" s="9" customFormat="1" ht="25.5">
      <c r="A23" s="49" t="s">
        <v>25</v>
      </c>
      <c r="B23" s="39">
        <f>IF(121609.81421="","-",121609.81421)</f>
        <v>121609.81421</v>
      </c>
      <c r="C23" s="39">
        <f>IF(116423.13101="","-",121609.81421/116423.13101*100)</f>
        <v>104.45502809880152</v>
      </c>
      <c r="D23" s="39">
        <f>IF(116423.13101="","-",116423.13101/4718168.92486*100)</f>
        <v>2.467549018784964</v>
      </c>
      <c r="E23" s="39">
        <f>IF(121609.81421="","-",121609.81421/4797462.21183*100)</f>
        <v>2.534878000917317</v>
      </c>
      <c r="F23" s="39">
        <f>IF(3904696.37575="","-",(116423.13101-93531.2257)/3904696.37575*100)</f>
        <v>0.586265950207281</v>
      </c>
      <c r="G23" s="39">
        <f>IF(4718168.92486="","-",(121609.81421-116423.13101)/4718168.92486*100)</f>
        <v>0.10993000213857121</v>
      </c>
    </row>
    <row r="24" spans="1:7" s="9" customFormat="1" ht="15.75">
      <c r="A24" s="40" t="s">
        <v>215</v>
      </c>
      <c r="B24" s="41">
        <f>IF(18.14="","-",18.14)</f>
        <v>18.14</v>
      </c>
      <c r="C24" s="41">
        <f>IF(OR(39.57298="",18.14=""),"-",18.14/39.57298*100)</f>
        <v>45.83935806704474</v>
      </c>
      <c r="D24" s="41">
        <f>IF(39.57298="","-",39.57298/4718168.92486*100)</f>
        <v>0.000838735972158399</v>
      </c>
      <c r="E24" s="41">
        <f>IF(18.14="","-",18.14/4797462.21183*100)</f>
        <v>0.00037811657912111967</v>
      </c>
      <c r="F24" s="41">
        <f>IF(OR(3904696.37575="",54.22319="",39.57298=""),"-",(39.57298-54.22319)/3904696.37575*100)</f>
        <v>-0.00037519460132635896</v>
      </c>
      <c r="G24" s="41">
        <f>IF(OR(4718168.92486="",18.14="",39.57298=""),"-",(18.14-39.57298)/4718168.92486*100)</f>
        <v>-0.0004542647866436019</v>
      </c>
    </row>
    <row r="25" spans="1:7" s="9" customFormat="1" ht="15.75">
      <c r="A25" s="40" t="s">
        <v>216</v>
      </c>
      <c r="B25" s="41">
        <f>IF(29851.40432="","-",29851.40432)</f>
        <v>29851.40432</v>
      </c>
      <c r="C25" s="41">
        <f>IF(OR(33476.97585="",29851.40432=""),"-",29851.40432/33476.97585*100)</f>
        <v>89.16995505733533</v>
      </c>
      <c r="D25" s="41">
        <f>IF(33476.97585="","-",33476.97585/4718168.92486*100)</f>
        <v>0.7095332189911651</v>
      </c>
      <c r="E25" s="41">
        <f>IF(29851.40432="","-",29851.40432/4797462.21183*100)</f>
        <v>0.6222332350297581</v>
      </c>
      <c r="F25" s="41">
        <f>IF(OR(3904696.37575="",25125.98895="",33476.97585=""),"-",(33476.97585-25125.98895)/3904696.37575*100)</f>
        <v>0.21387032681628096</v>
      </c>
      <c r="G25" s="41">
        <f>IF(OR(4718168.92486="",29851.40432="",33476.97585=""),"-",(29851.40432-33476.97585)/4718168.92486*100)</f>
        <v>-0.07684276649987858</v>
      </c>
    </row>
    <row r="26" spans="1:7" s="9" customFormat="1" ht="25.5">
      <c r="A26" s="40" t="s">
        <v>255</v>
      </c>
      <c r="B26" s="41">
        <f>IF(1312.06409="","-",1312.06409)</f>
        <v>1312.06409</v>
      </c>
      <c r="C26" s="41" t="s">
        <v>106</v>
      </c>
      <c r="D26" s="41">
        <f>IF(775.80158="","-",775.80158/4718168.92486*100)</f>
        <v>0.016442852987147337</v>
      </c>
      <c r="E26" s="41">
        <f>IF(1312.06409="","-",1312.06409/4797462.21183*100)</f>
        <v>0.02734912818624393</v>
      </c>
      <c r="F26" s="41">
        <f>IF(OR(3904696.37575="",611.53469="",775.80158=""),"-",(775.80158-611.53469)/3904696.37575*100)</f>
        <v>0.004206905587337714</v>
      </c>
      <c r="G26" s="41">
        <f>IF(OR(4718168.92486="",1312.06409="",775.80158=""),"-",(1312.06409-775.80158)/4718168.92486*100)</f>
        <v>0.011365903140399163</v>
      </c>
    </row>
    <row r="27" spans="1:7" s="9" customFormat="1" ht="15.75">
      <c r="A27" s="40" t="s">
        <v>217</v>
      </c>
      <c r="B27" s="41">
        <f>IF(32885.833="","-",32885.833)</f>
        <v>32885.833</v>
      </c>
      <c r="C27" s="41">
        <f>IF(OR(29954.57909="",32885.833=""),"-",32885.833/29954.57909*100)</f>
        <v>109.7856621560026</v>
      </c>
      <c r="D27" s="41">
        <f>IF(29954.57909="","-",29954.57909/4718168.92486*100)</f>
        <v>0.6348772069641154</v>
      </c>
      <c r="E27" s="41">
        <f>IF(32885.833="","-",32885.833/4797462.21183*100)</f>
        <v>0.6854839402154591</v>
      </c>
      <c r="F27" s="41">
        <f>IF(OR(3904696.37575="",27886.53449="",29954.57909=""),"-",(29954.57909-27886.53449)/3904696.37575*100)</f>
        <v>0.0529630066205283</v>
      </c>
      <c r="G27" s="41">
        <f>IF(OR(4718168.92486="",32885.833="",29954.57909=""),"-",(32885.833-29954.57909)/4718168.92486*100)</f>
        <v>0.06212693857897378</v>
      </c>
    </row>
    <row r="28" spans="1:7" s="9" customFormat="1" ht="15.75">
      <c r="A28" s="40" t="s">
        <v>218</v>
      </c>
      <c r="B28" s="41">
        <f>IF(387.77482="","-",387.77482)</f>
        <v>387.77482</v>
      </c>
      <c r="C28" s="41">
        <f>IF(OR(457.81671="",387.77482=""),"-",387.77482/457.81671*100)</f>
        <v>84.70088826596128</v>
      </c>
      <c r="D28" s="41">
        <f>IF(457.81671="","-",457.81671/4718168.92486*100)</f>
        <v>0.009703270851278065</v>
      </c>
      <c r="E28" s="41">
        <f>IF(387.77482="","-",387.77482/4797462.21183*100)</f>
        <v>0.008082915568230866</v>
      </c>
      <c r="F28" s="41">
        <f>IF(OR(3904696.37575="",461.96474="",457.81671=""),"-",(457.81671-461.96474)/3904696.37575*100)</f>
        <v>-0.00010623181934864954</v>
      </c>
      <c r="G28" s="41">
        <f>IF(OR(4718168.92486="",387.77482="",457.81671=""),"-",(387.77482-457.81671)/4718168.92486*100)</f>
        <v>-0.0014845142493934414</v>
      </c>
    </row>
    <row r="29" spans="1:7" s="9" customFormat="1" ht="38.25">
      <c r="A29" s="40" t="s">
        <v>219</v>
      </c>
      <c r="B29" s="41">
        <f>IF(6581.45236="","-",6581.45236)</f>
        <v>6581.45236</v>
      </c>
      <c r="C29" s="41">
        <f>IF(OR(7075.49174="",6581.45236=""),"-",6581.45236/7075.49174*100)</f>
        <v>93.0175965409296</v>
      </c>
      <c r="D29" s="41">
        <f>IF(7075.49174="","-",7075.49174/4718168.92486*100)</f>
        <v>0.14996266247949036</v>
      </c>
      <c r="E29" s="41">
        <f>IF(6581.45236="","-",6581.45236/4797462.21183*100)</f>
        <v>0.13718612194111465</v>
      </c>
      <c r="F29" s="41">
        <f>IF(OR(3904696.37575="",7383.43303="",7075.49174=""),"-",(7075.49174-7383.43303)/3904696.37575*100)</f>
        <v>-0.007886433677979674</v>
      </c>
      <c r="G29" s="41">
        <f>IF(OR(4718168.92486="",6581.45236="",7075.49174=""),"-",(6581.45236-7075.49174)/4718168.92486*100)</f>
        <v>-0.010470998132281998</v>
      </c>
    </row>
    <row r="30" spans="1:7" s="9" customFormat="1" ht="38.25">
      <c r="A30" s="40" t="s">
        <v>220</v>
      </c>
      <c r="B30" s="41">
        <f>IF(21121.58131="","-",21121.58131)</f>
        <v>21121.58131</v>
      </c>
      <c r="C30" s="41" t="s">
        <v>107</v>
      </c>
      <c r="D30" s="41">
        <f>IF(12828.1545="","-",12828.1545/4718168.92486*100)</f>
        <v>0.2718884106164267</v>
      </c>
      <c r="E30" s="41">
        <f>IF(21121.58131="","-",21121.58131/4797462.21183*100)</f>
        <v>0.4402657150256768</v>
      </c>
      <c r="F30" s="41">
        <f>IF(OR(3904696.37575="",8746.06055="",12828.1545=""),"-",(12828.1545-8746.06055)/3904696.37575*100)</f>
        <v>0.10454318485175243</v>
      </c>
      <c r="G30" s="41">
        <f>IF(OR(4718168.92486="",21121.58131="",12828.1545=""),"-",(21121.58131-12828.1545)/4718168.92486*100)</f>
        <v>0.17577638575638935</v>
      </c>
    </row>
    <row r="31" spans="1:7" s="9" customFormat="1" ht="15.75">
      <c r="A31" s="40" t="s">
        <v>221</v>
      </c>
      <c r="B31" s="41">
        <f>IF(1260.8907="","-",1260.8907)</f>
        <v>1260.8907</v>
      </c>
      <c r="C31" s="41">
        <f>IF(OR(3218.17278="",1260.8907=""),"-",1260.8907/3218.17278*100)</f>
        <v>39.18032952848479</v>
      </c>
      <c r="D31" s="41">
        <f>IF(3218.17278="","-",3218.17278/4718168.92486*100)</f>
        <v>0.06820808731632032</v>
      </c>
      <c r="E31" s="41">
        <f>IF(1260.8907="","-",1260.8907/4797462.21183*100)</f>
        <v>0.02628245193658401</v>
      </c>
      <c r="F31" s="41">
        <f>IF(OR(3904696.37575="",1009.64426="",3218.17278=""),"-",(3218.17278-1009.64426)/3904696.37575*100)</f>
        <v>0.05656082592531393</v>
      </c>
      <c r="G31" s="41">
        <f>IF(OR(4718168.92486="",1260.8907="",3218.17278=""),"-",(1260.8907-3218.17278)/4718168.92486*100)</f>
        <v>-0.04148393394070937</v>
      </c>
    </row>
    <row r="32" spans="1:7" s="9" customFormat="1" ht="25.5">
      <c r="A32" s="40" t="s">
        <v>222</v>
      </c>
      <c r="B32" s="41">
        <f>IF(28190.67361="","-",28190.67361)</f>
        <v>28190.67361</v>
      </c>
      <c r="C32" s="41">
        <f>IF(OR(28596.56578="",28190.67361=""),"-",28190.67361/28596.56578*100)</f>
        <v>98.58062617335725</v>
      </c>
      <c r="D32" s="41">
        <f>IF(28596.56578="","-",28596.56578/4718168.92486*100)</f>
        <v>0.6060945726068622</v>
      </c>
      <c r="E32" s="41">
        <f>IF(28190.67361="","-",28190.67361/4797462.21183*100)</f>
        <v>0.5876163764351282</v>
      </c>
      <c r="F32" s="41">
        <f>IF(OR(3904696.37575="",22251.8418="",28596.56578=""),"-",(28596.56578-22251.8418)/3904696.37575*100)</f>
        <v>0.1624895605047225</v>
      </c>
      <c r="G32" s="41">
        <f>IF(OR(4718168.92486="",28190.67361="",28596.56578=""),"-",(28190.67361-28596.56578)/4718168.92486*100)</f>
        <v>-0.008602747728284083</v>
      </c>
    </row>
    <row r="33" spans="1:7" s="9" customFormat="1" ht="25.5">
      <c r="A33" s="49" t="s">
        <v>223</v>
      </c>
      <c r="B33" s="39">
        <f>IF(744895.71652="","-",744895.71652)</f>
        <v>744895.71652</v>
      </c>
      <c r="C33" s="39">
        <f>IF(781781.4494="","-",744895.71652/781781.4494*100)</f>
        <v>95.28183574727834</v>
      </c>
      <c r="D33" s="39">
        <f>IF(781781.4494="","-",781781.4494/4718168.92486*100)</f>
        <v>16.569594303434094</v>
      </c>
      <c r="E33" s="39">
        <f>IF(744895.71652="","-",744895.71652/4797462.21183*100)</f>
        <v>15.526869908077051</v>
      </c>
      <c r="F33" s="39">
        <f>IF(3904696.37575="","-",(781781.4494-603379.66121)/3904696.37575*100)</f>
        <v>4.568902957422219</v>
      </c>
      <c r="G33" s="39">
        <f>IF(4718168.92486="","-",(744895.71652-781781.4494)/4718168.92486*100)</f>
        <v>-0.7817806752456308</v>
      </c>
    </row>
    <row r="34" spans="1:7" s="9" customFormat="1" ht="15.75">
      <c r="A34" s="40" t="s">
        <v>256</v>
      </c>
      <c r="B34" s="41">
        <f>IF(16417.68241="","-",16417.68241)</f>
        <v>16417.68241</v>
      </c>
      <c r="C34" s="41">
        <f>IF(OR(14697.73024="",16417.68241=""),"-",16417.68241/14697.73024*100)</f>
        <v>111.70216177542254</v>
      </c>
      <c r="D34" s="41">
        <f>IF(14697.73024="","-",14697.73024/4718168.92486*100)</f>
        <v>0.31151343824418326</v>
      </c>
      <c r="E34" s="41">
        <f>IF(16417.68241="","-",16417.68241/4797462.21183*100)</f>
        <v>0.34221598180629437</v>
      </c>
      <c r="F34" s="41">
        <f>IF(OR(3904696.37575="",19892.49826="",14697.73024=""),"-",(14697.73024-19892.49826)/3904696.37575*100)</f>
        <v>-0.13303897461175088</v>
      </c>
      <c r="G34" s="41">
        <f>IF(OR(4718168.92486="",16417.68241="",14697.73024=""),"-",(16417.68241-14697.73024)/4718168.92486*100)</f>
        <v>0.03645380649551533</v>
      </c>
    </row>
    <row r="35" spans="1:7" s="9" customFormat="1" ht="25.5">
      <c r="A35" s="40" t="s">
        <v>224</v>
      </c>
      <c r="B35" s="41">
        <f>IF(488988.63347="","-",488988.63347)</f>
        <v>488988.63347</v>
      </c>
      <c r="C35" s="41">
        <f>IF(OR(532031.0372="",488988.63347=""),"-",488988.63347/532031.0372*100)</f>
        <v>91.9097945945925</v>
      </c>
      <c r="D35" s="41">
        <f>IF(532031.0372="","-",532031.0372/4718168.92486*100)</f>
        <v>11.276218500713956</v>
      </c>
      <c r="E35" s="41">
        <f>IF(488988.63347="","-",488988.63347/4797462.21183*100)</f>
        <v>10.192652112281555</v>
      </c>
      <c r="F35" s="41">
        <f>IF(OR(3904696.37575="",384913.14349="",532031.0372=""),"-",(532031.0372-384913.14349)/3904696.37575*100)</f>
        <v>3.76771660464233</v>
      </c>
      <c r="G35" s="41">
        <f>IF(OR(4718168.92486="",488988.63347="",532031.0372=""),"-",(488988.63347-532031.0372)/4718168.92486*100)</f>
        <v>-0.9122692386703216</v>
      </c>
    </row>
    <row r="36" spans="1:7" s="9" customFormat="1" ht="25.5">
      <c r="A36" s="40" t="s">
        <v>257</v>
      </c>
      <c r="B36" s="41">
        <f>IF(205514.21488="","-",205514.21488)</f>
        <v>205514.21488</v>
      </c>
      <c r="C36" s="41">
        <f>IF(OR(189843.07064="",205514.21488=""),"-",205514.21488/189843.07064*100)</f>
        <v>108.25478864578484</v>
      </c>
      <c r="D36" s="41">
        <f>IF(189843.07064="","-",189843.07064/4718168.92486*100)</f>
        <v>4.023659891440473</v>
      </c>
      <c r="E36" s="41">
        <f>IF(205514.21488="","-",205514.21488/4797462.21183*100)</f>
        <v>4.283811019359885</v>
      </c>
      <c r="F36" s="41">
        <f>IF(OR(3904696.37575="",146926.94083="",189843.07064=""),"-",(189843.07064-146926.94083)/3904696.37575*100)</f>
        <v>1.0990900618170807</v>
      </c>
      <c r="G36" s="41">
        <f>IF(OR(4718168.92486="",205514.21488="",189843.07064=""),"-",(205514.21488-189843.07064)/4718168.92486*100)</f>
        <v>0.33214461986362703</v>
      </c>
    </row>
    <row r="37" spans="1:7" s="9" customFormat="1" ht="15.75">
      <c r="A37" s="40" t="s">
        <v>225</v>
      </c>
      <c r="B37" s="41">
        <f>IF(33975.18576="","-",33975.18576)</f>
        <v>33975.18576</v>
      </c>
      <c r="C37" s="41">
        <f>IF(OR(45209.61132="",33975.18576=""),"-",33975.18576/45209.61132*100)</f>
        <v>75.1503602176954</v>
      </c>
      <c r="D37" s="41">
        <f>IF(45209.61132="","-",45209.61132/4718168.92486*100)</f>
        <v>0.9582024730354793</v>
      </c>
      <c r="E37" s="41">
        <f>IF(33975.18576="","-",33975.18576/4797462.21183*100)</f>
        <v>0.7081907946293151</v>
      </c>
      <c r="F37" s="41">
        <f>IF(OR(3904696.37575="",51647.07863="",45209.61132=""),"-",(45209.61132-51647.07863)/3904696.37575*100)</f>
        <v>-0.16486473442543953</v>
      </c>
      <c r="G37" s="41">
        <f>IF(OR(4718168.92486="",33975.18576="",45209.61132=""),"-",(33975.18576-45209.61132)/4718168.92486*100)</f>
        <v>-0.23810986293445097</v>
      </c>
    </row>
    <row r="38" spans="1:7" s="9" customFormat="1" ht="25.5">
      <c r="A38" s="49" t="s">
        <v>226</v>
      </c>
      <c r="B38" s="39">
        <f>IF(9383.80344="","-",9383.80344)</f>
        <v>9383.80344</v>
      </c>
      <c r="C38" s="39">
        <f>IF(9493.66428="","-",9383.80344/9493.66428*100)</f>
        <v>98.84279834677278</v>
      </c>
      <c r="D38" s="39">
        <f>IF(9493.66428="","-",9493.66428/4718168.92486*100)</f>
        <v>0.2012150143666529</v>
      </c>
      <c r="E38" s="39">
        <f>IF(9383.80344="","-",9383.80344/4797462.21183*100)</f>
        <v>0.19559931950814743</v>
      </c>
      <c r="F38" s="39">
        <f>IF(3904696.37575="","-",(9493.66428-13094.95507)/3904696.37575*100)</f>
        <v>-0.09222972655097353</v>
      </c>
      <c r="G38" s="39">
        <f>IF(4718168.92486="","-",(9383.80344-9493.66428)/4718168.92486*100)</f>
        <v>-0.002328463472792277</v>
      </c>
    </row>
    <row r="39" spans="1:7" s="9" customFormat="1" ht="15.75">
      <c r="A39" s="40" t="s">
        <v>258</v>
      </c>
      <c r="B39" s="41">
        <f>IF(1366.73111="","-",1366.73111)</f>
        <v>1366.73111</v>
      </c>
      <c r="C39" s="41">
        <f>IF(OR(1318.45501="",1366.73111=""),"-",1366.73111/1318.45501*100)</f>
        <v>103.66156597182639</v>
      </c>
      <c r="D39" s="41">
        <f>IF(1318.45501="","-",1318.45501/4718168.92486*100)</f>
        <v>0.027944209522746625</v>
      </c>
      <c r="E39" s="41">
        <f>IF(1366.73111="","-",1366.73111/4797462.21183*100)</f>
        <v>0.028488626895899156</v>
      </c>
      <c r="F39" s="41">
        <f>IF(OR(3904696.37575="",1055.03996="",1318.45501=""),"-",(1318.45501-1055.03996)/3904696.37575*100)</f>
        <v>0.006746108394904431</v>
      </c>
      <c r="G39" s="41">
        <f>IF(OR(4718168.92486="",1366.73111="",1318.45501=""),"-",(1366.73111-1318.45501)/4718168.92486*100)</f>
        <v>0.001023195666980756</v>
      </c>
    </row>
    <row r="40" spans="1:7" s="9" customFormat="1" ht="25.5">
      <c r="A40" s="40" t="s">
        <v>227</v>
      </c>
      <c r="B40" s="41">
        <f>IF(5827.07234="","-",5827.07234)</f>
        <v>5827.07234</v>
      </c>
      <c r="C40" s="41">
        <f>IF(OR(5911.69152="",5827.07234=""),"-",5827.07234/5911.69152*100)</f>
        <v>98.56861306592668</v>
      </c>
      <c r="D40" s="41">
        <f>IF(5911.69152="","-",5911.69152/4718168.92486*100)</f>
        <v>0.1252963091010018</v>
      </c>
      <c r="E40" s="41">
        <f>IF(5827.07234="","-",5827.07234/4797462.21183*100)</f>
        <v>0.12146155785513217</v>
      </c>
      <c r="F40" s="41">
        <f>IF(OR(3904696.37575="",10143.7327="",5911.69152=""),"-",(5911.69152-10143.7327)/3904696.37575*100)</f>
        <v>-0.10838336128470745</v>
      </c>
      <c r="G40" s="41">
        <f>IF(OR(4718168.92486="",5827.07234="",5911.69152=""),"-",(5827.07234-5911.69152)/4718168.92486*100)</f>
        <v>-0.0017934749973478636</v>
      </c>
    </row>
    <row r="41" spans="1:7" s="9" customFormat="1" ht="63.75">
      <c r="A41" s="40" t="s">
        <v>228</v>
      </c>
      <c r="B41" s="41">
        <f>IF(2189.99999="","-",2189.99999)</f>
        <v>2189.99999</v>
      </c>
      <c r="C41" s="41">
        <f>IF(OR(2263.51775="",2189.99999=""),"-",2189.99999/2263.51775*100)</f>
        <v>96.75205727898532</v>
      </c>
      <c r="D41" s="41">
        <f>IF(2263.51775="","-",2263.51775/4718168.92486*100)</f>
        <v>0.047974495742904424</v>
      </c>
      <c r="E41" s="41">
        <f>IF(2189.99999="","-",2189.99999/4797462.21183*100)</f>
        <v>0.04564913475711611</v>
      </c>
      <c r="F41" s="41">
        <f>IF(OR(3904696.37575="",1896.18241="",2263.51775=""),"-",(2263.51775-1896.18241)/3904696.37575*100)</f>
        <v>0.009407526338829448</v>
      </c>
      <c r="G41" s="41">
        <f>IF(OR(4718168.92486="",2189.99999="",2263.51775=""),"-",(2189.99999-2263.51775)/4718168.92486*100)</f>
        <v>-0.00155818414242516</v>
      </c>
    </row>
    <row r="42" spans="1:7" s="9" customFormat="1" ht="14.25" customHeight="1">
      <c r="A42" s="49" t="s">
        <v>229</v>
      </c>
      <c r="B42" s="39">
        <f>IF(701503.50483="","-",701503.50483)</f>
        <v>701503.50483</v>
      </c>
      <c r="C42" s="39">
        <f>IF(680457.35929="","-",701503.50483/680457.35929*100)</f>
        <v>103.09294113035384</v>
      </c>
      <c r="D42" s="39">
        <f>IF(680457.35929="","-",680457.35929/4718168.92486*100)</f>
        <v>14.422064367061443</v>
      </c>
      <c r="E42" s="39">
        <f>IF(701503.50483="","-",701503.50483/4797462.21183*100)</f>
        <v>14.622387292601733</v>
      </c>
      <c r="F42" s="39">
        <f>IF(3904696.37575="","-",(680457.35929-600147.08556)/3904696.37575*100)</f>
        <v>2.0567610385474415</v>
      </c>
      <c r="G42" s="39">
        <f>IF(4718168.92486="","-",(701503.50483-680457.35929)/4718168.92486*100)</f>
        <v>0.4460659606549469</v>
      </c>
    </row>
    <row r="43" spans="1:7" s="9" customFormat="1" ht="15" customHeight="1">
      <c r="A43" s="40" t="s">
        <v>26</v>
      </c>
      <c r="B43" s="41">
        <f>IF(19130.01622="","-",19130.01622)</f>
        <v>19130.01622</v>
      </c>
      <c r="C43" s="41">
        <f>IF(OR(18567.80405="",19130.01622=""),"-",19130.01622/18567.80405*100)</f>
        <v>103.02788724227194</v>
      </c>
      <c r="D43" s="41">
        <f>IF(18567.80405="","-",18567.80405/4718168.92486*100)</f>
        <v>0.39353834815380107</v>
      </c>
      <c r="E43" s="41">
        <f>IF(19130.01622="","-",19130.01622/4797462.21183*100)</f>
        <v>0.39875282754343616</v>
      </c>
      <c r="F43" s="41">
        <f>IF(OR(3904696.37575="",17676.43782="",18567.80405=""),"-",(18567.80405-17676.43782)/3904696.37575*100)</f>
        <v>0.02282805484021249</v>
      </c>
      <c r="G43" s="41">
        <f>IF(OR(4718168.92486="",19130.01622="",18567.80405=""),"-",(19130.01622-18567.80405)/4718168.92486*100)</f>
        <v>0.011915897437196673</v>
      </c>
    </row>
    <row r="44" spans="1:7" s="9" customFormat="1" ht="15.75">
      <c r="A44" s="40" t="s">
        <v>27</v>
      </c>
      <c r="B44" s="41">
        <f>IF(15194.27645="","-",15194.27645)</f>
        <v>15194.27645</v>
      </c>
      <c r="C44" s="41">
        <f>IF(OR(13416.42068="",15194.27645=""),"-",15194.27645/13416.42068*100)</f>
        <v>113.25134186236623</v>
      </c>
      <c r="D44" s="41">
        <f>IF(13416.42068="","-",13416.42068/4718168.92486*100)</f>
        <v>0.28435651401349726</v>
      </c>
      <c r="E44" s="41">
        <f>IF(15194.27645="","-",15194.27645/4797462.21183*100)</f>
        <v>0.31671487505482854</v>
      </c>
      <c r="F44" s="41">
        <f>IF(OR(3904696.37575="",11037.73026="",13416.42068=""),"-",(13416.42068-11037.73026)/3904696.37575*100)</f>
        <v>0.06091870381453433</v>
      </c>
      <c r="G44" s="41">
        <f>IF(OR(4718168.92486="",15194.27645="",13416.42068=""),"-",(15194.27645-13416.42068)/4718168.92486*100)</f>
        <v>0.03768105377983586</v>
      </c>
    </row>
    <row r="45" spans="1:7" s="9" customFormat="1" ht="15.75">
      <c r="A45" s="40" t="s">
        <v>230</v>
      </c>
      <c r="B45" s="41">
        <f>IF(33121.53196="","-",33121.53196)</f>
        <v>33121.53196</v>
      </c>
      <c r="C45" s="41">
        <f>IF(OR(32266.9765="",33121.53196=""),"-",33121.53196/32266.9765*100)</f>
        <v>102.64839025125269</v>
      </c>
      <c r="D45" s="41">
        <f>IF(32266.9765="","-",32266.9765/4718168.92486*100)</f>
        <v>0.6838876906247575</v>
      </c>
      <c r="E45" s="41">
        <f>IF(33121.53196="","-",33121.53196/4797462.21183*100)</f>
        <v>0.6903969327434417</v>
      </c>
      <c r="F45" s="41">
        <f>IF(OR(3904696.37575="",28095.43986="",32266.9765=""),"-",(32266.9765-28095.43986)/3904696.37575*100)</f>
        <v>0.1068338287685364</v>
      </c>
      <c r="G45" s="41">
        <f>IF(OR(4718168.92486="",33121.53196="",32266.9765=""),"-",(33121.53196-32266.9765)/4718168.92486*100)</f>
        <v>0.0181120149280233</v>
      </c>
    </row>
    <row r="46" spans="1:7" s="9" customFormat="1" ht="15.75">
      <c r="A46" s="40" t="s">
        <v>231</v>
      </c>
      <c r="B46" s="41">
        <f>IF(216641.51689="","-",216641.51689)</f>
        <v>216641.51689</v>
      </c>
      <c r="C46" s="41">
        <f>IF(OR(189136.49054="",216641.51689=""),"-",216641.51689/189136.49054*100)</f>
        <v>114.5424218623656</v>
      </c>
      <c r="D46" s="41">
        <f>IF(189136.49054="","-",189136.49054/4718168.92486*100)</f>
        <v>4.008684164389306</v>
      </c>
      <c r="E46" s="41">
        <f>IF(216641.51689="","-",216641.51689/4797462.21183*100)</f>
        <v>4.515752440025196</v>
      </c>
      <c r="F46" s="41">
        <f>IF(OR(3904696.37575="",178215.36331="",189136.49054=""),"-",(189136.49054-178215.36331)/3904696.37575*100)</f>
        <v>0.2796920984132171</v>
      </c>
      <c r="G46" s="41">
        <f>IF(OR(4718168.92486="",216641.51689="",189136.49054=""),"-",(216641.51689-189136.49054)/4718168.92486*100)</f>
        <v>0.5829597623153382</v>
      </c>
    </row>
    <row r="47" spans="1:7" s="9" customFormat="1" ht="38.25">
      <c r="A47" s="40" t="s">
        <v>232</v>
      </c>
      <c r="B47" s="41">
        <f>IF(93564.60299="","-",93564.60299)</f>
        <v>93564.60299</v>
      </c>
      <c r="C47" s="41">
        <f>IF(OR(92917.25556="",93564.60299=""),"-",93564.60299/92917.25556*100)</f>
        <v>100.6966923701077</v>
      </c>
      <c r="D47" s="41">
        <f>IF(92917.25556="","-",92917.25556/4718168.92486*100)</f>
        <v>1.969349911793527</v>
      </c>
      <c r="E47" s="41">
        <f>IF(93564.60299="","-",93564.60299/4797462.21183*100)</f>
        <v>1.9502936940134774</v>
      </c>
      <c r="F47" s="41">
        <f>IF(OR(3904696.37575="",91166.40737="",92917.25556=""),"-",(92917.25556-91166.40737)/3904696.37575*100)</f>
        <v>0.04483954759897836</v>
      </c>
      <c r="G47" s="41">
        <f>IF(OR(4718168.92486="",93564.60299="",92917.25556=""),"-",(93564.60299-92917.25556)/4718168.92486*100)</f>
        <v>0.01372031057618826</v>
      </c>
    </row>
    <row r="48" spans="1:7" s="9" customFormat="1" ht="13.5" customHeight="1">
      <c r="A48" s="40" t="s">
        <v>234</v>
      </c>
      <c r="B48" s="41">
        <f>IF(73657.49588="","-",73657.49588)</f>
        <v>73657.49588</v>
      </c>
      <c r="C48" s="41">
        <f>IF(OR(77381.52215="",73657.49588=""),"-",73657.49588/77381.52215*100)</f>
        <v>95.18744764056053</v>
      </c>
      <c r="D48" s="41">
        <f>IF(77381.52215="","-",77381.52215/4718168.92486*100)</f>
        <v>1.6400752788285577</v>
      </c>
      <c r="E48" s="41">
        <f>IF(73657.49588="","-",73657.49588/4797462.21183*100)</f>
        <v>1.5353429089731843</v>
      </c>
      <c r="F48" s="41">
        <f>IF(OR(3904696.37575="",55805.56446="",77381.52215=""),"-",(77381.52215-55805.56446)/3904696.37575*100)</f>
        <v>0.5525642870466663</v>
      </c>
      <c r="G48" s="41">
        <f>IF(OR(4718168.92486="",73657.49588="",77381.52215=""),"-",(73657.49588-77381.52215)/4718168.92486*100)</f>
        <v>-0.07892948152784723</v>
      </c>
    </row>
    <row r="49" spans="1:7" s="9" customFormat="1" ht="15.75">
      <c r="A49" s="40" t="s">
        <v>28</v>
      </c>
      <c r="B49" s="41">
        <f>IF(44928.78233="","-",44928.78233)</f>
        <v>44928.78233</v>
      </c>
      <c r="C49" s="41">
        <f>IF(OR(49807.53385="",44928.78233=""),"-",44928.78233/49807.53385*100)</f>
        <v>90.20479204071253</v>
      </c>
      <c r="D49" s="41">
        <f>IF(49807.53385="","-",49807.53385/4718168.92486*100)</f>
        <v>1.0556538912281084</v>
      </c>
      <c r="E49" s="41">
        <f>IF(44928.78233="","-",44928.78233/4797462.21183*100)</f>
        <v>0.9365114376348956</v>
      </c>
      <c r="F49" s="41">
        <f>IF(OR(3904696.37575="",43175.67475="",49807.53385=""),"-",(49807.53385-43175.67475)/3904696.37575*100)</f>
        <v>0.1698431443014869</v>
      </c>
      <c r="G49" s="41">
        <f>IF(OR(4718168.92486="",44928.78233="",49807.53385=""),"-",(44928.78233-49807.53385)/4718168.92486*100)</f>
        <v>-0.10340349397610352</v>
      </c>
    </row>
    <row r="50" spans="1:7" s="9" customFormat="1" ht="15.75">
      <c r="A50" s="40" t="s">
        <v>29</v>
      </c>
      <c r="B50" s="41">
        <f>IF(96004.42698="","-",96004.42698)</f>
        <v>96004.42698</v>
      </c>
      <c r="C50" s="41">
        <f>IF(OR(93739.93016="",96004.42698=""),"-",96004.42698/93739.93016*100)</f>
        <v>102.41572275137696</v>
      </c>
      <c r="D50" s="41">
        <f>IF(93739.93016="","-",93739.93016/4718168.92486*100)</f>
        <v>1.986786222639994</v>
      </c>
      <c r="E50" s="41">
        <f>IF(96004.42698="","-",96004.42698/4797462.21183*100)</f>
        <v>2.001150248630702</v>
      </c>
      <c r="F50" s="41">
        <f>IF(OR(3904696.37575="",81432.19033="",93739.93016=""),"-",(93739.93016-81432.19033)/3904696.37575*100)</f>
        <v>0.3152035048470569</v>
      </c>
      <c r="G50" s="41">
        <f>IF(OR(4718168.92486="",96004.42698="",93739.93016=""),"-",(96004.42698-93739.93016)/4718168.92486*100)</f>
        <v>0.0479952468015374</v>
      </c>
    </row>
    <row r="51" spans="1:7" s="9" customFormat="1" ht="15.75">
      <c r="A51" s="40" t="s">
        <v>233</v>
      </c>
      <c r="B51" s="41">
        <f>IF(109260.85513="","-",109260.85513)</f>
        <v>109260.85513</v>
      </c>
      <c r="C51" s="41">
        <f>IF(OR(113223.4258="",109260.85513=""),"-",109260.85513/113223.4258*100)</f>
        <v>96.50022012494168</v>
      </c>
      <c r="D51" s="41">
        <f>IF(113223.4258="","-",113223.4258/4718168.92486*100)</f>
        <v>2.3997323453898938</v>
      </c>
      <c r="E51" s="41">
        <f>IF(109260.85513="","-",109260.85513/4797462.21183*100)</f>
        <v>2.277471927982571</v>
      </c>
      <c r="F51" s="41">
        <f>IF(OR(3904696.37575="",93542.2774="",113223.4258=""),"-",(113223.4258-93542.2774)/3904696.37575*100)</f>
        <v>0.5040378689167531</v>
      </c>
      <c r="G51" s="41">
        <f>IF(OR(4718168.92486="",109260.85513="",113223.4258=""),"-",(109260.85513-113223.4258)/4718168.92486*100)</f>
        <v>-0.08398534967922075</v>
      </c>
    </row>
    <row r="52" spans="1:7" s="9" customFormat="1" ht="25.5">
      <c r="A52" s="49" t="s">
        <v>235</v>
      </c>
      <c r="B52" s="39">
        <f>IF(950482.18354="","-",950482.18354)</f>
        <v>950482.18354</v>
      </c>
      <c r="C52" s="39">
        <f>IF(961305.02854="","-",950482.18354/961305.02854*100)</f>
        <v>98.87415079723057</v>
      </c>
      <c r="D52" s="39">
        <f>IF(961305.02854="","-",961305.02854/4718168.92486*100)</f>
        <v>20.374536050943203</v>
      </c>
      <c r="E52" s="39">
        <f>IF(950482.18354="","-",950482.18354/4797462.21183*100)</f>
        <v>19.812186976610636</v>
      </c>
      <c r="F52" s="39">
        <f>IF(3904696.37575="","-",(961305.02854-816052.69395)/3904696.37575*100)</f>
        <v>3.7199392888032285</v>
      </c>
      <c r="G52" s="39">
        <f>IF(4718168.92486="","-",(950482.18354-961305.02854)/4718168.92486*100)</f>
        <v>-0.2293865516975129</v>
      </c>
    </row>
    <row r="53" spans="1:7" s="9" customFormat="1" ht="15.75">
      <c r="A53" s="40" t="s">
        <v>236</v>
      </c>
      <c r="B53" s="41">
        <f>IF(45599.96619="","-",45599.96619)</f>
        <v>45599.96619</v>
      </c>
      <c r="C53" s="41">
        <f>IF(OR(47383.36938="",45599.96619=""),"-",45599.96619/47383.36938*100)</f>
        <v>96.23622546615954</v>
      </c>
      <c r="D53" s="41">
        <f>IF(47383.36938="","-",47383.36938/4718168.92486*100)</f>
        <v>1.0042745424043076</v>
      </c>
      <c r="E53" s="41">
        <f>IF(45599.96619="","-",45599.96619/4797462.21183*100)</f>
        <v>0.950501831521583</v>
      </c>
      <c r="F53" s="41">
        <f>IF(OR(3904696.37575="",36488.17656="",47383.36938=""),"-",(47383.36938-36488.17656)/3904696.37575*100)</f>
        <v>0.27902791335234833</v>
      </c>
      <c r="G53" s="41">
        <f>IF(OR(4718168.92486="",45599.96619="",47383.36938=""),"-",(45599.96619-47383.36938)/4718168.92486*100)</f>
        <v>-0.03779862947685612</v>
      </c>
    </row>
    <row r="54" spans="1:7" s="9" customFormat="1" ht="15.75">
      <c r="A54" s="40" t="s">
        <v>30</v>
      </c>
      <c r="B54" s="41">
        <f>IF(56751.16275="","-",56751.16275)</f>
        <v>56751.16275</v>
      </c>
      <c r="C54" s="41">
        <f>IF(OR(56516.41437="",56751.16275=""),"-",56751.16275/56516.41437*100)</f>
        <v>100.41536318716746</v>
      </c>
      <c r="D54" s="41">
        <f>IF(56516.41437="","-",56516.41437/4718168.92486*100)</f>
        <v>1.1978463524740584</v>
      </c>
      <c r="E54" s="41">
        <f>IF(56751.16275="","-",56751.16275/4797462.21183*100)</f>
        <v>1.1829413186425533</v>
      </c>
      <c r="F54" s="41">
        <f>IF(OR(3904696.37575="",47496.22791="",56516.41437=""),"-",(56516.41437-47496.22791)/3904696.37575*100)</f>
        <v>0.23100865194076534</v>
      </c>
      <c r="G54" s="41">
        <f>IF(OR(4718168.92486="",56751.16275="",56516.41437=""),"-",(56751.16275-56516.41437)/4718168.92486*100)</f>
        <v>0.004975412787005504</v>
      </c>
    </row>
    <row r="55" spans="1:7" s="9" customFormat="1" ht="15.75">
      <c r="A55" s="40" t="s">
        <v>237</v>
      </c>
      <c r="B55" s="41">
        <f>IF(77287.13418="","-",77287.13418)</f>
        <v>77287.13418</v>
      </c>
      <c r="C55" s="41">
        <f>IF(OR(73381.1298="",77287.13418=""),"-",77287.13418/73381.1298*100)</f>
        <v>105.32290030236085</v>
      </c>
      <c r="D55" s="41">
        <f>IF(73381.1298="","-",73381.1298/4718168.92486*100)</f>
        <v>1.5552883113903644</v>
      </c>
      <c r="E55" s="41">
        <f>IF(77287.13418="","-",77287.13418/4797462.21183*100)</f>
        <v>1.6110003741023462</v>
      </c>
      <c r="F55" s="41">
        <f>IF(OR(3904696.37575="",57966.37692="",73381.1298=""),"-",(73381.1298-57966.37692)/3904696.37575*100)</f>
        <v>0.3947746865987546</v>
      </c>
      <c r="G55" s="41">
        <f>IF(OR(4718168.92486="",77287.13418="",73381.1298=""),"-",(77287.13418-73381.1298)/4718168.92486*100)</f>
        <v>0.08278644622958047</v>
      </c>
    </row>
    <row r="56" spans="1:7" s="9" customFormat="1" ht="25.5">
      <c r="A56" s="40" t="s">
        <v>238</v>
      </c>
      <c r="B56" s="41">
        <f>IF(87157.32877="","-",87157.32877)</f>
        <v>87157.32877</v>
      </c>
      <c r="C56" s="41">
        <f>IF(OR(83114.57413="",87157.32877=""),"-",87157.32877/83114.57413*100)</f>
        <v>104.86407430022646</v>
      </c>
      <c r="D56" s="41">
        <f>IF(83114.57413="","-",83114.57413/4718168.92486*100)</f>
        <v>1.7615853830936377</v>
      </c>
      <c r="E56" s="41">
        <f>IF(87157.32877="","-",87157.32877/4797462.21183*100)</f>
        <v>1.8167382028581665</v>
      </c>
      <c r="F56" s="41">
        <f>IF(OR(3904696.37575="",71825.14446="",83114.57413=""),"-",(83114.57413-71825.14446)/3904696.37575*100)</f>
        <v>0.28912439236281373</v>
      </c>
      <c r="G56" s="41">
        <f>IF(OR(4718168.92486="",87157.32877="",83114.57413=""),"-",(87157.32877-83114.57413)/4718168.92486*100)</f>
        <v>0.08568482189560345</v>
      </c>
    </row>
    <row r="57" spans="1:7" s="9" customFormat="1" ht="25.5">
      <c r="A57" s="40" t="s">
        <v>278</v>
      </c>
      <c r="B57" s="41">
        <f>IF(227659.54461="","-",227659.54461)</f>
        <v>227659.54461</v>
      </c>
      <c r="C57" s="41">
        <f>IF(OR(249373.60199="",227659.54461=""),"-",227659.54461/249373.60199*100)</f>
        <v>91.29255975503344</v>
      </c>
      <c r="D57" s="41">
        <f>IF(249373.60199="","-",249373.60199/4718168.92486*100)</f>
        <v>5.285389437331339</v>
      </c>
      <c r="E57" s="41">
        <f>IF(227659.54461="","-",227659.54461/4797462.21183*100)</f>
        <v>4.745416108721342</v>
      </c>
      <c r="F57" s="41">
        <f>IF(OR(3904696.37575="",228273.43791="",249373.60199=""),"-",(249373.60199-228273.43791)/3904696.37575*100)</f>
        <v>0.5403791242525776</v>
      </c>
      <c r="G57" s="41">
        <f>IF(OR(4718168.92486="",227659.54461="",249373.60199=""),"-",(227659.54461-249373.60199)/4718168.92486*100)</f>
        <v>-0.4602221269694004</v>
      </c>
    </row>
    <row r="58" spans="1:7" s="9" customFormat="1" ht="14.25" customHeight="1">
      <c r="A58" s="40" t="s">
        <v>31</v>
      </c>
      <c r="B58" s="41">
        <f>IF(109786.96358="","-",109786.96358)</f>
        <v>109786.96358</v>
      </c>
      <c r="C58" s="41">
        <f>IF(OR(107954.23718="",109786.96358=""),"-",109786.96358/107954.23718*100)</f>
        <v>101.69768825001668</v>
      </c>
      <c r="D58" s="41">
        <f>IF(107954.23718="","-",107954.23718/4718168.92486*100)</f>
        <v>2.2880536686846855</v>
      </c>
      <c r="E58" s="41">
        <f>IF(109786.96358="","-",109786.96358/4797462.21183*100)</f>
        <v>2.288438318686028</v>
      </c>
      <c r="F58" s="41">
        <f>IF(OR(3904696.37575="",97253.55638="",107954.23718=""),"-",(107954.23718-97253.55638)/3904696.37575*100)</f>
        <v>0.27404642436365245</v>
      </c>
      <c r="G58" s="41">
        <f>IF(OR(4718168.92486="",109786.96358="",107954.23718=""),"-",(109786.96358-107954.23718)/4718168.92486*100)</f>
        <v>0.03884401828733551</v>
      </c>
    </row>
    <row r="59" spans="1:7" s="9" customFormat="1" ht="15" customHeight="1">
      <c r="A59" s="40" t="s">
        <v>239</v>
      </c>
      <c r="B59" s="41">
        <f>IF(123900.61497="","-",123900.61497)</f>
        <v>123900.61497</v>
      </c>
      <c r="C59" s="41">
        <f>IF(OR(115501.16393="",123900.61497=""),"-",123900.61497/115501.16393*100)</f>
        <v>107.2721786986411</v>
      </c>
      <c r="D59" s="41">
        <f>IF(115501.16393="","-",115501.16393/4718168.92486*100)</f>
        <v>2.4480082372936067</v>
      </c>
      <c r="E59" s="41">
        <f>IF(123900.61497="","-",123900.61497/4797462.21183*100)</f>
        <v>2.5826282625942327</v>
      </c>
      <c r="F59" s="41">
        <f>IF(OR(3904696.37575="",93916.90505="",115501.16393=""),"-",(115501.16393-93916.90505)/3904696.37575*100)</f>
        <v>0.5527768820656168</v>
      </c>
      <c r="G59" s="41">
        <f>IF(OR(4718168.92486="",123900.61497="",115501.16393=""),"-",(123900.61497-115501.16393)/4718168.92486*100)</f>
        <v>0.1780235335734452</v>
      </c>
    </row>
    <row r="60" spans="1:7" s="9" customFormat="1" ht="15.75">
      <c r="A60" s="40" t="s">
        <v>32</v>
      </c>
      <c r="B60" s="41">
        <f>IF(78390.61921="","-",78390.61921)</f>
        <v>78390.61921</v>
      </c>
      <c r="C60" s="41">
        <f>IF(OR(89704.22125="",78390.61921=""),"-",78390.61921/89704.22125*100)</f>
        <v>87.38788221741571</v>
      </c>
      <c r="D60" s="41">
        <f>IF(89704.22125="","-",89704.22125/4718168.92486*100)</f>
        <v>1.9012507326168226</v>
      </c>
      <c r="E60" s="41">
        <f>IF(78390.61921="","-",78390.61921/4797462.21183*100)</f>
        <v>1.6340018065530058</v>
      </c>
      <c r="F60" s="41">
        <f>IF(OR(3904696.37575="",68457.21795="",89704.22125=""),"-",(89704.22125-68457.21795)/3904696.37575*100)</f>
        <v>0.5441397039717064</v>
      </c>
      <c r="G60" s="41">
        <f>IF(OR(4718168.92486="",78390.61921="",89704.22125=""),"-",(78390.61921-89704.22125)/4718168.92486*100)</f>
        <v>-0.23978798173988022</v>
      </c>
    </row>
    <row r="61" spans="1:7" s="9" customFormat="1" ht="15" customHeight="1">
      <c r="A61" s="40" t="s">
        <v>33</v>
      </c>
      <c r="B61" s="41">
        <f>IF(143948.84928="","-",143948.84928)</f>
        <v>143948.84928</v>
      </c>
      <c r="C61" s="41">
        <f>IF(OR(138376.31651="",143948.84928=""),"-",143948.84928/138376.31651*100)</f>
        <v>104.0270856390351</v>
      </c>
      <c r="D61" s="41">
        <f>IF(138376.31651="","-",138376.31651/4718168.92486*100)</f>
        <v>2.9328393856543826</v>
      </c>
      <c r="E61" s="41">
        <f>IF(143948.84928="","-",143948.84928/4797462.21183*100)</f>
        <v>3.0005207529313807</v>
      </c>
      <c r="F61" s="41">
        <f>IF(OR(3904696.37575="",114375.65081="",138376.31651=""),"-",(138376.31651-114375.65081)/3904696.37575*100)</f>
        <v>0.6146615098949924</v>
      </c>
      <c r="G61" s="41">
        <f>IF(OR(4718168.92486="",143948.84928="",138376.31651=""),"-",(143948.84928-138376.31651)/4718168.92486*100)</f>
        <v>0.11810795371565341</v>
      </c>
    </row>
    <row r="62" spans="1:7" s="9" customFormat="1" ht="15.75">
      <c r="A62" s="49" t="s">
        <v>240</v>
      </c>
      <c r="B62" s="39">
        <f>IF(1162502.58269="","-",1162502.58269)</f>
        <v>1162502.58269</v>
      </c>
      <c r="C62" s="39">
        <f>IF(1135276.93042="","-",1162502.58269/1135276.93042*100)</f>
        <v>102.39815075427701</v>
      </c>
      <c r="D62" s="39">
        <f>IF(1135276.93042="","-",1135276.93042/4718168.92486*100)</f>
        <v>24.06181187024131</v>
      </c>
      <c r="E62" s="39">
        <f>IF(1162502.58269="","-",1162502.58269/4797462.21183*100)</f>
        <v>24.231615203208897</v>
      </c>
      <c r="F62" s="39">
        <f>IF(3904696.37575="","-",(1135276.93042-863550.32178)/3904696.37575*100)</f>
        <v>6.958968956653072</v>
      </c>
      <c r="G62" s="39">
        <f>IF(4718168.92486="","-",(1162502.58269-1135276.93042)/4718168.92486*100)</f>
        <v>0.5770385228589038</v>
      </c>
    </row>
    <row r="63" spans="1:7" s="9" customFormat="1" ht="25.5">
      <c r="A63" s="40" t="s">
        <v>241</v>
      </c>
      <c r="B63" s="41">
        <f>IF(17114.21741="","-",17114.21741)</f>
        <v>17114.21741</v>
      </c>
      <c r="C63" s="41">
        <f>IF(OR(20760.21548="",17114.21741=""),"-",17114.21741/20760.21548*100)</f>
        <v>82.43757116339913</v>
      </c>
      <c r="D63" s="41">
        <f>IF(20760.21548="","-",20760.21548/4718168.92486*100)</f>
        <v>0.44000576941225156</v>
      </c>
      <c r="E63" s="41">
        <f>IF(17114.21741="","-",17114.21741/4797462.21183*100)</f>
        <v>0.35673480382603684</v>
      </c>
      <c r="F63" s="41">
        <f>IF(OR(3904696.37575="",13726.64847="",20760.21548=""),"-",(20760.21548-13726.64847)/3904696.37575*100)</f>
        <v>0.18013095854729594</v>
      </c>
      <c r="G63" s="41">
        <f>IF(OR(4718168.92486="",17114.21741="",20760.21548=""),"-",(17114.21741-20760.21548)/4718168.92486*100)</f>
        <v>-0.0772757001299648</v>
      </c>
    </row>
    <row r="64" spans="1:7" s="9" customFormat="1" ht="25.5">
      <c r="A64" s="40" t="s">
        <v>242</v>
      </c>
      <c r="B64" s="41">
        <f>IF(164831.38049="","-",164831.38049)</f>
        <v>164831.38049</v>
      </c>
      <c r="C64" s="41">
        <f>IF(OR(183150.73649="",164831.38049=""),"-",164831.38049/183150.73649*100)</f>
        <v>89.99766184341811</v>
      </c>
      <c r="D64" s="41">
        <f>IF(183150.73649="","-",183150.73649/4718168.92486*100)</f>
        <v>3.8818181249293566</v>
      </c>
      <c r="E64" s="41">
        <f>IF(164831.38049="","-",164831.38049/4797462.21183*100)</f>
        <v>3.4358036230810622</v>
      </c>
      <c r="F64" s="41">
        <f>IF(OR(3904696.37575="",132031.40266="",183150.73649=""),"-",(183150.73649-132031.40266)/3904696.37575*100)</f>
        <v>1.3091756416062235</v>
      </c>
      <c r="G64" s="41">
        <f>IF(OR(4718168.92486="",164831.38049="",183150.73649=""),"-",(164831.38049-183150.73649)/4718168.92486*100)</f>
        <v>-0.3882725754789202</v>
      </c>
    </row>
    <row r="65" spans="1:7" s="9" customFormat="1" ht="25.5">
      <c r="A65" s="40" t="s">
        <v>243</v>
      </c>
      <c r="B65" s="41">
        <f>IF(8893.13307="","-",8893.13307)</f>
        <v>8893.13307</v>
      </c>
      <c r="C65" s="41">
        <f>IF(OR(11937.02644="",8893.13307=""),"-",8893.13307/11937.02644*100)</f>
        <v>74.50040522822198</v>
      </c>
      <c r="D65" s="41">
        <f>IF(11937.02644="","-",11937.02644/4718168.92486*100)</f>
        <v>0.253001251759001</v>
      </c>
      <c r="E65" s="41">
        <f>IF(8893.13307="","-",8893.13307/4797462.21183*100)</f>
        <v>0.18537161268452593</v>
      </c>
      <c r="F65" s="41">
        <f>IF(OR(3904696.37575="",7967.07879="",11937.02644=""),"-",(11937.02644-7967.07879)/3904696.37575*100)</f>
        <v>0.10167109726265122</v>
      </c>
      <c r="G65" s="41">
        <f>IF(OR(4718168.92486="",8893.13307="",11937.02644=""),"-",(8893.13307-11937.02644)/4718168.92486*100)</f>
        <v>-0.06451429396607117</v>
      </c>
    </row>
    <row r="66" spans="1:7" s="9" customFormat="1" ht="38.25">
      <c r="A66" s="40" t="s">
        <v>244</v>
      </c>
      <c r="B66" s="41">
        <f>IF(159608.44667="","-",159608.44667)</f>
        <v>159608.44667</v>
      </c>
      <c r="C66" s="41">
        <f>IF(OR(146215.51524="",159608.44667=""),"-",159608.44667/146215.51524*100)</f>
        <v>109.15971975205004</v>
      </c>
      <c r="D66" s="41">
        <f>IF(146215.51524="","-",146215.51524/4718168.92486*100)</f>
        <v>3.0989885603627174</v>
      </c>
      <c r="E66" s="41">
        <f>IF(159608.44667="","-",159608.44667/4797462.21183*100)</f>
        <v>3.326934942320621</v>
      </c>
      <c r="F66" s="41">
        <f>IF(OR(3904696.37575="",123626.13605="",146215.51524=""),"-",(146215.51524-123626.13605)/3904696.37575*100)</f>
        <v>0.57851820003959</v>
      </c>
      <c r="G66" s="41">
        <f>IF(OR(4718168.92486="",159608.44667="",146215.51524=""),"-",(159608.44667-146215.51524)/4718168.92486*100)</f>
        <v>0.28385866727731457</v>
      </c>
    </row>
    <row r="67" spans="1:7" s="9" customFormat="1" ht="25.5">
      <c r="A67" s="40" t="s">
        <v>245</v>
      </c>
      <c r="B67" s="41">
        <f>IF(36429.62415="","-",36429.62415)</f>
        <v>36429.62415</v>
      </c>
      <c r="C67" s="41">
        <f>IF(OR(44823.51662="",36429.62415=""),"-",36429.62415/44823.51662*100)</f>
        <v>81.27346289859219</v>
      </c>
      <c r="D67" s="41">
        <f>IF(44823.51662="","-",44823.51662/4718168.92486*100)</f>
        <v>0.9500193260106734</v>
      </c>
      <c r="E67" s="41">
        <f>IF(36429.62415="","-",36429.62415/4797462.21183*100)</f>
        <v>0.7593519769716718</v>
      </c>
      <c r="F67" s="41">
        <f>IF(OR(3904696.37575="",35282.49523="",44823.51662=""),"-",(44823.51662-35282.49523)/3904696.37575*100)</f>
        <v>0.2443473313124736</v>
      </c>
      <c r="G67" s="41">
        <f>IF(OR(4718168.92486="",36429.62415="",44823.51662=""),"-",(36429.62415-44823.51662)/4718168.92486*100)</f>
        <v>-0.17790572155593323</v>
      </c>
    </row>
    <row r="68" spans="1:7" s="9" customFormat="1" ht="39" customHeight="1">
      <c r="A68" s="40" t="s">
        <v>246</v>
      </c>
      <c r="B68" s="41">
        <f>IF(130826.56522="","-",130826.56522)</f>
        <v>130826.56522</v>
      </c>
      <c r="C68" s="41">
        <f>IF(OR(119376.89844="",130826.56522=""),"-",130826.56522/119376.89844*100)</f>
        <v>109.59119136920341</v>
      </c>
      <c r="D68" s="41">
        <f>IF(119376.89844="","-",119376.89844/4718168.92486*100)</f>
        <v>2.5301531238316617</v>
      </c>
      <c r="E68" s="41">
        <f>IF(130826.56522="","-",130826.56522/4797462.21183*100)</f>
        <v>2.7269952204604437</v>
      </c>
      <c r="F68" s="41">
        <f>IF(OR(3904696.37575="",88974.27532="",119376.89844=""),"-",(119376.89844-88974.27532)/3904696.37575*100)</f>
        <v>0.7786168294368438</v>
      </c>
      <c r="G68" s="41">
        <f>IF(OR(4718168.92486="",130826.56522="",119376.89844=""),"-",(130826.56522-119376.89844)/4718168.92486*100)</f>
        <v>0.24267182804057277</v>
      </c>
    </row>
    <row r="69" spans="1:7" s="9" customFormat="1" ht="38.25" customHeight="1">
      <c r="A69" s="40" t="s">
        <v>247</v>
      </c>
      <c r="B69" s="41">
        <f>IF(364867.53192="","-",364867.53192)</f>
        <v>364867.53192</v>
      </c>
      <c r="C69" s="41">
        <f>IF(OR(355960.0415="",364867.53192=""),"-",364867.53192/355960.0415*100)</f>
        <v>102.50238492569676</v>
      </c>
      <c r="D69" s="41">
        <f>IF(355960.0415="","-",355960.0415/4718168.92486*100)</f>
        <v>7.544453095446604</v>
      </c>
      <c r="E69" s="41">
        <f>IF(364867.53192="","-",364867.53192/4797462.21183*100)</f>
        <v>7.605427949391197</v>
      </c>
      <c r="F69" s="41">
        <f>IF(OR(3904696.37575="",256663.41126="",355960.0415=""),"-",(355960.0415-256663.41126)/3904696.37575*100)</f>
        <v>2.5430051580112285</v>
      </c>
      <c r="G69" s="41">
        <f>IF(OR(4718168.92486="",364867.53192="",355960.0415=""),"-",(364867.53192-355960.0415)/4718168.92486*100)</f>
        <v>0.1887912569867196</v>
      </c>
    </row>
    <row r="70" spans="1:7" s="9" customFormat="1" ht="25.5">
      <c r="A70" s="40" t="s">
        <v>248</v>
      </c>
      <c r="B70" s="41">
        <f>IF(271483.18047="","-",271483.18047)</f>
        <v>271483.18047</v>
      </c>
      <c r="C70" s="41">
        <f>IF(OR(249273.36614="",271483.18047=""),"-",271483.18047/249273.36614*100)</f>
        <v>108.90982244670546</v>
      </c>
      <c r="D70" s="41">
        <f>IF(249273.36614="","-",249273.36614/4718168.92486*100)</f>
        <v>5.283264972277283</v>
      </c>
      <c r="E70" s="41">
        <f>IF(271483.18047="","-",271483.18047/4797462.21183*100)</f>
        <v>5.658891482262291</v>
      </c>
      <c r="F70" s="41">
        <f>IF(OR(3904696.37575="",203220.75005="",249273.36614=""),"-",(249273.36614-203220.75005)/3904696.37575*100)</f>
        <v>1.179416058467654</v>
      </c>
      <c r="G70" s="41">
        <f>IF(OR(4718168.92486="",271483.18047="",249273.36614=""),"-",(271483.18047-249273.36614)/4718168.92486*100)</f>
        <v>0.4707295284188886</v>
      </c>
    </row>
    <row r="71" spans="1:7" s="9" customFormat="1" ht="15.75">
      <c r="A71" s="40" t="s">
        <v>34</v>
      </c>
      <c r="B71" s="41">
        <f>IF(8448.50329="","-",8448.50329)</f>
        <v>8448.50329</v>
      </c>
      <c r="C71" s="41" t="s">
        <v>168</v>
      </c>
      <c r="D71" s="41">
        <f>IF(3779.61407="","-",3779.61407/4718168.92486*100)</f>
        <v>0.08010764621175896</v>
      </c>
      <c r="E71" s="41">
        <f>IF(8448.50329="","-",8448.50329/4797462.21183*100)</f>
        <v>0.17610359221104327</v>
      </c>
      <c r="F71" s="41">
        <f>IF(OR(3904696.37575="",2058.12395="",3779.61407=""),"-",(3779.61407-2058.12395)/3904696.37575*100)</f>
        <v>0.04408768196910937</v>
      </c>
      <c r="G71" s="41">
        <f>IF(OR(4718168.92486="",8448.50329="",3779.61407=""),"-",(8448.50329-3779.61407)/4718168.92486*100)</f>
        <v>0.09895553326629862</v>
      </c>
    </row>
    <row r="72" spans="1:7" s="9" customFormat="1" ht="15.75">
      <c r="A72" s="49" t="s">
        <v>35</v>
      </c>
      <c r="B72" s="39">
        <f>IF(521913.35116="","-",521913.35116)</f>
        <v>521913.35116</v>
      </c>
      <c r="C72" s="39">
        <f>IF(484099.11554="","-",521913.35116/484099.11554*100)</f>
        <v>107.81125897695954</v>
      </c>
      <c r="D72" s="39">
        <f>IF(484099.11554="","-",484099.11554/4718168.92486*100)</f>
        <v>10.260317577636636</v>
      </c>
      <c r="E72" s="39">
        <f>IF(521913.35116="","-",521913.35116/4797462.21183*100)</f>
        <v>10.878946578735329</v>
      </c>
      <c r="F72" s="39">
        <f>IF(3904696.37575="","-",(484099.11554-418148.33067)/3904696.37575*100)</f>
        <v>1.6890118596566281</v>
      </c>
      <c r="G72" s="39">
        <f>IF(4718168.92486="","-",(521913.35116-484099.11554)/4718168.92486*100)</f>
        <v>0.8014599778476994</v>
      </c>
    </row>
    <row r="73" spans="1:7" s="9" customFormat="1" ht="38.25">
      <c r="A73" s="40" t="s">
        <v>279</v>
      </c>
      <c r="B73" s="41">
        <f>IF(41529.32154="","-",41529.32154)</f>
        <v>41529.32154</v>
      </c>
      <c r="C73" s="41">
        <f>IF(OR(36449.64268="",41529.32154=""),"-",41529.32154/36449.64268*100)</f>
        <v>113.93615543668206</v>
      </c>
      <c r="D73" s="41">
        <f>IF(36449.64268="","-",36449.64268/4718168.92486*100)</f>
        <v>0.772537890450405</v>
      </c>
      <c r="E73" s="41">
        <f>IF(41529.32154="","-",41529.32154/4797462.21183*100)</f>
        <v>0.8656518739760654</v>
      </c>
      <c r="F73" s="41">
        <f>IF(OR(3904696.37575="",32147.33302="",36449.64268=""),"-",(36449.64268-32147.33302)/3904696.37575*100)</f>
        <v>0.11018295011922988</v>
      </c>
      <c r="G73" s="41">
        <f>IF(OR(4718168.92486="",41529.32154="",36449.64268=""),"-",(41529.32154-36449.64268)/4718168.92486*100)</f>
        <v>0.10766208122043293</v>
      </c>
    </row>
    <row r="74" spans="1:7" s="9" customFormat="1" ht="14.25" customHeight="1">
      <c r="A74" s="40" t="s">
        <v>249</v>
      </c>
      <c r="B74" s="41">
        <f>IF(47208.84441="","-",47208.84441)</f>
        <v>47208.84441</v>
      </c>
      <c r="C74" s="41">
        <f>IF(OR(42924.09117="",47208.84441=""),"-",47208.84441/42924.09117*100)</f>
        <v>109.98216414886997</v>
      </c>
      <c r="D74" s="41">
        <f>IF(42924.09117="","-",42924.09117/4718168.92486*100)</f>
        <v>0.9097616438409667</v>
      </c>
      <c r="E74" s="41">
        <f>IF(47208.84441="","-",47208.84441/4797462.21183*100)</f>
        <v>0.9840378584658429</v>
      </c>
      <c r="F74" s="41">
        <f>IF(OR(3904696.37575="",37019.15778="",42924.09117=""),"-",(42924.09117-37019.15778)/3904696.37575*100)</f>
        <v>0.1512264417451869</v>
      </c>
      <c r="G74" s="41">
        <f>IF(OR(4718168.92486="",47208.84441="",42924.09117=""),"-",(47208.84441-42924.09117)/4718168.92486*100)</f>
        <v>0.09081390065166305</v>
      </c>
    </row>
    <row r="75" spans="1:7" s="9" customFormat="1" ht="15.75">
      <c r="A75" s="40" t="s">
        <v>250</v>
      </c>
      <c r="B75" s="41">
        <f>IF(7767.9615="","-",7767.9615)</f>
        <v>7767.9615</v>
      </c>
      <c r="C75" s="41">
        <f>IF(OR(7007.05186="",7767.9615=""),"-",7767.9615/7007.05186*100)</f>
        <v>110.85919806507614</v>
      </c>
      <c r="D75" s="41">
        <f>IF(7007.05186="","-",7007.05186/4718168.92486*100)</f>
        <v>0.14851210229205428</v>
      </c>
      <c r="E75" s="41">
        <f>IF(7767.9615="","-",7767.9615/4797462.21183*100)</f>
        <v>0.16191813831998686</v>
      </c>
      <c r="F75" s="41">
        <f>IF(OR(3904696.37575="",11986.48609="",7007.05186=""),"-",(7007.05186-11986.48609)/3904696.37575*100)</f>
        <v>-0.12752423622293985</v>
      </c>
      <c r="G75" s="41">
        <f>IF(OR(4718168.92486="",7767.9615="",7007.05186=""),"-",(7767.9615-7007.05186)/4718168.92486*100)</f>
        <v>0.016127223338502635</v>
      </c>
    </row>
    <row r="76" spans="1:7" s="9" customFormat="1" ht="15.75">
      <c r="A76" s="40" t="s">
        <v>251</v>
      </c>
      <c r="B76" s="41">
        <f>IF(120180.80818="","-",120180.80818)</f>
        <v>120180.80818</v>
      </c>
      <c r="C76" s="41">
        <f>IF(OR(122050.48269="",120180.80818=""),"-",120180.80818/122050.48269*100)</f>
        <v>98.4681137929222</v>
      </c>
      <c r="D76" s="41">
        <f>IF(122050.48269="","-",122050.48269/4718168.92486*100)</f>
        <v>2.5868188408201505</v>
      </c>
      <c r="E76" s="41">
        <f>IF(120180.80818="","-",120180.80818/4797462.21183*100)</f>
        <v>2.5050912935519887</v>
      </c>
      <c r="F76" s="41">
        <f>IF(OR(3904696.37575="",108251.64637="",122050.48269=""),"-",(122050.48269-108251.64637)/3904696.37575*100)</f>
        <v>0.3533907631255854</v>
      </c>
      <c r="G76" s="41">
        <f>IF(OR(4718168.92486="",120180.80818="",122050.48269=""),"-",(120180.80818-122050.48269)/4718168.92486*100)</f>
        <v>-0.039627121024613916</v>
      </c>
    </row>
    <row r="77" spans="1:7" ht="15.75">
      <c r="A77" s="40" t="s">
        <v>259</v>
      </c>
      <c r="B77" s="41">
        <f>IF(40521.09561="","-",40521.09561)</f>
        <v>40521.09561</v>
      </c>
      <c r="C77" s="41">
        <f>IF(OR(35830.9337="",40521.09561=""),"-",40521.09561/35830.9337*100)</f>
        <v>113.08970050646488</v>
      </c>
      <c r="D77" s="41">
        <f>IF(35830.9337="","-",35830.9337/4718168.92486*100)</f>
        <v>0.7594245621687484</v>
      </c>
      <c r="E77" s="41">
        <f>IF(40521.09561="","-",40521.09561/4797462.21183*100)</f>
        <v>0.8446360559147199</v>
      </c>
      <c r="F77" s="41">
        <f>IF(OR(3904696.37575="",35450.87278="",35830.9337=""),"-",(35830.9337-35450.87278)/3904696.37575*100)</f>
        <v>0.009733430808099715</v>
      </c>
      <c r="G77" s="41">
        <f>IF(OR(4718168.92486="",40521.09561="",35830.9337=""),"-",(40521.09561-35830.9337)/4718168.92486*100)</f>
        <v>0.09940640076042137</v>
      </c>
    </row>
    <row r="78" spans="1:7" ht="25.5">
      <c r="A78" s="40" t="s">
        <v>252</v>
      </c>
      <c r="B78" s="41">
        <f>IF(53301.00433="","-",53301.00433)</f>
        <v>53301.00433</v>
      </c>
      <c r="C78" s="41">
        <f>IF(OR(48793.39856="",53301.00433=""),"-",53301.00433/48793.39856*100)</f>
        <v>109.23814676376173</v>
      </c>
      <c r="D78" s="41">
        <f>IF(48793.39856="","-",48793.39856/4718168.92486*100)</f>
        <v>1.0341596355931202</v>
      </c>
      <c r="E78" s="41">
        <f>IF(53301.00433="","-",53301.00433/4797462.21183*100)</f>
        <v>1.1110249956438583</v>
      </c>
      <c r="F78" s="41">
        <f>IF(OR(3904696.37575="",39817.08194="",48793.39856=""),"-",(48793.39856-39817.08194)/3904696.37575*100)</f>
        <v>0.22988513718370396</v>
      </c>
      <c r="G78" s="41">
        <f>IF(OR(4718168.92486="",53301.00433="",48793.39856=""),"-",(53301.00433-48793.39856)/4718168.92486*100)</f>
        <v>0.0955371849076759</v>
      </c>
    </row>
    <row r="79" spans="1:7" ht="25.5">
      <c r="A79" s="40" t="s">
        <v>253</v>
      </c>
      <c r="B79" s="41">
        <f>IF(9500.17504="","-",9500.17504)</f>
        <v>9500.17504</v>
      </c>
      <c r="C79" s="41">
        <f>IF(OR(10099.4669="",9500.17504=""),"-",9500.17504/10099.4669*100)</f>
        <v>94.06610402376783</v>
      </c>
      <c r="D79" s="41">
        <f>IF(10099.4669="","-",10099.4669/4718168.92486*100)</f>
        <v>0.21405479669848143</v>
      </c>
      <c r="E79" s="41">
        <f>IF(9500.17504="","-",9500.17504/4797462.21183*100)</f>
        <v>0.19802501031844794</v>
      </c>
      <c r="F79" s="41">
        <f>IF(OR(3904696.37575="",8117.56178="",10099.4669=""),"-",(10099.4669-8117.56178)/3904696.37575*100)</f>
        <v>0.05075695852585522</v>
      </c>
      <c r="G79" s="41">
        <f>IF(OR(4718168.92486="",9500.17504="",10099.4669=""),"-",(9500.17504-10099.4669)/4718168.92486*100)</f>
        <v>-0.01270178896822313</v>
      </c>
    </row>
    <row r="80" spans="1:7" ht="15.75">
      <c r="A80" s="40" t="s">
        <v>36</v>
      </c>
      <c r="B80" s="41">
        <f>IF(201904.14055="","-",201904.14055)</f>
        <v>201904.14055</v>
      </c>
      <c r="C80" s="41">
        <f>IF(OR(180944.04798="",201904.14055=""),"-",201904.14055/180944.04798*100)</f>
        <v>111.58374249056082</v>
      </c>
      <c r="D80" s="41">
        <f>IF(180944.04798="","-",180944.04798/4718168.92486*100)</f>
        <v>3.8350481057727084</v>
      </c>
      <c r="E80" s="41">
        <f>IF(201904.14055="","-",201904.14055/4797462.21183*100)</f>
        <v>4.208561352544418</v>
      </c>
      <c r="F80" s="41">
        <f>IF(OR(3904696.37575="",145358.19091="",180944.04798=""),"-",(180944.04798-145358.19091)/3904696.37575*100)</f>
        <v>0.911360414371906</v>
      </c>
      <c r="G80" s="41">
        <f>IF(OR(4718168.92486="",201904.14055="",180944.04798=""),"-",(201904.14055-180944.04798)/4718168.92486*100)</f>
        <v>0.44424209696184097</v>
      </c>
    </row>
    <row r="81" spans="1:7" ht="25.5">
      <c r="A81" s="31" t="s">
        <v>254</v>
      </c>
      <c r="B81" s="32">
        <f>IF(146.58465="","-",146.58465)</f>
        <v>146.58465</v>
      </c>
      <c r="C81" s="32">
        <f>IF(419.97399="","-",146.58465/419.97399*100)</f>
        <v>34.90326865242297</v>
      </c>
      <c r="D81" s="32">
        <f>IF(419.97399="","-",419.97399/4718168.92486*100)</f>
        <v>0.00890120715659755</v>
      </c>
      <c r="E81" s="32">
        <f>IF(146.58465="","-",146.58465/4797462.21183*100)</f>
        <v>0.0030554623158581384</v>
      </c>
      <c r="F81" s="32">
        <f>IF(3904696.37575="","-",(419.97399-672.60707)/3904696.37575*100)</f>
        <v>-0.006469980139018495</v>
      </c>
      <c r="G81" s="32">
        <f>IF(4718168.92486="","-",(146.58465-419.97399)/4718168.92486*100)</f>
        <v>-0.005794394909421607</v>
      </c>
    </row>
    <row r="82" ht="15.75">
      <c r="A82" s="29" t="s">
        <v>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3"/>
  <sheetViews>
    <sheetView zoomScalePageLayoutView="0" workbookViewId="0" topLeftCell="A1">
      <selection activeCell="F74" sqref="F74"/>
    </sheetView>
  </sheetViews>
  <sheetFormatPr defaultColWidth="9.00390625" defaultRowHeight="15.75"/>
  <cols>
    <col min="1" max="1" width="42.125" style="0" customWidth="1"/>
    <col min="2" max="2" width="13.50390625" style="0" customWidth="1"/>
    <col min="3" max="3" width="13.375" style="0" customWidth="1"/>
    <col min="4" max="4" width="16.00390625" style="0" customWidth="1"/>
    <col min="6" max="6" width="12.125" style="0" bestFit="1" customWidth="1"/>
  </cols>
  <sheetData>
    <row r="1" spans="1:4" ht="15.75">
      <c r="A1" s="74" t="s">
        <v>130</v>
      </c>
      <c r="B1" s="74"/>
      <c r="C1" s="74"/>
      <c r="D1" s="74"/>
    </row>
    <row r="2" spans="1:4" ht="15.75">
      <c r="A2" s="74" t="s">
        <v>23</v>
      </c>
      <c r="B2" s="74"/>
      <c r="C2" s="74"/>
      <c r="D2" s="74"/>
    </row>
    <row r="3" ht="15.75">
      <c r="A3" s="5"/>
    </row>
    <row r="4" spans="1:5" ht="21" customHeight="1">
      <c r="A4" s="75"/>
      <c r="B4" s="73" t="s">
        <v>263</v>
      </c>
      <c r="C4" s="73"/>
      <c r="D4" s="77" t="s">
        <v>265</v>
      </c>
      <c r="E4" s="1"/>
    </row>
    <row r="5" spans="1:5" ht="36.75" customHeight="1">
      <c r="A5" s="76"/>
      <c r="B5" s="19">
        <v>2018</v>
      </c>
      <c r="C5" s="18">
        <v>2019</v>
      </c>
      <c r="D5" s="78"/>
      <c r="E5" s="1"/>
    </row>
    <row r="6" spans="1:6" ht="14.25" customHeight="1">
      <c r="A6" s="36" t="s">
        <v>152</v>
      </c>
      <c r="B6" s="37">
        <f>IF(-2499667.23347="","-",-2499667.23347)</f>
        <v>-2499667.23347</v>
      </c>
      <c r="C6" s="37">
        <f>IF(-2503050.293="","-",-2503050.293)</f>
        <v>-2503050.293</v>
      </c>
      <c r="D6" s="37">
        <f>IF(-2499667.23347="","-",-2503050.293/-2499667.23347*100)</f>
        <v>100.13534039590158</v>
      </c>
      <c r="F6" s="16"/>
    </row>
    <row r="7" spans="1:6" ht="14.25" customHeight="1">
      <c r="A7" s="46" t="s">
        <v>150</v>
      </c>
      <c r="B7" s="27"/>
      <c r="C7" s="27"/>
      <c r="D7" s="27"/>
      <c r="F7" s="16"/>
    </row>
    <row r="8" spans="1:6" ht="14.25" customHeight="1">
      <c r="A8" s="49" t="s">
        <v>202</v>
      </c>
      <c r="B8" s="39">
        <f>IF(36963.05485="","-",36963.05485)</f>
        <v>36963.05485</v>
      </c>
      <c r="C8" s="39">
        <f>IF(29279.44025="","-",29279.44025)</f>
        <v>29279.44025</v>
      </c>
      <c r="D8" s="39">
        <f>IF(36963.05485="","-",29279.44025/36963.05485*100)</f>
        <v>79.21271758738307</v>
      </c>
      <c r="F8" s="16"/>
    </row>
    <row r="9" spans="1:4" ht="15.75">
      <c r="A9" s="40" t="s">
        <v>24</v>
      </c>
      <c r="B9" s="41">
        <f>IF(OR(6234.72812="",6234.72812=0),"-",6234.72812)</f>
        <v>6234.72812</v>
      </c>
      <c r="C9" s="41">
        <f>IF(OR(4497.3514="",4497.3514=0),"-",4497.3514)</f>
        <v>4497.3514</v>
      </c>
      <c r="D9" s="41">
        <f>IF(OR(6234.72812="",4497.3514="",6234.72812=0,4497.3514=0),"-",4497.3514/6234.72812*100)</f>
        <v>72.13388159739033</v>
      </c>
    </row>
    <row r="10" spans="1:4" ht="15.75">
      <c r="A10" s="40" t="s">
        <v>203</v>
      </c>
      <c r="B10" s="41">
        <f>IF(OR(-27101.21011="",-27101.21011=0),"-",-27101.21011)</f>
        <v>-27101.21011</v>
      </c>
      <c r="C10" s="41">
        <f>IF(OR(-32068.72446="",-32068.72446=0),"-",-32068.72446)</f>
        <v>-32068.72446</v>
      </c>
      <c r="D10" s="41">
        <f>IF(OR(-27101.21011="",-32068.72446="",-27101.21011=0,-32068.72446=0),"-",-32068.72446/-27101.21011*100)</f>
        <v>118.32949277850531</v>
      </c>
    </row>
    <row r="11" spans="1:4" ht="15.75">
      <c r="A11" s="40" t="s">
        <v>204</v>
      </c>
      <c r="B11" s="41">
        <f>IF(OR(-28788.68219="",-28788.68219=0),"-",-28788.68219)</f>
        <v>-28788.68219</v>
      </c>
      <c r="C11" s="41">
        <f>IF(OR(-40501.76964="",-40501.76964=0),"-",-40501.76964)</f>
        <v>-40501.76964</v>
      </c>
      <c r="D11" s="41">
        <f>IF(OR(-28788.68219="",-40501.76964="",-28788.68219=0,-40501.76964=0),"-",-40501.76964/-28788.68219*100)</f>
        <v>140.6864314687827</v>
      </c>
    </row>
    <row r="12" spans="1:4" ht="15.75">
      <c r="A12" s="40" t="s">
        <v>205</v>
      </c>
      <c r="B12" s="41">
        <f>IF(OR(-40713.87137="",-40713.87137=0),"-",-40713.87137)</f>
        <v>-40713.87137</v>
      </c>
      <c r="C12" s="41">
        <f>IF(OR(-46542.70644="",-46542.70644=0),"-",-46542.70644)</f>
        <v>-46542.70644</v>
      </c>
      <c r="D12" s="41">
        <f>IF(OR(-40713.87137="",-46542.70644="",-40713.87137=0,-46542.70644=0),"-",-46542.70644/-40713.87137*100)</f>
        <v>114.31658271213918</v>
      </c>
    </row>
    <row r="13" spans="1:4" ht="15.75">
      <c r="A13" s="40" t="s">
        <v>206</v>
      </c>
      <c r="B13" s="41">
        <f>IF(OR(123868.77402="",123868.77402=0),"-",123868.77402)</f>
        <v>123868.77402</v>
      </c>
      <c r="C13" s="41">
        <f>IF(OR(145470.14="",145470.14=0),"-",145470.14)</f>
        <v>145470.14</v>
      </c>
      <c r="D13" s="41">
        <f>IF(OR(123868.77402="",145470.14="",123868.77402=0,145470.14=0),"-",145470.14/123868.77402*100)</f>
        <v>117.43891158276276</v>
      </c>
    </row>
    <row r="14" spans="1:4" ht="15.75">
      <c r="A14" s="40" t="s">
        <v>207</v>
      </c>
      <c r="B14" s="41">
        <f>IF(OR(94992.28991="",94992.28991=0),"-",94992.28991)</f>
        <v>94992.28991</v>
      </c>
      <c r="C14" s="41">
        <f>IF(OR(97860.49828="",97860.49828=0),"-",97860.49828)</f>
        <v>97860.49828</v>
      </c>
      <c r="D14" s="41">
        <f>IF(OR(94992.28991="",97860.49828="",94992.28991=0,97860.49828=0),"-",97860.49828/94992.28991*100)</f>
        <v>103.0194117572252</v>
      </c>
    </row>
    <row r="15" spans="1:4" ht="15.75">
      <c r="A15" s="40" t="s">
        <v>208</v>
      </c>
      <c r="B15" s="41">
        <f>IF(OR(13657.15358="",13657.15358=0),"-",13657.15358)</f>
        <v>13657.15358</v>
      </c>
      <c r="C15" s="41">
        <f>IF(OR(4410.67917="",4410.67917=0),"-",4410.67917)</f>
        <v>4410.67917</v>
      </c>
      <c r="D15" s="41">
        <f>IF(OR(13657.15358="",4410.67917="",13657.15358=0,4410.67917=0),"-",4410.67917/13657.15358*100)</f>
        <v>32.29574262428409</v>
      </c>
    </row>
    <row r="16" spans="1:4" ht="15.75">
      <c r="A16" s="40" t="s">
        <v>209</v>
      </c>
      <c r="B16" s="41">
        <f>IF(OR(-34105.45755="",-34105.45755=0),"-",-34105.45755)</f>
        <v>-34105.45755</v>
      </c>
      <c r="C16" s="41">
        <f>IF(OR(-34603.13799="",-34603.13799=0),"-",-34603.13799)</f>
        <v>-34603.13799</v>
      </c>
      <c r="D16" s="41">
        <f>IF(OR(-34105.45755="",-34603.13799="",-34105.45755=0,-34603.13799=0),"-",-34603.13799/-34105.45755*100)</f>
        <v>101.45923988637415</v>
      </c>
    </row>
    <row r="17" spans="1:4" ht="15.75">
      <c r="A17" s="40" t="s">
        <v>210</v>
      </c>
      <c r="B17" s="41">
        <f>IF(OR(-14956.83254="",-14956.83254=0),"-",-14956.83254)</f>
        <v>-14956.83254</v>
      </c>
      <c r="C17" s="41">
        <f>IF(OR(-7900.92633="",-7900.92633=0),"-",-7900.92633)</f>
        <v>-7900.92633</v>
      </c>
      <c r="D17" s="41">
        <f>IF(OR(-14956.83254="",-7900.92633="",-14956.83254=0,-7900.92633=0),"-",-7900.92633/-14956.83254*100)</f>
        <v>52.82486321131199</v>
      </c>
    </row>
    <row r="18" spans="1:4" ht="15.75">
      <c r="A18" s="40" t="s">
        <v>211</v>
      </c>
      <c r="B18" s="41">
        <f>IF(OR(-56123.83702="",-56123.83702=0),"-",-56123.83702)</f>
        <v>-56123.83702</v>
      </c>
      <c r="C18" s="41">
        <f>IF(OR(-61341.96374="",-61341.96374=0),"-",-61341.96374)</f>
        <v>-61341.96374</v>
      </c>
      <c r="D18" s="41">
        <f>IF(OR(-56123.83702="",-61341.96374="",-56123.83702=0,-61341.96374=0),"-",-61341.96374/-56123.83702*100)</f>
        <v>109.29752311507228</v>
      </c>
    </row>
    <row r="19" spans="1:4" ht="15.75">
      <c r="A19" s="49" t="s">
        <v>212</v>
      </c>
      <c r="B19" s="39">
        <f>IF(84103.70384="","-",84103.70384)</f>
        <v>84103.70384</v>
      </c>
      <c r="C19" s="39">
        <f>IF(77265.37166="","-",77265.37166)</f>
        <v>77265.37166</v>
      </c>
      <c r="D19" s="39">
        <f>IF(84103.70384="","-",77265.37166/84103.70384*100)</f>
        <v>91.86916643646357</v>
      </c>
    </row>
    <row r="20" spans="1:4" ht="15.75">
      <c r="A20" s="40" t="s">
        <v>213</v>
      </c>
      <c r="B20" s="41">
        <f>IF(OR(111535.86482="",111535.86482=0),"-",111535.86482)</f>
        <v>111535.86482</v>
      </c>
      <c r="C20" s="41">
        <f>IF(OR(107418.42447="",107418.42447=0),"-",107418.42447)</f>
        <v>107418.42447</v>
      </c>
      <c r="D20" s="41">
        <f>IF(OR(111535.86482="",107418.42447="",111535.86482=0,107418.42447=0),"-",107418.42447/111535.86482*100)</f>
        <v>96.30841581168097</v>
      </c>
    </row>
    <row r="21" spans="1:4" ht="15.75">
      <c r="A21" s="40" t="s">
        <v>214</v>
      </c>
      <c r="B21" s="41">
        <f>IF(OR(-27432.16098="",-27432.16098=0),"-",-27432.16098)</f>
        <v>-27432.16098</v>
      </c>
      <c r="C21" s="41">
        <f>IF(OR(-30153.05281="",-30153.05281=0),"-",-30153.05281)</f>
        <v>-30153.05281</v>
      </c>
      <c r="D21" s="41">
        <f>IF(OR(-27432.16098="",-30153.05281="",-27432.16098=0,-30153.05281=0),"-",-30153.05281/-27432.16098*100)</f>
        <v>109.9186200896959</v>
      </c>
    </row>
    <row r="22" spans="1:4" ht="15.75">
      <c r="A22" s="49" t="s">
        <v>25</v>
      </c>
      <c r="B22" s="39">
        <f>IF(104153.55243="","-",104153.55243)</f>
        <v>104153.55243</v>
      </c>
      <c r="C22" s="39">
        <f>IF(120697.67541="","-",120697.67541)</f>
        <v>120697.67541</v>
      </c>
      <c r="D22" s="39">
        <f>IF(104153.55243="","-",120697.67541/104153.55243*100)</f>
        <v>115.88435784858999</v>
      </c>
    </row>
    <row r="23" spans="1:4" ht="15.75">
      <c r="A23" s="40" t="s">
        <v>215</v>
      </c>
      <c r="B23" s="41">
        <f>IF(OR(2553.3663="",2553.3663=0),"-",2553.3663)</f>
        <v>2553.3663</v>
      </c>
      <c r="C23" s="41">
        <f>IF(OR(1297.53343="",1297.53343=0),"-",1297.53343)</f>
        <v>1297.53343</v>
      </c>
      <c r="D23" s="41">
        <f>IF(OR(2553.3663="",1297.53343="",2553.3663=0,1297.53343=0),"-",1297.53343/2553.3663*100)</f>
        <v>50.81658005747157</v>
      </c>
    </row>
    <row r="24" spans="1:4" ht="15.75">
      <c r="A24" s="40" t="s">
        <v>216</v>
      </c>
      <c r="B24" s="41">
        <f>IF(OR(153845.06959="",153845.06959=0),"-",153845.06959)</f>
        <v>153845.06959</v>
      </c>
      <c r="C24" s="41">
        <f>IF(OR(182723.0731="",182723.0731=0),"-",182723.0731)</f>
        <v>182723.0731</v>
      </c>
      <c r="D24" s="41">
        <f>IF(OR(153845.06959="",182723.0731="",153845.06959=0,182723.0731=0),"-",182723.0731/153845.06959*100)</f>
        <v>118.77083457205384</v>
      </c>
    </row>
    <row r="25" spans="1:4" ht="15.75">
      <c r="A25" s="40" t="s">
        <v>255</v>
      </c>
      <c r="B25" s="41">
        <f>IF(OR(-774.84927="",-774.84927=0),"-",-774.84927)</f>
        <v>-774.84927</v>
      </c>
      <c r="C25" s="41">
        <f>IF(OR(-1311.32396="",-1311.32396=0),"-",-1311.32396)</f>
        <v>-1311.32396</v>
      </c>
      <c r="D25" s="41" t="s">
        <v>106</v>
      </c>
    </row>
    <row r="26" spans="1:4" ht="15.75">
      <c r="A26" s="40" t="s">
        <v>217</v>
      </c>
      <c r="B26" s="41">
        <f>IF(OR(-29247.10102="",-29247.10102=0),"-",-29247.10102)</f>
        <v>-29247.10102</v>
      </c>
      <c r="C26" s="41">
        <f>IF(OR(-32032.34464="",-32032.34464=0),"-",-32032.34464)</f>
        <v>-32032.34464</v>
      </c>
      <c r="D26" s="41">
        <f>IF(OR(-29247.10102="",-32032.34464="",-29247.10102=0,-32032.34464=0),"-",-32032.34464/-29247.10102*100)</f>
        <v>109.52314425315306</v>
      </c>
    </row>
    <row r="27" spans="1:4" ht="15.75">
      <c r="A27" s="40" t="s">
        <v>218</v>
      </c>
      <c r="B27" s="41">
        <f>IF(OR(2286.17984="",2286.17984=0),"-",2286.17984)</f>
        <v>2286.17984</v>
      </c>
      <c r="C27" s="41">
        <f>IF(OR(1866.99689="",1866.99689=0),"-",1866.99689)</f>
        <v>1866.99689</v>
      </c>
      <c r="D27" s="41">
        <f>IF(OR(2286.17984="",1866.99689="",2286.17984=0,1866.99689=0),"-",1866.99689/2286.17984*100)</f>
        <v>81.66448051610848</v>
      </c>
    </row>
    <row r="28" spans="1:4" ht="25.5">
      <c r="A28" s="40" t="s">
        <v>219</v>
      </c>
      <c r="B28" s="41">
        <f>IF(OR(-6742.10992="",-6742.10992=0),"-",-6742.10992)</f>
        <v>-6742.10992</v>
      </c>
      <c r="C28" s="41">
        <f>IF(OR(-6261.91767="",-6261.91767=0),"-",-6261.91767)</f>
        <v>-6261.91767</v>
      </c>
      <c r="D28" s="41">
        <f>IF(OR(-6742.10992="",-6261.91767="",-6742.10992=0,-6261.91767=0),"-",-6261.91767/-6742.10992*100)</f>
        <v>92.87771549710955</v>
      </c>
    </row>
    <row r="29" spans="1:4" ht="25.5">
      <c r="A29" s="40" t="s">
        <v>220</v>
      </c>
      <c r="B29" s="41">
        <f>IF(OR(-3263.51527="",-3263.51527=0),"-",-3263.51527)</f>
        <v>-3263.51527</v>
      </c>
      <c r="C29" s="41">
        <f>IF(OR(-12989.64784="",-12989.64784=0),"-",-12989.64784)</f>
        <v>-12989.64784</v>
      </c>
      <c r="D29" s="41" t="s">
        <v>295</v>
      </c>
    </row>
    <row r="30" spans="1:4" ht="15.75">
      <c r="A30" s="40" t="s">
        <v>221</v>
      </c>
      <c r="B30" s="41">
        <f>IF(OR(11061.85194="",11061.85194=0),"-",11061.85194)</f>
        <v>11061.85194</v>
      </c>
      <c r="C30" s="41">
        <f>IF(OR(12688.81748="",12688.81748=0),"-",12688.81748)</f>
        <v>12688.81748</v>
      </c>
      <c r="D30" s="41">
        <f>IF(OR(11061.85194="",12688.81748="",11061.85194=0,12688.81748=0),"-",12688.81748/11061.85194*100)</f>
        <v>114.7078947433462</v>
      </c>
    </row>
    <row r="31" spans="1:4" ht="15.75">
      <c r="A31" s="40" t="s">
        <v>222</v>
      </c>
      <c r="B31" s="41">
        <f>IF(OR(-25565.33976="",-25565.33976=0),"-",-25565.33976)</f>
        <v>-25565.33976</v>
      </c>
      <c r="C31" s="41">
        <f>IF(OR(-25283.51138="",-25283.51138=0),"-",-25283.51138)</f>
        <v>-25283.51138</v>
      </c>
      <c r="D31" s="41">
        <f>IF(OR(-25565.33976="",-25283.51138="",-25565.33976=0,-25283.51138=0),"-",-25283.51138/-25565.33976*100)</f>
        <v>98.89761535482916</v>
      </c>
    </row>
    <row r="32" spans="1:4" ht="15.75">
      <c r="A32" s="49" t="s">
        <v>223</v>
      </c>
      <c r="B32" s="39">
        <f>IF(-765916.08173="","-",-765916.08173)</f>
        <v>-765916.08173</v>
      </c>
      <c r="C32" s="39">
        <f>IF(-735916.95748="","-",-735916.95748)</f>
        <v>-735916.95748</v>
      </c>
      <c r="D32" s="39">
        <f>IF(-765916.08173="","-",-735916.95748/-765916.08173*100)</f>
        <v>96.08323614484762</v>
      </c>
    </row>
    <row r="33" spans="1:4" ht="15.75">
      <c r="A33" s="40" t="s">
        <v>256</v>
      </c>
      <c r="B33" s="41">
        <f>IF(OR(-14679.47298="",-14679.47298=0),"-",-14679.47298)</f>
        <v>-14679.47298</v>
      </c>
      <c r="C33" s="41">
        <f>IF(OR(-16413.69838="",-16413.69838=0),"-",-16413.69838)</f>
        <v>-16413.69838</v>
      </c>
      <c r="D33" s="41">
        <f>IF(OR(-14679.47298="",-16413.69838="",-14679.47298=0,-16413.69838=0),"-",-16413.69838/-14679.47298*100)</f>
        <v>111.81394865035543</v>
      </c>
    </row>
    <row r="34" spans="1:4" ht="15.75">
      <c r="A34" s="40" t="s">
        <v>224</v>
      </c>
      <c r="B34" s="41">
        <f>IF(OR(-516200.17624="",-516200.17624=0),"-",-516200.17624)</f>
        <v>-516200.17624</v>
      </c>
      <c r="C34" s="41">
        <f>IF(OR(-480046.53957="",-480046.53957=0),"-",-480046.53957)</f>
        <v>-480046.53957</v>
      </c>
      <c r="D34" s="41">
        <f>IF(OR(-516200.17624="",-480046.53957="",-516200.17624=0,-480046.53957=0),"-",-480046.53957/-516200.17624*100)</f>
        <v>92.9961983094731</v>
      </c>
    </row>
    <row r="35" spans="1:4" ht="15.75">
      <c r="A35" s="40" t="s">
        <v>257</v>
      </c>
      <c r="B35" s="41">
        <f>IF(OR(-189833.68927="",-189833.68927=0),"-",-189833.68927)</f>
        <v>-189833.68927</v>
      </c>
      <c r="C35" s="41">
        <f>IF(OR(-205488.10364="",-205488.10364=0),"-",-205488.10364)</f>
        <v>-205488.10364</v>
      </c>
      <c r="D35" s="41">
        <f>IF(OR(-189833.68927="",-205488.10364="",-189833.68927=0,-205488.10364=0),"-",-205488.10364/-189833.68927*100)</f>
        <v>108.24638367941886</v>
      </c>
    </row>
    <row r="36" spans="1:4" ht="15.75">
      <c r="A36" s="40" t="s">
        <v>225</v>
      </c>
      <c r="B36" s="41">
        <f>IF(OR(-45202.74324="",-45202.74324=0),"-",-45202.74324)</f>
        <v>-45202.74324</v>
      </c>
      <c r="C36" s="41">
        <f>IF(OR(-33968.61589="",-33968.61589=0),"-",-33968.61589)</f>
        <v>-33968.61589</v>
      </c>
      <c r="D36" s="41">
        <f>IF(OR(-45202.74324="",-33968.61589="",-45202.74324=0,-33968.61589=0),"-",-33968.61589/-45202.74324*100)</f>
        <v>75.14724429366292</v>
      </c>
    </row>
    <row r="37" spans="1:4" ht="15.75">
      <c r="A37" s="49" t="s">
        <v>226</v>
      </c>
      <c r="B37" s="39">
        <f>IF(45397.80891="","-",45397.80891)</f>
        <v>45397.80891</v>
      </c>
      <c r="C37" s="39">
        <f>IF(38853.38518="","-",38853.38518)</f>
        <v>38853.38518</v>
      </c>
      <c r="D37" s="39">
        <f>IF(45397.80891="","-",38853.38518/45397.80891*100)</f>
        <v>85.58427402746649</v>
      </c>
    </row>
    <row r="38" spans="1:4" ht="15.75">
      <c r="A38" s="40" t="s">
        <v>258</v>
      </c>
      <c r="B38" s="41">
        <f>IF(OR(-1318.43746="",-1318.43746=0),"-",-1318.43746)</f>
        <v>-1318.43746</v>
      </c>
      <c r="C38" s="41">
        <f>IF(OR(-1366.73111="",-1366.73111=0),"-",-1366.73111)</f>
        <v>-1366.73111</v>
      </c>
      <c r="D38" s="41">
        <f>IF(OR(-1318.43746="",-1366.73111="",-1318.43746=0,-1366.73111=0),"-",-1366.73111/-1318.43746*100)</f>
        <v>103.6629458328649</v>
      </c>
    </row>
    <row r="39" spans="1:4" ht="15.75" customHeight="1">
      <c r="A39" s="40" t="s">
        <v>227</v>
      </c>
      <c r="B39" s="41">
        <f>IF(OR(48806.01874="",48806.01874=0),"-",48806.01874)</f>
        <v>48806.01874</v>
      </c>
      <c r="C39" s="41">
        <f>IF(OR(42383.71706="",42383.71706=0),"-",42383.71706)</f>
        <v>42383.71706</v>
      </c>
      <c r="D39" s="41">
        <f>IF(OR(48806.01874="",42383.71706="",48806.01874=0,42383.71706=0),"-",42383.71706/48806.01874*100)</f>
        <v>86.84116868000858</v>
      </c>
    </row>
    <row r="40" spans="1:4" ht="38.25">
      <c r="A40" s="40" t="s">
        <v>228</v>
      </c>
      <c r="B40" s="41">
        <f>IF(OR(-2089.77237="",-2089.77237=0),"-",-2089.77237)</f>
        <v>-2089.77237</v>
      </c>
      <c r="C40" s="41">
        <f>IF(OR(-2163.60077="",-2163.60077=0),"-",-2163.60077)</f>
        <v>-2163.60077</v>
      </c>
      <c r="D40" s="41">
        <f>IF(OR(-2089.77237="",-2163.60077="",-2089.77237=0,-2163.60077=0),"-",-2163.60077/-2089.77237*100)</f>
        <v>103.532844105887</v>
      </c>
    </row>
    <row r="41" spans="1:4" ht="15.75" customHeight="1">
      <c r="A41" s="49" t="s">
        <v>229</v>
      </c>
      <c r="B41" s="39">
        <f>IF(-574186.03471="","-",-574186.03471)</f>
        <v>-574186.03471</v>
      </c>
      <c r="C41" s="39">
        <f>IF(-585357.21605="","-",-585357.21605)</f>
        <v>-585357.21605</v>
      </c>
      <c r="D41" s="39">
        <f>IF(-574186.03471="","-",-585357.21605/-574186.03471*100)</f>
        <v>101.94556827660257</v>
      </c>
    </row>
    <row r="42" spans="1:4" ht="14.25" customHeight="1">
      <c r="A42" s="40" t="s">
        <v>26</v>
      </c>
      <c r="B42" s="41">
        <f>IF(OR(2973.58652="",2973.58652=0),"-",2973.58652)</f>
        <v>2973.58652</v>
      </c>
      <c r="C42" s="41">
        <f>IF(OR(567.25585="",567.25585=0),"-",567.25585)</f>
        <v>567.25585</v>
      </c>
      <c r="D42" s="41">
        <f>IF(OR(2973.58652="",567.25585="",2973.58652=0,567.25585=0),"-",567.25585/2973.58652*100)</f>
        <v>19.076487137155844</v>
      </c>
    </row>
    <row r="43" spans="1:4" ht="15" customHeight="1">
      <c r="A43" s="40" t="s">
        <v>27</v>
      </c>
      <c r="B43" s="41">
        <f>IF(OR(-12491.33659="",-12491.33659=0),"-",-12491.33659)</f>
        <v>-12491.33659</v>
      </c>
      <c r="C43" s="41">
        <f>IF(OR(-14073.81292="",-14073.81292=0),"-",-14073.81292)</f>
        <v>-14073.81292</v>
      </c>
      <c r="D43" s="41">
        <f>IF(OR(-12491.33659="",-14073.81292="",-12491.33659=0,-14073.81292=0),"-",-14073.81292/-12491.33659*100)</f>
        <v>112.66859089576417</v>
      </c>
    </row>
    <row r="44" spans="1:4" ht="15.75">
      <c r="A44" s="40" t="s">
        <v>230</v>
      </c>
      <c r="B44" s="41">
        <f>IF(OR(-29586.81273="",-29586.81273=0),"-",-29586.81273)</f>
        <v>-29586.81273</v>
      </c>
      <c r="C44" s="41">
        <f>IF(OR(-32392.74962="",-32392.74962=0),"-",-32392.74962)</f>
        <v>-32392.74962</v>
      </c>
      <c r="D44" s="41">
        <f>IF(OR(-29586.81273="",-32392.74962="",-29586.81273=0,-32392.74962=0),"-",-32392.74962/-29586.81273*100)</f>
        <v>109.48374167777415</v>
      </c>
    </row>
    <row r="45" spans="1:4" ht="15.75">
      <c r="A45" s="40" t="s">
        <v>231</v>
      </c>
      <c r="B45" s="41">
        <f>IF(OR(-132849.99409="",-132849.99409=0),"-",-132849.99409)</f>
        <v>-132849.99409</v>
      </c>
      <c r="C45" s="41">
        <f>IF(OR(-140769.09279="",-140769.09279=0),"-",-140769.09279)</f>
        <v>-140769.09279</v>
      </c>
      <c r="D45" s="41">
        <f>IF(OR(-132849.99409="",-140769.09279="",-132849.99409=0,-140769.09279=0),"-",-140769.09279/-132849.99409*100)</f>
        <v>105.96093267014763</v>
      </c>
    </row>
    <row r="46" spans="1:4" ht="25.5">
      <c r="A46" s="40" t="s">
        <v>232</v>
      </c>
      <c r="B46" s="41">
        <f>IF(OR(-73914.62687="",-73914.62687=0),"-",-73914.62687)</f>
        <v>-73914.62687</v>
      </c>
      <c r="C46" s="41">
        <f>IF(OR(-80530.29182="",-80530.29182=0),"-",-80530.29182)</f>
        <v>-80530.29182</v>
      </c>
      <c r="D46" s="41">
        <f>IF(OR(-73914.62687="",-80530.29182="",-73914.62687=0,-80530.29182=0),"-",-80530.29182/-73914.62687*100)</f>
        <v>108.95041378161258</v>
      </c>
    </row>
    <row r="47" spans="1:4" ht="15.75">
      <c r="A47" s="40" t="s">
        <v>234</v>
      </c>
      <c r="B47" s="41">
        <f>IF(OR(-77344.99554="",-77344.99554=0),"-",-77344.99554)</f>
        <v>-77344.99554</v>
      </c>
      <c r="C47" s="41">
        <f>IF(OR(-73611.95728="",-73611.95728=0),"-",-73611.95728)</f>
        <v>-73611.95728</v>
      </c>
      <c r="D47" s="41">
        <f>IF(OR(-77344.99554="",-73611.95728="",-77344.99554=0,-73611.95728=0),"-",-73611.95728/-77344.99554*100)</f>
        <v>95.17352320736846</v>
      </c>
    </row>
    <row r="48" spans="1:4" ht="15.75">
      <c r="A48" s="40" t="s">
        <v>28</v>
      </c>
      <c r="B48" s="41">
        <f>IF(OR(-47828.46019="",-47828.46019=0),"-",-47828.46019)</f>
        <v>-47828.46019</v>
      </c>
      <c r="C48" s="41">
        <f>IF(OR(-43158.18829="",-43158.18829=0),"-",-43158.18829)</f>
        <v>-43158.18829</v>
      </c>
      <c r="D48" s="41">
        <f>IF(OR(-47828.46019="",-43158.18829="",-47828.46019=0,-43158.18829=0),"-",-43158.18829/-47828.46019*100)</f>
        <v>90.23537056922342</v>
      </c>
    </row>
    <row r="49" spans="1:4" ht="15.75">
      <c r="A49" s="40" t="s">
        <v>29</v>
      </c>
      <c r="B49" s="41">
        <f>IF(OR(-92107.4018="",-92107.4018=0),"-",-92107.4018)</f>
        <v>-92107.4018</v>
      </c>
      <c r="C49" s="41">
        <f>IF(OR(-93936.97844="",-93936.97844=0),"-",-93936.97844)</f>
        <v>-93936.97844</v>
      </c>
      <c r="D49" s="41">
        <f>IF(OR(-92107.4018="",-93936.97844="",-92107.4018=0,-93936.97844=0),"-",-93936.97844/-92107.4018*100)</f>
        <v>101.98635137268633</v>
      </c>
    </row>
    <row r="50" spans="1:4" ht="15.75">
      <c r="A50" s="40" t="s">
        <v>233</v>
      </c>
      <c r="B50" s="41">
        <f>IF(OR(-111035.99342="",-111035.99342=0),"-",-111035.99342)</f>
        <v>-111035.99342</v>
      </c>
      <c r="C50" s="41">
        <f>IF(OR(-107451.40074="",-107451.40074=0),"-",-107451.40074)</f>
        <v>-107451.40074</v>
      </c>
      <c r="D50" s="41">
        <f>IF(OR(-111035.99342="",-107451.40074="",-111035.99342=0,-107451.40074=0),"-",-107451.40074/-111035.99342*100)</f>
        <v>96.77168405524047</v>
      </c>
    </row>
    <row r="51" spans="1:4" ht="25.5">
      <c r="A51" s="49" t="s">
        <v>235</v>
      </c>
      <c r="B51" s="39">
        <f>IF(-809957.07088="","-",-809957.07088)</f>
        <v>-809957.07088</v>
      </c>
      <c r="C51" s="39">
        <f>IF(-803069.26831="","-",-803069.26831)</f>
        <v>-803069.26831</v>
      </c>
      <c r="D51" s="39">
        <f>IF(-809957.07088="","-",-803069.26831/-809957.07088*100)</f>
        <v>99.14960893390108</v>
      </c>
    </row>
    <row r="52" spans="1:4" ht="15" customHeight="1">
      <c r="A52" s="40" t="s">
        <v>236</v>
      </c>
      <c r="B52" s="41">
        <f>IF(OR(-46114.17343="",-46114.17343=0),"-",-46114.17343)</f>
        <v>-46114.17343</v>
      </c>
      <c r="C52" s="41">
        <f>IF(OR(-45117.72872="",-45117.72872=0),"-",-45117.72872)</f>
        <v>-45117.72872</v>
      </c>
      <c r="D52" s="41">
        <f>IF(OR(-46114.17343="",-45117.72872="",-46114.17343=0,-45117.72872=0),"-",-45117.72872/-46114.17343*100)</f>
        <v>97.83917907254138</v>
      </c>
    </row>
    <row r="53" spans="1:4" ht="15" customHeight="1">
      <c r="A53" s="40" t="s">
        <v>30</v>
      </c>
      <c r="B53" s="41">
        <f>IF(OR(-55366.9935="",-55366.9935=0),"-",-55366.9935)</f>
        <v>-55366.9935</v>
      </c>
      <c r="C53" s="41">
        <f>IF(OR(-54911.65948="",-54911.65948=0),"-",-54911.65948)</f>
        <v>-54911.65948</v>
      </c>
      <c r="D53" s="41">
        <f>IF(OR(-55366.9935="",-54911.65948="",-55366.9935=0,-54911.65948=0),"-",-54911.65948/-55366.9935*100)</f>
        <v>99.17760746752487</v>
      </c>
    </row>
    <row r="54" spans="1:4" ht="15.75">
      <c r="A54" s="40" t="s">
        <v>237</v>
      </c>
      <c r="B54" s="41">
        <f>IF(OR(-59430.63643="",-59430.63643=0),"-",-59430.63643)</f>
        <v>-59430.63643</v>
      </c>
      <c r="C54" s="41">
        <f>IF(OR(-59962.0640899999="",-59962.0640899999=0),"-",-59962.0640899999)</f>
        <v>-59962.0640899999</v>
      </c>
      <c r="D54" s="41">
        <f>IF(OR(-59430.63643="",-59962.0640899999="",-59430.63643=0,-59962.0640899999=0),"-",-59962.0640899999/-59430.63643*100)</f>
        <v>100.89419816431857</v>
      </c>
    </row>
    <row r="55" spans="1:4" ht="25.5">
      <c r="A55" s="40" t="s">
        <v>238</v>
      </c>
      <c r="B55" s="41">
        <f>IF(OR(-75064.84571="",-75064.84571=0),"-",-75064.84571)</f>
        <v>-75064.84571</v>
      </c>
      <c r="C55" s="41">
        <f>IF(OR(-78156.72504="",-78156.72504=0),"-",-78156.72504)</f>
        <v>-78156.72504</v>
      </c>
      <c r="D55" s="41">
        <f>IF(OR(-75064.84571="",-78156.72504="",-75064.84571=0,-78156.72504=0),"-",-78156.72504/-75064.84571*100)</f>
        <v>104.11894449493036</v>
      </c>
    </row>
    <row r="56" spans="1:4" ht="25.5">
      <c r="A56" s="40" t="s">
        <v>278</v>
      </c>
      <c r="B56" s="41">
        <f>IF(OR(-188725.38036="",-188725.38036=0),"-",-188725.38036)</f>
        <v>-188725.38036</v>
      </c>
      <c r="C56" s="41">
        <f>IF(OR(-174688.62007="",-174688.62007=0),"-",-174688.62007)</f>
        <v>-174688.62007</v>
      </c>
      <c r="D56" s="41">
        <f>IF(OR(-188725.38036="",-174688.62007="",-188725.38036=0,-174688.62007=0),"-",-174688.62007/-188725.38036*100)</f>
        <v>92.56233567354619</v>
      </c>
    </row>
    <row r="57" spans="1:4" ht="15.75">
      <c r="A57" s="40" t="s">
        <v>31</v>
      </c>
      <c r="B57" s="41">
        <f>IF(OR(-65839.51313="",-65839.51313=0),"-",-65839.51313)</f>
        <v>-65839.51313</v>
      </c>
      <c r="C57" s="41">
        <f>IF(OR(-68708.38939="",-68708.38939=0),"-",-68708.38939)</f>
        <v>-68708.38939</v>
      </c>
      <c r="D57" s="41">
        <f>IF(OR(-65839.51313="",-68708.38939="",-65839.51313=0,-68708.38939=0),"-",-68708.38939/-65839.51313*100)</f>
        <v>104.35737769557225</v>
      </c>
    </row>
    <row r="58" spans="1:4" ht="15.75">
      <c r="A58" s="40" t="s">
        <v>239</v>
      </c>
      <c r="B58" s="41">
        <f>IF(OR(-113134.48446="",-113134.48446=0),"-",-113134.48446)</f>
        <v>-113134.48446</v>
      </c>
      <c r="C58" s="41">
        <f>IF(OR(-120600.65892="",-120600.65892=0),"-",-120600.65892)</f>
        <v>-120600.65892</v>
      </c>
      <c r="D58" s="41">
        <f>IF(OR(-113134.48446="",-120600.65892="",-113134.48446=0,-120600.65892=0),"-",-120600.65892/-113134.48446*100)</f>
        <v>106.59937992879594</v>
      </c>
    </row>
    <row r="59" spans="1:4" ht="15.75">
      <c r="A59" s="40" t="s">
        <v>32</v>
      </c>
      <c r="B59" s="41">
        <f>IF(OR(-87766.56154="",-87766.56154=0),"-",-87766.56154)</f>
        <v>-87766.56154</v>
      </c>
      <c r="C59" s="41">
        <f>IF(OR(-77005.90177="",-77005.90177=0),"-",-77005.90177)</f>
        <v>-77005.90177</v>
      </c>
      <c r="D59" s="41">
        <f>IF(OR(-87766.56154="",-77005.90177="",-87766.56154=0,-77005.90177=0),"-",-77005.90177/-87766.56154*100)</f>
        <v>87.73945386353573</v>
      </c>
    </row>
    <row r="60" spans="1:4" ht="15.75">
      <c r="A60" s="40" t="s">
        <v>33</v>
      </c>
      <c r="B60" s="41">
        <f>IF(OR(-118514.48232="",-118514.48232=0),"-",-118514.48232)</f>
        <v>-118514.48232</v>
      </c>
      <c r="C60" s="41">
        <f>IF(OR(-123917.52083="",-123917.52083=0),"-",-123917.52083)</f>
        <v>-123917.52083</v>
      </c>
      <c r="D60" s="41">
        <f>IF(OR(-118514.48232="",-123917.52083="",-118514.48232=0,-123917.52083=0),"-",-123917.52083/-118514.48232*100)</f>
        <v>104.55896900043938</v>
      </c>
    </row>
    <row r="61" spans="1:4" ht="15.75">
      <c r="A61" s="49" t="s">
        <v>240</v>
      </c>
      <c r="B61" s="39">
        <f>IF(-653838.20499="","-",-653838.20499)</f>
        <v>-653838.20499</v>
      </c>
      <c r="C61" s="39">
        <f>IF(-612060.97257="","-",-612060.97257)</f>
        <v>-612060.97257</v>
      </c>
      <c r="D61" s="39">
        <f>IF(-653838.20499="","-",-612060.97257/-653838.20499*100)</f>
        <v>93.6104632459281</v>
      </c>
    </row>
    <row r="62" spans="1:4" ht="15.75">
      <c r="A62" s="40" t="s">
        <v>241</v>
      </c>
      <c r="B62" s="41">
        <f>IF(OR(-18174.11706="",-18174.11706=0),"-",-18174.11706)</f>
        <v>-18174.11706</v>
      </c>
      <c r="C62" s="41">
        <f>IF(OR(-13387.22422="",-13387.22422=0),"-",-13387.22422)</f>
        <v>-13387.22422</v>
      </c>
      <c r="D62" s="41">
        <f>IF(OR(-18174.11706="",-13387.22422="",-18174.11706=0,-13387.22422=0),"-",-13387.22422/-18174.11706*100)</f>
        <v>73.66093316007286</v>
      </c>
    </row>
    <row r="63" spans="1:4" ht="15.75">
      <c r="A63" s="40" t="s">
        <v>242</v>
      </c>
      <c r="B63" s="41">
        <f>IF(OR(-171642.20614="",-171642.20614=0),"-",-171642.20614)</f>
        <v>-171642.20614</v>
      </c>
      <c r="C63" s="41">
        <f>IF(OR(-153078.76061="",-153078.76061=0),"-",-153078.76061)</f>
        <v>-153078.76061</v>
      </c>
      <c r="D63" s="41">
        <f>IF(OR(-171642.20614="",-153078.76061="",-171642.20614=0,-153078.76061=0),"-",-153078.76061/-171642.20614*100)</f>
        <v>89.18480136822599</v>
      </c>
    </row>
    <row r="64" spans="1:4" ht="15.75">
      <c r="A64" s="40" t="s">
        <v>243</v>
      </c>
      <c r="B64" s="41">
        <f>IF(OR(-10084.17386="",-10084.17386=0),"-",-10084.17386)</f>
        <v>-10084.17386</v>
      </c>
      <c r="C64" s="41">
        <f>IF(OR(-6603.45651="",-6603.45651=0),"-",-6603.45651)</f>
        <v>-6603.45651</v>
      </c>
      <c r="D64" s="41">
        <f>IF(OR(-10084.17386="",-6603.45651="",-10084.17386=0,-6603.45651=0),"-",-6603.45651/-10084.17386*100)</f>
        <v>65.48336632902915</v>
      </c>
    </row>
    <row r="65" spans="1:4" ht="25.5">
      <c r="A65" s="40" t="s">
        <v>244</v>
      </c>
      <c r="B65" s="41">
        <f>IF(OR(-128983.39248="",-128983.39248=0),"-",-128983.39248)</f>
        <v>-128983.39248</v>
      </c>
      <c r="C65" s="41">
        <f>IF(OR(-139803.97448="",-139803.97448=0),"-",-139803.97448)</f>
        <v>-139803.97448</v>
      </c>
      <c r="D65" s="41">
        <f>IF(OR(-128983.39248="",-139803.97448="",-128983.39248=0,-139803.97448=0),"-",-139803.97448/-128983.39248*100)</f>
        <v>108.38912808226675</v>
      </c>
    </row>
    <row r="66" spans="1:4" ht="25.5">
      <c r="A66" s="40" t="s">
        <v>245</v>
      </c>
      <c r="B66" s="41">
        <f>IF(OR(-43788.19061="",-43788.19061=0),"-",-43788.19061)</f>
        <v>-43788.19061</v>
      </c>
      <c r="C66" s="41">
        <f>IF(OR(-35370.40061="",-35370.40061=0),"-",-35370.40061)</f>
        <v>-35370.40061</v>
      </c>
      <c r="D66" s="41">
        <f>IF(OR(-43788.19061="",-35370.40061="",-43788.19061=0,-35370.40061=0),"-",-35370.40061/-43788.19061*100)</f>
        <v>80.77611821193267</v>
      </c>
    </row>
    <row r="67" spans="1:4" ht="25.5">
      <c r="A67" s="40" t="s">
        <v>246</v>
      </c>
      <c r="B67" s="41">
        <f>IF(OR(-115985.14957="",-115985.14957=0),"-",-115985.14957)</f>
        <v>-115985.14957</v>
      </c>
      <c r="C67" s="41">
        <f>IF(OR(-128063.78463="",-128063.78463=0),"-",-128063.78463)</f>
        <v>-128063.78463</v>
      </c>
      <c r="D67" s="41">
        <f>IF(OR(-115985.14957="",-128063.78463="",-115985.14957=0,-128063.78463=0),"-",-128063.78463/-115985.14957*100)</f>
        <v>110.41394963474202</v>
      </c>
    </row>
    <row r="68" spans="1:4" ht="28.5" customHeight="1">
      <c r="A68" s="40" t="s">
        <v>247</v>
      </c>
      <c r="B68" s="41">
        <f>IF(OR(70148.40476="",70148.40476=0),"-",70148.40476)</f>
        <v>70148.40476</v>
      </c>
      <c r="C68" s="41">
        <f>IF(OR(121337.15674="",121337.15674=0),"-",121337.15674)</f>
        <v>121337.15674</v>
      </c>
      <c r="D68" s="41" t="s">
        <v>106</v>
      </c>
    </row>
    <row r="69" spans="1:4" ht="15.75">
      <c r="A69" s="40" t="s">
        <v>248</v>
      </c>
      <c r="B69" s="41">
        <f>IF(OR(-231983.86311="",-231983.86311=0),"-",-231983.86311)</f>
        <v>-231983.86311</v>
      </c>
      <c r="C69" s="41">
        <f>IF(OR(-251628.21723="",-251628.21723=0),"-",-251628.21723)</f>
        <v>-251628.21723</v>
      </c>
      <c r="D69" s="41">
        <f>IF(OR(-231983.86311="",-251628.21723="",-231983.86311=0,-251628.21723=0),"-",-251628.21723/-231983.86311*100)</f>
        <v>108.4679830125448</v>
      </c>
    </row>
    <row r="70" spans="1:4" ht="15.75">
      <c r="A70" s="40" t="s">
        <v>34</v>
      </c>
      <c r="B70" s="41">
        <f>IF(OR(-3345.51692="",-3345.51692=0),"-",-3345.51692)</f>
        <v>-3345.51692</v>
      </c>
      <c r="C70" s="41">
        <f>IF(OR(-5462.31102="",-5462.31102=0),"-",-5462.31102)</f>
        <v>-5462.31102</v>
      </c>
      <c r="D70" s="41" t="s">
        <v>107</v>
      </c>
    </row>
    <row r="71" spans="1:4" ht="15.75">
      <c r="A71" s="49" t="s">
        <v>35</v>
      </c>
      <c r="B71" s="39">
        <f>IF(33229.58307="","-",33229.58307)</f>
        <v>33229.58307</v>
      </c>
      <c r="C71" s="39">
        <f>IF(-33406.04126="","-",-33406.04126)</f>
        <v>-33406.04126</v>
      </c>
      <c r="D71" s="39" t="s">
        <v>22</v>
      </c>
    </row>
    <row r="72" spans="1:4" ht="25.5">
      <c r="A72" s="40" t="s">
        <v>279</v>
      </c>
      <c r="B72" s="41">
        <f>IF(OR(-29928.3211="",-29928.3211=0),"-",-29928.3211)</f>
        <v>-29928.3211</v>
      </c>
      <c r="C72" s="41">
        <f>IF(OR(-34146.81866="",-34146.81866=0),"-",-34146.81866)</f>
        <v>-34146.81866</v>
      </c>
      <c r="D72" s="41">
        <f>IF(OR(-29928.3211="",-34146.81866="",-29928.3211=0,-34146.81866=0),"-",-34146.81866/-29928.3211*100)</f>
        <v>114.0953364737857</v>
      </c>
    </row>
    <row r="73" spans="1:4" ht="15.75">
      <c r="A73" s="40" t="s">
        <v>249</v>
      </c>
      <c r="B73" s="41">
        <f>IF(OR(90283.49374="",90283.49374=0),"-",90283.49374)</f>
        <v>90283.49374</v>
      </c>
      <c r="C73" s="41">
        <f>IF(OR(75309.14159="",75309.14159=0),"-",75309.14159)</f>
        <v>75309.14159</v>
      </c>
      <c r="D73" s="41">
        <f>IF(OR(90283.49374="",75309.14159="",90283.49374=0,75309.14159=0),"-",75309.14159/90283.49374*100)</f>
        <v>83.4140754531239</v>
      </c>
    </row>
    <row r="74" spans="1:4" ht="15.75">
      <c r="A74" s="40" t="s">
        <v>250</v>
      </c>
      <c r="B74" s="41">
        <f>IF(OR(7460.77665="",7460.77665=0),"-",7460.77665)</f>
        <v>7460.77665</v>
      </c>
      <c r="C74" s="41">
        <f>IF(OR(3670.01814="",3670.01814=0),"-",3670.01814)</f>
        <v>3670.01814</v>
      </c>
      <c r="D74" s="41">
        <f>IF(OR(7460.77665="",3670.01814="",7460.77665=0,3670.01814=0),"-",3670.01814/7460.77665*100)</f>
        <v>49.19083243163432</v>
      </c>
    </row>
    <row r="75" spans="1:4" ht="15.75">
      <c r="A75" s="40" t="s">
        <v>251</v>
      </c>
      <c r="B75" s="41">
        <f>IF(OR(140204.20874="",140204.20874=0),"-",140204.20874)</f>
        <v>140204.20874</v>
      </c>
      <c r="C75" s="41">
        <f>IF(OR(115322.36731="",115322.36731=0),"-",115322.36731)</f>
        <v>115322.36731</v>
      </c>
      <c r="D75" s="41">
        <f>IF(OR(140204.20874="",115322.36731="",140204.20874=0,115322.36731=0),"-",115322.36731/140204.20874*100)</f>
        <v>82.25314228894382</v>
      </c>
    </row>
    <row r="76" spans="1:4" ht="15.75">
      <c r="A76" s="40" t="s">
        <v>259</v>
      </c>
      <c r="B76" s="41">
        <f>IF(OR(-5092.39433="",-5092.39433=0),"-",-5092.39433)</f>
        <v>-5092.39433</v>
      </c>
      <c r="C76" s="41">
        <f>IF(OR(-10777.36049="",-10777.36049=0),"-",-10777.36049)</f>
        <v>-10777.36049</v>
      </c>
      <c r="D76" s="41" t="s">
        <v>188</v>
      </c>
    </row>
    <row r="77" spans="1:4" ht="15.75">
      <c r="A77" s="40" t="s">
        <v>252</v>
      </c>
      <c r="B77" s="41">
        <f>IF(OR(-29587.55065="",-29587.55065=0),"-",-29587.55065)</f>
        <v>-29587.55065</v>
      </c>
      <c r="C77" s="41">
        <f>IF(OR(-30394.56387="",-30394.56387=0),"-",-30394.56387)</f>
        <v>-30394.56387</v>
      </c>
      <c r="D77" s="41">
        <f>IF(OR(-29587.55065="",-30394.56387="",-29587.55065=0,-30394.56387=0),"-",-30394.56387/-29587.55065*100)</f>
        <v>102.72754318039503</v>
      </c>
    </row>
    <row r="78" spans="1:4" ht="25.5">
      <c r="A78" s="40" t="s">
        <v>253</v>
      </c>
      <c r="B78" s="41">
        <f>IF(OR(-6963.99192="",-6963.99192=0),"-",-6963.99192)</f>
        <v>-6963.99192</v>
      </c>
      <c r="C78" s="41">
        <f>IF(OR(-6030.44365="",-6030.44365=0),"-",-6030.44365)</f>
        <v>-6030.44365</v>
      </c>
      <c r="D78" s="41">
        <f>IF(OR(-6963.99192="",-6030.44365="",-6963.99192=0,-6030.44365=0),"-",-6030.44365/-6963.99192*100)</f>
        <v>86.59463881170039</v>
      </c>
    </row>
    <row r="79" spans="1:4" ht="15.75">
      <c r="A79" s="40" t="s">
        <v>36</v>
      </c>
      <c r="B79" s="41">
        <f>IF(OR(-133146.63806="",-133146.63806=0),"-",-133146.63806)</f>
        <v>-133146.63806</v>
      </c>
      <c r="C79" s="41">
        <f>IF(OR(-146358.38163="",-146358.38163=0),"-",-146358.38163)</f>
        <v>-146358.38163</v>
      </c>
      <c r="D79" s="41">
        <f>IF(OR(-133146.63806="",-146358.38163="",-133146.63806=0,-146358.38163=0),"-",-146358.38163/-133146.63806*100)</f>
        <v>109.92270158863973</v>
      </c>
    </row>
    <row r="80" spans="1:4" ht="16.5" customHeight="1">
      <c r="A80" s="31" t="s">
        <v>254</v>
      </c>
      <c r="B80" s="32">
        <f>IF(382.45574="","-",382.45574)</f>
        <v>382.45574</v>
      </c>
      <c r="C80" s="32">
        <f>IF(664.29017="","-",664.29017)</f>
        <v>664.29017</v>
      </c>
      <c r="D80" s="32" t="s">
        <v>106</v>
      </c>
    </row>
    <row r="81" spans="1:4" ht="15.75" customHeight="1">
      <c r="A81" s="29" t="s">
        <v>21</v>
      </c>
      <c r="B81" s="41"/>
      <c r="C81" s="41"/>
      <c r="D81" s="41"/>
    </row>
    <row r="82" spans="1:4" ht="15.75">
      <c r="A82" s="40"/>
      <c r="B82" s="41"/>
      <c r="C82" s="41"/>
      <c r="D82" s="41"/>
    </row>
    <row r="83" spans="1:4" ht="15.75">
      <c r="A83" s="40"/>
      <c r="B83" s="41"/>
      <c r="C83" s="41"/>
      <c r="D83" s="41"/>
    </row>
  </sheetData>
  <sheetProtection/>
  <mergeCells count="5"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Eni</dc:creator>
  <cp:keywords/>
  <dc:description/>
  <cp:lastModifiedBy>Doina Vudvud</cp:lastModifiedBy>
  <cp:lastPrinted>2019-12-12T15:28:15Z</cp:lastPrinted>
  <dcterms:created xsi:type="dcterms:W3CDTF">2016-09-01T07:59:47Z</dcterms:created>
  <dcterms:modified xsi:type="dcterms:W3CDTF">2019-12-13T13:37:38Z</dcterms:modified>
  <cp:category/>
  <cp:version/>
  <cp:contentType/>
  <cp:contentStatus/>
</cp:coreProperties>
</file>