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tabRatio="800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/>
</workbook>
</file>

<file path=xl/sharedStrings.xml><?xml version="1.0" encoding="utf-8"?>
<sst xmlns="http://schemas.openxmlformats.org/spreadsheetml/2006/main" count="767" uniqueCount="306">
  <si>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</si>
  <si>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</si>
  <si>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</si>
  <si>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</si>
  <si>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</si>
  <si>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</si>
  <si>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</si>
  <si>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</si>
  <si>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</si>
  <si>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</si>
  <si>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</si>
  <si>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</si>
  <si>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</si>
  <si>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</si>
  <si>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</si>
  <si>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</si>
  <si>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</si>
  <si>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</si>
  <si>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</si>
  <si>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</si>
  <si>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</si>
  <si>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</si>
  <si>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</si>
  <si>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</si>
  <si>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</si>
  <si>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Zahăr, preparate pe bază de zahăr; miere</t>
  </si>
  <si>
    <t>Hrană destinată animalelor (exclusiv cereale nemăcinate)</t>
  </si>
  <si>
    <t>Materiale brute necomestibile, exclusiv combustibili</t>
  </si>
  <si>
    <t>Alte materii brute de origine animală sau vegetală</t>
  </si>
  <si>
    <t>Energie electrică</t>
  </si>
  <si>
    <t>Produse chimice organice</t>
  </si>
  <si>
    <t>Produse chimice anorganice</t>
  </si>
  <si>
    <t>Materiale plastice sub forme primare</t>
  </si>
  <si>
    <t>Materiale plastice prelucrate</t>
  </si>
  <si>
    <t>Mărfuri manufacturate, clasificate mai ales după materia primă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</si>
  <si>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</si>
  <si>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</si>
  <si>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</si>
  <si>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</si>
  <si>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</si>
  <si>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Vehicule rutiere (inclusiv vehicule cu pernă de aer)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</si>
  <si>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</si>
  <si>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</si>
  <si>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</si>
  <si>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</si>
  <si>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</si>
  <si>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</si>
  <si>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</si>
  <si>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</si>
  <si>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</si>
  <si>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</si>
  <si>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</si>
  <si>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</si>
  <si>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</si>
  <si>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</si>
  <si>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</si>
  <si>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</si>
  <si>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</si>
  <si>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</si>
  <si>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</si>
  <si>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</si>
  <si>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</si>
  <si>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</si>
  <si>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</si>
  <si>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</si>
  <si>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</si>
  <si>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</si>
  <si>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</si>
  <si>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</si>
  <si>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</si>
  <si>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</si>
  <si>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</si>
  <si>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</si>
  <si>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</si>
  <si>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</si>
  <si>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</si>
  <si>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</si>
  <si>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</si>
  <si>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</si>
  <si>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</si>
  <si>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</si>
  <si>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</si>
  <si>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</si>
  <si>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</si>
  <si>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</si>
  <si>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</si>
  <si>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</si>
  <si>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</si>
  <si>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</si>
  <si>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</si>
  <si>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</si>
  <si>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</si>
  <si>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</si>
  <si>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</si>
  <si>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</si>
  <si>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</si>
  <si>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</si>
  <si>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</si>
  <si>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</si>
  <si>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</si>
  <si>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</si>
  <si>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</si>
  <si>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</si>
  <si>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</si>
  <si>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</si>
  <si>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</si>
  <si>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</si>
  <si>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</si>
  <si>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</si>
  <si>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</si>
  <si>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</si>
  <si>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</si>
  <si>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</si>
  <si>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</si>
  <si>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</si>
  <si>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</si>
  <si>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Gradul de influenţă a grupelor de mărfuri  la creşterea (+),  scăderea (-) exporturilor, %</t>
  </si>
  <si>
    <t>Qatar</t>
  </si>
  <si>
    <t xml:space="preserve">. </t>
  </si>
  <si>
    <t>Ponderea, %</t>
  </si>
  <si>
    <t>Swaziland</t>
  </si>
  <si>
    <t>2018¹</t>
  </si>
  <si>
    <t>mii dolari         SUA</t>
  </si>
  <si>
    <t>Belize</t>
  </si>
  <si>
    <t>de 3,2 ori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</si>
  <si>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</si>
  <si>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</si>
  <si>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</si>
  <si>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</si>
  <si>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</si>
  <si>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</si>
  <si>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</si>
  <si>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</si>
  <si>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</si>
  <si>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</si>
  <si>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</si>
  <si>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</si>
  <si>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</si>
  <si>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</si>
  <si>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</si>
  <si>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</si>
  <si>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</si>
  <si>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</si>
  <si>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</si>
  <si>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</si>
  <si>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</si>
  <si>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</si>
  <si>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</si>
  <si>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</si>
  <si>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</si>
  <si>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</si>
  <si>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</si>
  <si>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</si>
  <si>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</si>
  <si>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</si>
  <si>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</si>
  <si>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</si>
  <si>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</si>
  <si>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</si>
  <si>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</si>
  <si>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</si>
  <si>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</si>
  <si>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</si>
  <si>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 xml:space="preserve">EXPORT - total      </t>
  </si>
  <si>
    <t>BALANŢA COMERCIALĂ - total, mii dolari SUA</t>
  </si>
  <si>
    <t>Cote D'Ivoire</t>
  </si>
  <si>
    <t>de 2,6 ori</t>
  </si>
  <si>
    <t>Madagascar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</si>
  <si>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</si>
  <si>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</si>
  <si>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</si>
  <si>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</si>
  <si>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</si>
  <si>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</si>
  <si>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</si>
  <si>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</si>
  <si>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Bosnia şi Herţegovina</t>
  </si>
  <si>
    <t>Mali</t>
  </si>
  <si>
    <t>Somalia</t>
  </si>
  <si>
    <t>de 2,7 ori</t>
  </si>
  <si>
    <t>Macedonia de Nord</t>
  </si>
  <si>
    <t>de 2,3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</si>
  <si>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</si>
  <si>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</si>
  <si>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</si>
  <si>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</si>
  <si>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</si>
  <si>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</si>
  <si>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</si>
  <si>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</si>
  <si>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</si>
  <si>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Tutun brut şi prelucrat</t>
  </si>
  <si>
    <t>Piei crude, piei tăbăcite şi blănuri brute</t>
  </si>
  <si>
    <t>Lemn şi plută</t>
  </si>
  <si>
    <t>Îngrăşăminte naturale şi minerale naturale (exclusiv cărbune, petrol şi pietre preţioase)</t>
  </si>
  <si>
    <t>Minereuri metalifere şi deşeuri de metale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</si>
  <si>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</si>
  <si>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</si>
  <si>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</si>
  <si>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</si>
  <si>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</si>
  <si>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</si>
  <si>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</si>
  <si>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</si>
  <si>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</si>
  <si>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</si>
  <si>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</si>
  <si>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</si>
  <si>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</si>
  <si>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</si>
  <si>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</si>
  <si>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</si>
  <si>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</si>
  <si>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</si>
  <si>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</si>
  <si>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</si>
  <si>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</si>
  <si>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</si>
  <si>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</si>
  <si>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</si>
  <si>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</si>
  <si>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</si>
  <si>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</si>
  <si>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</si>
  <si>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Seminţe şi fructe oleaginoase</t>
  </si>
  <si>
    <t>Cauciuc brut (inclusiv cauciuc sintetic şi regenerat)</t>
  </si>
  <si>
    <t>Fibre textile (cu excepţia lânii în fuior şi a lânii pieptănate) şi deşeurile lor (neprelucrate în fire sau ţesături)</t>
  </si>
  <si>
    <t>Gaz şi produse industriale obţinute din gaz</t>
  </si>
  <si>
    <t>Uleiuri şi grăsimi de origine animală</t>
  </si>
  <si>
    <t>Alte uleiuri şi grăsimi animale sau vegetale prelucrate; ceară de origine animală sau vegetală, amestecuri sau preparate necomestibile din uleiuri animale sau vegetale</t>
  </si>
  <si>
    <t>Maşini şi aparate specializate pentru industriile specifice</t>
  </si>
  <si>
    <t>Maşini şi aparate electrice şi părţi ale acestora (inclusiv echivalente neelectrice ale maşinilor şi aparatelor de uz casnic)</t>
  </si>
  <si>
    <t>de 4,5 ori</t>
  </si>
  <si>
    <t>Niger</t>
  </si>
  <si>
    <t>de 2,2 ori</t>
  </si>
  <si>
    <t>de 38,5 ori</t>
  </si>
  <si>
    <t>de 14,3 ori</t>
  </si>
  <si>
    <t>de 4,4 ori</t>
  </si>
  <si>
    <t>de 2358,0 ori</t>
  </si>
  <si>
    <t>de 482,8 ori</t>
  </si>
  <si>
    <t>Băuturi (alcoolice şi nealcoolice)</t>
  </si>
  <si>
    <t>Pastă de hârtie şi deşeuri de hârtie</t>
  </si>
  <si>
    <t>de 3,5 ori</t>
  </si>
  <si>
    <t>de 2,4 ori</t>
  </si>
  <si>
    <t>de 5,1 ori</t>
  </si>
  <si>
    <t>Celelalte ţări ale lumii - total</t>
  </si>
  <si>
    <t>de 4,0 ori</t>
  </si>
  <si>
    <t>Insulele Folkland</t>
  </si>
  <si>
    <t>Panama</t>
  </si>
  <si>
    <t>Republica Yemen</t>
  </si>
  <si>
    <t>de 14,4 ori</t>
  </si>
  <si>
    <t>de 6,1 ori</t>
  </si>
  <si>
    <t>Ţările Uniunii Europene (UE-28) - total</t>
  </si>
  <si>
    <t xml:space="preserve">Ţările CSI - total </t>
  </si>
  <si>
    <t xml:space="preserve">Celelalte ţări ale lumii - total </t>
  </si>
  <si>
    <t>Ţările Uniunii Europene (UE -28) - total</t>
  </si>
  <si>
    <t>Țările Uniunii Europene (UE-28) - total</t>
  </si>
  <si>
    <t xml:space="preserve">Țările CSI - total </t>
  </si>
  <si>
    <t xml:space="preserve">Celelalte țări ale lumii - total </t>
  </si>
  <si>
    <t>Ianuarie - iunie 2019</t>
  </si>
  <si>
    <t>în % faţă de ianuarie - iunie 2018¹</t>
  </si>
  <si>
    <t>ianuarie - iunie</t>
  </si>
  <si>
    <t>Ianuarie - iunie</t>
  </si>
  <si>
    <t>Ianuarie - iunie 2019          în % faţă de                          ianuarie - iunie 2018¹</t>
  </si>
  <si>
    <t>Ianuarie - iunie 2019  în % faţă de                          ianuarie - iunie 2018¹</t>
  </si>
  <si>
    <t>Bosnia şi Hertegovina</t>
  </si>
  <si>
    <t>Liberia</t>
  </si>
  <si>
    <t>de 3,9 ori</t>
  </si>
  <si>
    <t>de 65,5 ori</t>
  </si>
  <si>
    <t>de 7,0 ori</t>
  </si>
  <si>
    <t>de 3455,5 ori</t>
  </si>
  <si>
    <t>de 12,8 ori</t>
  </si>
  <si>
    <t>de 26,2 ori</t>
  </si>
  <si>
    <t>Tările CSI - total</t>
  </si>
  <si>
    <t>de 7,6 ori</t>
  </si>
  <si>
    <t>de 7,3 ori</t>
  </si>
  <si>
    <t>Fire, tesături, articole textile necuprinse în altă parte şi produse conexe</t>
  </si>
  <si>
    <t>Instrumente şi aparate, profesionale, ştiintifice şi de control</t>
  </si>
  <si>
    <t>de 16,2 ori</t>
  </si>
  <si>
    <t>Îngrăţăminte naturale şi minerale naturale (exclusiv cărbune, petrol şi pietre preţioase)</t>
  </si>
  <si>
    <t>Cârbune, cocs şi brichete</t>
  </si>
  <si>
    <t>Incălţăminte</t>
  </si>
  <si>
    <t>Carbune, cocs şi brichete</t>
  </si>
  <si>
    <t>Mobila şi părţile ei</t>
  </si>
  <si>
    <t>de 8,8 ori</t>
  </si>
  <si>
    <t>de 3,0 ori</t>
  </si>
  <si>
    <t>de 14,9 ori</t>
  </si>
  <si>
    <t>de 10,2 ori</t>
  </si>
  <si>
    <t>de 32,6 ori</t>
  </si>
  <si>
    <t>de 3,1 ori</t>
  </si>
  <si>
    <t>Celelalte țări ale lumii - total</t>
  </si>
  <si>
    <t>BALANŢA COMERCIALĂ – total, mii dolari SUA</t>
  </si>
  <si>
    <t>Ţările Uniunii Europene - total</t>
  </si>
  <si>
    <t>Ţările CSI - total</t>
  </si>
  <si>
    <t>Liechtenstein</t>
  </si>
  <si>
    <t>Cuba</t>
  </si>
  <si>
    <t>de 6,8 ori</t>
  </si>
  <si>
    <t>de 2,8 ori</t>
  </si>
  <si>
    <t>de 23,6 ori</t>
  </si>
  <si>
    <t>de 5,8 ori</t>
  </si>
  <si>
    <t>de 1,9 ori</t>
  </si>
  <si>
    <t>de 3,7 ori</t>
  </si>
  <si>
    <t>de 25,3 ori</t>
  </si>
  <si>
    <t>de 12,6 ori</t>
  </si>
  <si>
    <t>de 20,1 ori</t>
  </si>
  <si>
    <t>de 4894,8 ori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</si>
</sst>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2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4" fontId="12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38" fontId="12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4" fontId="56" fillId="0" borderId="0" xfId="0" applyNumberFormat="1" applyFont="1" applyAlignment="1">
      <alignment horizontal="right" vertical="top" wrapText="1"/>
    </xf>
    <xf numFmtId="4" fontId="60" fillId="0" borderId="0" xfId="0" applyNumberFormat="1" applyFont="1" applyFill="1" applyAlignment="1" applyProtection="1">
      <alignment horizontal="right" vertical="top" wrapText="1"/>
      <protection/>
    </xf>
    <xf numFmtId="4" fontId="61" fillId="0" borderId="0" xfId="0" applyNumberFormat="1" applyFont="1" applyAlignment="1">
      <alignment horizontal="right" vertical="top" wrapText="1"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38" fontId="10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38" fontId="12" fillId="0" borderId="13" xfId="0" applyNumberFormat="1" applyFont="1" applyFill="1" applyBorder="1" applyAlignment="1" applyProtection="1">
      <alignment horizontal="left" vertical="top" wrapText="1"/>
      <protection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4" fontId="21" fillId="0" borderId="14" xfId="0" applyNumberFormat="1" applyFont="1" applyFill="1" applyBorder="1" applyAlignment="1" applyProtection="1">
      <alignment horizontal="right" vertical="top"/>
      <protection/>
    </xf>
    <xf numFmtId="4" fontId="12" fillId="0" borderId="0" xfId="0" applyNumberFormat="1" applyFont="1" applyFill="1" applyAlignment="1" applyProtection="1">
      <alignment horizontal="right" vertical="top"/>
      <protection/>
    </xf>
    <xf numFmtId="4" fontId="10" fillId="0" borderId="0" xfId="0" applyNumberFormat="1" applyFont="1" applyFill="1" applyAlignment="1" applyProtection="1">
      <alignment horizontal="right" vertical="top"/>
      <protection/>
    </xf>
    <xf numFmtId="4" fontId="10" fillId="0" borderId="13" xfId="0" applyNumberFormat="1" applyFont="1" applyFill="1" applyBorder="1" applyAlignment="1" applyProtection="1">
      <alignment horizontal="right" vertical="top"/>
      <protection/>
    </xf>
    <xf numFmtId="4" fontId="21" fillId="0" borderId="0" xfId="0" applyNumberFormat="1" applyFont="1" applyFill="1" applyBorder="1" applyAlignment="1" applyProtection="1">
      <alignment horizontal="right" vertical="top"/>
      <protection/>
    </xf>
    <xf numFmtId="4" fontId="12" fillId="0" borderId="13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21" fillId="0" borderId="0" xfId="0" applyNumberFormat="1" applyFont="1" applyFill="1" applyAlignment="1" applyProtection="1">
      <alignment horizontal="right" vertical="top"/>
      <protection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4" fontId="10" fillId="0" borderId="13" xfId="0" applyNumberFormat="1" applyFont="1" applyBorder="1" applyAlignment="1">
      <alignment horizontal="right" vertical="top" wrapText="1"/>
    </xf>
    <xf numFmtId="4" fontId="10" fillId="0" borderId="13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 horizontal="right" vertical="top"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7"/>
  <sheetViews>
    <sheetView tabSelected="1" zoomScale="98" zoomScaleNormal="98" zoomScalePageLayoutView="0" workbookViewId="0" topLeftCell="A1">
      <selection activeCell="A1" sqref="A1:G1"/>
    </sheetView>
  </sheetViews>
  <sheetFormatPr defaultColWidth="9.00390625" defaultRowHeight="15.75"/>
  <cols>
    <col min="1" max="1" width="33.375" style="9" customWidth="1"/>
    <col min="2" max="2" width="11.125" style="9" customWidth="1"/>
    <col min="3" max="3" width="10.00390625" style="9" customWidth="1"/>
    <col min="4" max="4" width="7.875" style="9" customWidth="1"/>
    <col min="5" max="5" width="7.625" style="9" customWidth="1"/>
    <col min="6" max="7" width="9.75390625" style="9" customWidth="1"/>
  </cols>
  <sheetData>
    <row r="1" spans="1:7" ht="15.75">
      <c r="A1" s="59" t="s">
        <v>133</v>
      </c>
      <c r="B1" s="59"/>
      <c r="C1" s="59"/>
      <c r="D1" s="59"/>
      <c r="E1" s="59"/>
      <c r="F1" s="59"/>
      <c r="G1" s="59"/>
    </row>
    <row r="2" ht="9" customHeight="1"/>
    <row r="3" spans="1:7" ht="54" customHeight="1">
      <c r="A3" s="60"/>
      <c r="B3" s="63" t="s">
        <v>259</v>
      </c>
      <c r="C3" s="64"/>
      <c r="D3" s="63" t="s">
        <v>119</v>
      </c>
      <c r="E3" s="64"/>
      <c r="F3" s="65" t="s">
        <v>1</v>
      </c>
      <c r="G3" s="66"/>
    </row>
    <row r="4" spans="1:7" ht="24" customHeight="1">
      <c r="A4" s="61"/>
      <c r="B4" s="67" t="s">
        <v>108</v>
      </c>
      <c r="C4" s="69" t="s">
        <v>260</v>
      </c>
      <c r="D4" s="71" t="s">
        <v>261</v>
      </c>
      <c r="E4" s="71"/>
      <c r="F4" s="71" t="s">
        <v>261</v>
      </c>
      <c r="G4" s="63"/>
    </row>
    <row r="5" spans="1:7" ht="22.5" customHeight="1">
      <c r="A5" s="62"/>
      <c r="B5" s="68"/>
      <c r="C5" s="70"/>
      <c r="D5" s="23">
        <v>2018</v>
      </c>
      <c r="E5" s="23">
        <v>2019</v>
      </c>
      <c r="F5" s="23" t="s">
        <v>121</v>
      </c>
      <c r="G5" s="19" t="s">
        <v>144</v>
      </c>
    </row>
    <row r="6" spans="1:7" ht="15.75" customHeight="1">
      <c r="A6" s="41" t="s">
        <v>109</v>
      </c>
      <c r="B6" s="45">
        <f>IF(1361362.0538="","-",1361362.0538)</f>
        <v>1361362.0538</v>
      </c>
      <c r="C6" s="45">
        <f>IF(1314797.53704="","-",1361362.0538/1314797.53704*100)</f>
        <v>103.54157316607319</v>
      </c>
      <c r="D6" s="45">
        <v>100</v>
      </c>
      <c r="E6" s="45">
        <v>100</v>
      </c>
      <c r="F6" s="45">
        <f>IF(1028187.45002="","-",(1314797.53704-1028187.45002)/1028187.45002*100)</f>
        <v>27.875275759728936</v>
      </c>
      <c r="G6" s="45">
        <f>IF(1314797.53704="","-",(1361362.0538-1314797.53704)/1314797.53704*100)</f>
        <v>3.541573166073203</v>
      </c>
    </row>
    <row r="7" spans="1:7" ht="15.75" customHeight="1">
      <c r="A7" s="42" t="s">
        <v>161</v>
      </c>
      <c r="B7" s="49"/>
      <c r="C7" s="49"/>
      <c r="D7" s="49"/>
      <c r="E7" s="49"/>
      <c r="F7" s="49"/>
      <c r="G7" s="49"/>
    </row>
    <row r="8" spans="1:7" ht="15.75" customHeight="1">
      <c r="A8" s="26" t="s">
        <v>255</v>
      </c>
      <c r="B8" s="46">
        <f>IF(880196.67195="","-",880196.67195)</f>
        <v>880196.67195</v>
      </c>
      <c r="C8" s="46">
        <f>IF(900379.06534="","-",880196.67195/900379.06534*100)</f>
        <v>97.75845594739825</v>
      </c>
      <c r="D8" s="46">
        <f>IF(900379.06534="","-",900379.06534/1314797.53704*100)</f>
        <v>68.48043443761088</v>
      </c>
      <c r="E8" s="46">
        <f>IF(880196.67195="","-",880196.67195/1361362.0538*100)</f>
        <v>64.65559029598977</v>
      </c>
      <c r="F8" s="46">
        <f>IF(1028187.45002="","-",(900379.06534-652141.21213)/1028187.45002*100)</f>
        <v>24.143248704812663</v>
      </c>
      <c r="G8" s="46">
        <f>IF(1314797.53704="","-",(880196.67195-900379.06534)/1314797.53704*100)</f>
        <v>-1.5350191053321067</v>
      </c>
    </row>
    <row r="9" spans="1:7" ht="15.75" customHeight="1">
      <c r="A9" s="39" t="s">
        <v>2</v>
      </c>
      <c r="B9" s="47">
        <f>IF(380533.3703="","-",380533.3703)</f>
        <v>380533.3703</v>
      </c>
      <c r="C9" s="47">
        <f>IF(OR(346385.25703="",380533.3703=""),"-",380533.3703/346385.25703*100)</f>
        <v>109.8584199462746</v>
      </c>
      <c r="D9" s="47">
        <f>IF(346385.25703="","-",346385.25703/1314797.53704*100)</f>
        <v>26.34514039399679</v>
      </c>
      <c r="E9" s="47">
        <f>IF(380533.3703="","-",380533.3703/1361362.0538*100)</f>
        <v>27.95240026250245</v>
      </c>
      <c r="F9" s="47">
        <f>IF(OR(1028187.45002="",250717.6544="",346385.25703=""),"-",(346385.25703-250717.6544)/1028187.45002*100)</f>
        <v>9.304490404754413</v>
      </c>
      <c r="G9" s="47">
        <f>IF(OR(1314797.53704="",380533.3703="",346385.25703=""),"-",(380533.3703-346385.25703)/1314797.53704*100)</f>
        <v>2.597214575475824</v>
      </c>
    </row>
    <row r="10" spans="1:7" ht="15.75" customHeight="1">
      <c r="A10" s="39" t="s">
        <v>3</v>
      </c>
      <c r="B10" s="47">
        <f>IF(135810.04623="","-",135810.04623)</f>
        <v>135810.04623</v>
      </c>
      <c r="C10" s="47">
        <f>IF(OR(147373.44482="",135810.04623=""),"-",135810.04623/147373.44482*100)</f>
        <v>92.15367557966539</v>
      </c>
      <c r="D10" s="47">
        <f>IF(147373.44482="","-",147373.44482/1314797.53704*100)</f>
        <v>11.208831829102861</v>
      </c>
      <c r="E10" s="47">
        <f>IF(135810.04623="","-",135810.04623/1361362.0538*100)</f>
        <v>9.976041704035337</v>
      </c>
      <c r="F10" s="47">
        <f>IF(OR(1028187.45002="",92688.65374="",147373.44482=""),"-",(147373.44482-92688.65374)/1028187.45002*100)</f>
        <v>5.3185623962767</v>
      </c>
      <c r="G10" s="47">
        <f>IF(OR(1314797.53704="",135810.04623="",147373.44482=""),"-",(135810.04623-147373.44482)/1314797.53704*100)</f>
        <v>-0.8794813090411352</v>
      </c>
    </row>
    <row r="11" spans="1:7" ht="13.5" customHeight="1">
      <c r="A11" s="39" t="s">
        <v>4</v>
      </c>
      <c r="B11" s="47">
        <f>IF(124691.90789="","-",124691.90789)</f>
        <v>124691.90789</v>
      </c>
      <c r="C11" s="47">
        <f>IF(OR(113271.54724="",124691.90789=""),"-",124691.90789/113271.54724*100)</f>
        <v>110.08228538257936</v>
      </c>
      <c r="D11" s="47">
        <f>IF(113271.54724="","-",113271.54724/1314797.53704*100)</f>
        <v>8.615132295958503</v>
      </c>
      <c r="E11" s="47">
        <f>IF(124691.90789="","-",124691.90789/1361362.0538*100)</f>
        <v>9.159349457548394</v>
      </c>
      <c r="F11" s="47">
        <f>IF(OR(1028187.45002="",71011.57098="",113271.54724=""),"-",(113271.54724-71011.57098)/1028187.45002*100)</f>
        <v>4.110143170798084</v>
      </c>
      <c r="G11" s="47">
        <f>IF(OR(1314797.53704="",124691.90789="",113271.54724=""),"-",(124691.90789-113271.54724)/1314797.53704*100)</f>
        <v>0.8686022241652982</v>
      </c>
    </row>
    <row r="12" spans="1:7" ht="15.75" customHeight="1">
      <c r="A12" s="39" t="s">
        <v>5</v>
      </c>
      <c r="B12" s="47">
        <f>IF(52151.67968="","-",52151.67968)</f>
        <v>52151.67968</v>
      </c>
      <c r="C12" s="47">
        <f>IF(OR(46125.68362="",52151.67968=""),"-",52151.67968/46125.68362*100)</f>
        <v>113.06429647665351</v>
      </c>
      <c r="D12" s="47">
        <f>IF(46125.68362="","-",46125.68362/1314797.53704*100)</f>
        <v>3.5081966858443185</v>
      </c>
      <c r="E12" s="47">
        <f>IF(52151.67968="","-",52151.67968/1361362.0538*100)</f>
        <v>3.8308456985728276</v>
      </c>
      <c r="F12" s="47">
        <f>IF(OR(1028187.45002="",33663.72656="",46125.68362=""),"-",(46125.68362-33663.72656)/1028187.45002*100)</f>
        <v>1.2120316251436054</v>
      </c>
      <c r="G12" s="47">
        <f>IF(OR(1314797.53704="",52151.67968="",46125.68362=""),"-",(52151.67968-46125.68362)/1314797.53704*100)</f>
        <v>0.4583212160228338</v>
      </c>
    </row>
    <row r="13" spans="1:7" s="14" customFormat="1" ht="15.75">
      <c r="A13" s="39" t="s">
        <v>170</v>
      </c>
      <c r="B13" s="47">
        <f>IF(26145.7018="","-",26145.7018)</f>
        <v>26145.7018</v>
      </c>
      <c r="C13" s="47">
        <f>IF(OR(42788.61837="",26145.7018=""),"-",26145.7018/42788.61837*100)</f>
        <v>61.104337545825736</v>
      </c>
      <c r="D13" s="47">
        <f>IF(42788.61837="","-",42788.61837/1314797.53704*100)</f>
        <v>3.254388387913312</v>
      </c>
      <c r="E13" s="47">
        <f>IF(26145.7018="","-",26145.7018/1361362.0538*100)</f>
        <v>1.9205546185909121</v>
      </c>
      <c r="F13" s="47">
        <f>IF(OR(1028187.45002="",60488.84795="",42788.61837=""),"-",(42788.61837-60488.84795)/1028187.45002*100)</f>
        <v>-1.7214983104156454</v>
      </c>
      <c r="G13" s="47">
        <f>IF(OR(1314797.53704="",26145.7018="",42788.61837=""),"-",(26145.7018-42788.61837)/1314797.53704*100)</f>
        <v>-1.2658159223106051</v>
      </c>
    </row>
    <row r="14" spans="1:7" s="14" customFormat="1" ht="15.75">
      <c r="A14" s="39" t="s">
        <v>7</v>
      </c>
      <c r="B14" s="47">
        <f>IF(24635.79935="","-",24635.79935)</f>
        <v>24635.79935</v>
      </c>
      <c r="C14" s="47">
        <f>IF(OR(20753.54191="",24635.79935=""),"-",24635.79935/20753.54191*100)</f>
        <v>118.70648131695222</v>
      </c>
      <c r="D14" s="47">
        <f>IF(20753.54191="","-",20753.54191/1314797.53704*100)</f>
        <v>1.5784591410721982</v>
      </c>
      <c r="E14" s="47">
        <f>IF(24635.79935="","-",24635.79935/1361362.0538*100)</f>
        <v>1.8096434582728047</v>
      </c>
      <c r="F14" s="47">
        <f>IF(OR(1028187.45002="",15047.43739="",20753.54191=""),"-",(20753.54191-15047.43739)/1028187.45002*100)</f>
        <v>0.5549673379002056</v>
      </c>
      <c r="G14" s="47">
        <f>IF(OR(1314797.53704="",24635.79935="",20753.54191=""),"-",(24635.79935-20753.54191)/1314797.53704*100)</f>
        <v>0.2952741643203954</v>
      </c>
    </row>
    <row r="15" spans="1:7" s="14" customFormat="1" ht="15.75">
      <c r="A15" s="39" t="s">
        <v>6</v>
      </c>
      <c r="B15" s="47">
        <f>IF(20119.55511="","-",20119.55511)</f>
        <v>20119.55511</v>
      </c>
      <c r="C15" s="47">
        <f>IF(OR(29454.50956="",20119.55511=""),"-",20119.55511/29454.50956*100)</f>
        <v>68.30721478833546</v>
      </c>
      <c r="D15" s="47">
        <f>IF(29454.50956="","-",29454.50956/1314797.53704*100)</f>
        <v>2.240231574080284</v>
      </c>
      <c r="E15" s="47">
        <f>IF(20119.55511="","-",20119.55511/1361362.0538*100)</f>
        <v>1.4778989214397331</v>
      </c>
      <c r="F15" s="47">
        <f>IF(OR(1028187.45002="",36014.54958="",29454.50956=""),"-",(29454.50956-36014.54958)/1028187.45002*100)</f>
        <v>-0.6380198493837282</v>
      </c>
      <c r="G15" s="47">
        <f>IF(OR(1314797.53704="",20119.55511="",29454.50956=""),"-",(20119.55511-29454.50956)/1314797.53704*100)</f>
        <v>-0.709991781017156</v>
      </c>
    </row>
    <row r="16" spans="1:7" s="14" customFormat="1" ht="15.75">
      <c r="A16" s="39" t="s">
        <v>48</v>
      </c>
      <c r="B16" s="47">
        <f>IF(19934.79232="","-",19934.79232)</f>
        <v>19934.79232</v>
      </c>
      <c r="C16" s="47">
        <f>IF(OR(17555.36542="",19934.79232=""),"-",19934.79232/17555.36542*100)</f>
        <v>113.55384432664235</v>
      </c>
      <c r="D16" s="47">
        <f>IF(17555.36542="","-",17555.36542/1314797.53704*100)</f>
        <v>1.3352143524334812</v>
      </c>
      <c r="E16" s="47">
        <f>IF(19934.79232="","-",19934.79232/1361362.0538*100)</f>
        <v>1.4643270145774647</v>
      </c>
      <c r="F16" s="47">
        <f>IF(OR(1028187.45002="",10354.93194="",17555.36542=""),"-",(17555.36542-10354.93194)/1028187.45002*100)</f>
        <v>0.70030357595397</v>
      </c>
      <c r="G16" s="47">
        <f>IF(OR(1314797.53704="",19934.79232="",17555.36542=""),"-",(19934.79232-17555.36542)/1314797.53704*100)</f>
        <v>0.18097287475581975</v>
      </c>
    </row>
    <row r="17" spans="1:7" s="14" customFormat="1" ht="15.75">
      <c r="A17" s="39" t="s">
        <v>10</v>
      </c>
      <c r="B17" s="47">
        <f>IF(18631.24309="","-",18631.24309)</f>
        <v>18631.24309</v>
      </c>
      <c r="C17" s="47">
        <f>IF(OR(19187.60976="",18631.24309=""),"-",18631.24309/19187.60976*100)</f>
        <v>97.10038573350681</v>
      </c>
      <c r="D17" s="47">
        <f>IF(19187.60976="","-",19187.60976/1314797.53704*100)</f>
        <v>1.459358511059962</v>
      </c>
      <c r="E17" s="47">
        <f>IF(18631.24309="","-",18631.24309/1361362.0538*100)</f>
        <v>1.3685737044009856</v>
      </c>
      <c r="F17" s="47">
        <f>IF(OR(1028187.45002="",11478.71305="",19187.60976=""),"-",(19187.60976-11478.71305)/1028187.45002*100)</f>
        <v>0.7497559622858699</v>
      </c>
      <c r="G17" s="47">
        <f>IF(OR(1314797.53704="",18631.24309="",19187.60976=""),"-",(18631.24309-19187.60976)/1314797.53704*100)</f>
        <v>-0.04231576758597724</v>
      </c>
    </row>
    <row r="18" spans="1:7" s="14" customFormat="1" ht="15.75">
      <c r="A18" s="39" t="s">
        <v>169</v>
      </c>
      <c r="B18" s="47">
        <f>IF(17926.68986="","-",17926.68986)</f>
        <v>17926.68986</v>
      </c>
      <c r="C18" s="47">
        <f>IF(OR(26992.63284="",17926.68986=""),"-",17926.68986/26992.63284*100)</f>
        <v>66.41326900662573</v>
      </c>
      <c r="D18" s="47">
        <f>IF(26992.63284="","-",26992.63284/1314797.53704*100)</f>
        <v>2.05298778553909</v>
      </c>
      <c r="E18" s="47">
        <f>IF(17926.68986="","-",17926.68986/1361362.0538*100)</f>
        <v>1.316820151550488</v>
      </c>
      <c r="F18" s="47">
        <f>IF(OR(1028187.45002="",17322.7735="",26992.63284=""),"-",(26992.63284-17322.7735)/1028187.45002*100)</f>
        <v>0.9404763051534916</v>
      </c>
      <c r="G18" s="47">
        <f>IF(OR(1314797.53704="",17926.68986="",26992.63284=""),"-",(17926.68986-26992.63284)/1314797.53704*100)</f>
        <v>-0.6895314848558457</v>
      </c>
    </row>
    <row r="19" spans="1:7" s="16" customFormat="1" ht="15.75">
      <c r="A19" s="39" t="s">
        <v>8</v>
      </c>
      <c r="B19" s="47">
        <f>IF(14511.50237="","-",14511.50237)</f>
        <v>14511.50237</v>
      </c>
      <c r="C19" s="47">
        <f>IF(OR(21905.12519="",14511.50237=""),"-",14511.50237/21905.12519*100)</f>
        <v>66.24706430175851</v>
      </c>
      <c r="D19" s="47">
        <f>IF(21905.12519="","-",21905.12519/1314797.53704*100)</f>
        <v>1.666045499242031</v>
      </c>
      <c r="E19" s="47">
        <f>IF(14511.50237="","-",14511.50237/1361362.0538*100)</f>
        <v>1.0659546686712562</v>
      </c>
      <c r="F19" s="47">
        <f>IF(OR(1028187.45002="",14928.40406="",21905.12519=""),"-",(21905.12519-14928.40406)/1028187.45002*100)</f>
        <v>0.678545641639984</v>
      </c>
      <c r="G19" s="47">
        <f>IF(OR(1314797.53704="",14511.50237="",21905.12519=""),"-",(14511.50237-21905.12519)/1314797.53704*100)</f>
        <v>-0.5623392660626092</v>
      </c>
    </row>
    <row r="20" spans="1:7" s="14" customFormat="1" ht="15.75">
      <c r="A20" s="39" t="s">
        <v>9</v>
      </c>
      <c r="B20" s="47">
        <f>IF(10646.02983="","-",10646.02983)</f>
        <v>10646.02983</v>
      </c>
      <c r="C20" s="47">
        <f>IF(OR(17761.18814="",10646.02983=""),"-",10646.02983/17761.18814*100)</f>
        <v>59.939851692827126</v>
      </c>
      <c r="D20" s="47">
        <f>IF(17761.18814="","-",17761.18814/1314797.53704*100)</f>
        <v>1.350868680510743</v>
      </c>
      <c r="E20" s="47">
        <f>IF(10646.02983="","-",10646.02983/1361362.0538*100)</f>
        <v>0.7820131169576454</v>
      </c>
      <c r="F20" s="47">
        <f>IF(OR(1028187.45002="",11712.18026="",17761.18814=""),"-",(17761.18814-11712.18026)/1028187.45002*100)</f>
        <v>0.5883176146414095</v>
      </c>
      <c r="G20" s="47">
        <f>IF(OR(1314797.53704="",10646.02983="",17761.18814=""),"-",(10646.02983-17761.18814)/1314797.53704*100)</f>
        <v>-0.5411599968477531</v>
      </c>
    </row>
    <row r="21" spans="1:7" s="14" customFormat="1" ht="15.75">
      <c r="A21" s="39" t="s">
        <v>49</v>
      </c>
      <c r="B21" s="47">
        <f>IF(7707.5054="","-",7707.5054)</f>
        <v>7707.5054</v>
      </c>
      <c r="C21" s="47">
        <f>IF(OR(7772.04728="",7707.5054=""),"-",7707.5054/7772.04728*100)</f>
        <v>99.1695639813452</v>
      </c>
      <c r="D21" s="47">
        <f>IF(7772.04728="","-",7772.04728/1314797.53704*100)</f>
        <v>0.5911212229296678</v>
      </c>
      <c r="E21" s="47">
        <f>IF(7707.5054="","-",7707.5054/1361362.0538*100)</f>
        <v>0.5661613219265125</v>
      </c>
      <c r="F21" s="47">
        <f>IF(OR(1028187.45002="",6096.89873="",7772.04728=""),"-",(7772.04728-6096.89873)/1028187.45002*100)</f>
        <v>0.16292248558056366</v>
      </c>
      <c r="G21" s="47">
        <f>IF(OR(1314797.53704="",7707.5054="",7772.04728=""),"-",(7707.5054-7772.04728)/1314797.53704*100)</f>
        <v>-0.0049088835491206285</v>
      </c>
    </row>
    <row r="22" spans="1:7" s="14" customFormat="1" ht="15.75">
      <c r="A22" s="39" t="s">
        <v>52</v>
      </c>
      <c r="B22" s="47">
        <f>IF(5534.93532="","-",5534.93532)</f>
        <v>5534.93532</v>
      </c>
      <c r="C22" s="47">
        <f>IF(OR(11666.99644="",5534.93532=""),"-",5534.93532/11666.99644*100)</f>
        <v>47.44096176307738</v>
      </c>
      <c r="D22" s="47">
        <f>IF(11666.99644="","-",11666.99644/1314797.53704*100)</f>
        <v>0.887360685681377</v>
      </c>
      <c r="E22" s="47">
        <f>IF(5534.93532="","-",5534.93532/1361362.0538*100)</f>
        <v>0.40657335089884516</v>
      </c>
      <c r="F22" s="47">
        <f>IF(OR(1028187.45002="",4107.30788="",11666.99644=""),"-",(11666.99644-4107.30788)/1028187.45002*100)</f>
        <v>0.7352441969460872</v>
      </c>
      <c r="G22" s="47">
        <f>IF(OR(1314797.53704="",5534.93532="",11666.99644=""),"-",(5534.93532-11666.99644)/1314797.53704*100)</f>
        <v>-0.4663882420866936</v>
      </c>
    </row>
    <row r="23" spans="1:7" s="14" customFormat="1" ht="15.75">
      <c r="A23" s="39" t="s">
        <v>55</v>
      </c>
      <c r="B23" s="47">
        <f>IF(4795.85849="","-",4795.85849)</f>
        <v>4795.85849</v>
      </c>
      <c r="C23" s="47">
        <f>IF(OR(4733.02703="",4795.85849=""),"-",4795.85849/4733.02703*100)</f>
        <v>101.3275111171296</v>
      </c>
      <c r="D23" s="47">
        <f>IF(4733.02703="","-",4733.02703/1314797.53704*100)</f>
        <v>0.359981434149584</v>
      </c>
      <c r="E23" s="47">
        <f>IF(4795.85849="","-",4795.85849/1361362.0538*100)</f>
        <v>0.3522838378382307</v>
      </c>
      <c r="F23" s="47">
        <f>IF(OR(1028187.45002="",3255.40549="",4733.02703=""),"-",(4733.02703-3255.40549)/1028187.45002*100)</f>
        <v>0.1437112989437148</v>
      </c>
      <c r="G23" s="47">
        <f>IF(OR(1314797.53704="",4795.85849="",4733.02703=""),"-",(4795.85849-4733.02703)/1314797.53704*100)</f>
        <v>0.004778793557938335</v>
      </c>
    </row>
    <row r="24" spans="1:9" s="14" customFormat="1" ht="15.75">
      <c r="A24" s="39" t="s">
        <v>51</v>
      </c>
      <c r="B24" s="47">
        <f>IF(4290.62708="","-",4290.62708)</f>
        <v>4290.62708</v>
      </c>
      <c r="C24" s="47">
        <f>IF(OR(5416.8889="",4290.62708=""),"-",4290.62708/5416.8889*100)</f>
        <v>79.2083271266649</v>
      </c>
      <c r="D24" s="47">
        <f>IF(5416.8889="","-",5416.8889/1314797.53704*100)</f>
        <v>0.4119941471897663</v>
      </c>
      <c r="E24" s="47">
        <f>IF(4290.62708="","-",4290.62708/1361362.0538*100)</f>
        <v>0.315171637700895</v>
      </c>
      <c r="F24" s="47">
        <f>IF(OR(1028187.45002="",4264.13426="",5416.8889=""),"-",(5416.8889-4264.13426)/1028187.45002*100)</f>
        <v>0.112115221789332</v>
      </c>
      <c r="G24" s="47">
        <f>IF(OR(1314797.53704="",4290.62708="",5416.8889=""),"-",(4290.62708-5416.8889)/1314797.53704*100)</f>
        <v>-0.0856604753409829</v>
      </c>
      <c r="I24" s="14" t="s">
        <v>141</v>
      </c>
    </row>
    <row r="25" spans="1:7" s="14" customFormat="1" ht="15.75">
      <c r="A25" s="39" t="s">
        <v>50</v>
      </c>
      <c r="B25" s="47">
        <f>IF(4194.6282="","-",4194.6282)</f>
        <v>4194.6282</v>
      </c>
      <c r="C25" s="47">
        <f>IF(OR(3844.23494="",4194.6282=""),"-",4194.6282/3844.23494*100)</f>
        <v>109.114772262072</v>
      </c>
      <c r="D25" s="47">
        <f>IF(3844.23494="","-",3844.23494/1314797.53704*100)</f>
        <v>0.2923822742058458</v>
      </c>
      <c r="E25" s="47">
        <f>IF(4194.6282="","-",4194.6282/1361362.0538*100)</f>
        <v>0.30811995885234505</v>
      </c>
      <c r="F25" s="47">
        <f>IF(OR(1028187.45002="",3363.43982="",3844.23494=""),"-",(3844.23494-3363.43982)/1028187.45002*100)</f>
        <v>0.04676142662416736</v>
      </c>
      <c r="G25" s="47">
        <f>IF(OR(1314797.53704="",4194.6282="",3844.23494=""),"-",(4194.6282-3844.23494)/1314797.53704*100)</f>
        <v>0.026649978428529737</v>
      </c>
    </row>
    <row r="26" spans="1:7" s="9" customFormat="1" ht="15.75">
      <c r="A26" s="39" t="s">
        <v>53</v>
      </c>
      <c r="B26" s="47">
        <f>IF(3946.13854="","-",3946.13854)</f>
        <v>3946.13854</v>
      </c>
      <c r="C26" s="47">
        <f>IF(OR(3166.78533="",3946.13854=""),"-",3946.13854/3166.78533*100)</f>
        <v>124.61023178985107</v>
      </c>
      <c r="D26" s="47">
        <f>IF(3166.78533="","-",3166.78533/1314797.53704*100)</f>
        <v>0.24085726058852946</v>
      </c>
      <c r="E26" s="47">
        <f>IF(3946.13854="","-",3946.13854/1361362.0538*100)</f>
        <v>0.2898669409056214</v>
      </c>
      <c r="F26" s="47">
        <f>IF(OR(1028187.45002="",2118.23373="",3166.78533=""),"-",(3166.78533-2118.23373)/1028187.45002*100)</f>
        <v>0.10198058729267744</v>
      </c>
      <c r="G26" s="47">
        <f>IF(OR(1314797.53704="",3946.13854="",3166.78533=""),"-",(3946.13854-3166.78533)/1314797.53704*100)</f>
        <v>0.059275530113522684</v>
      </c>
    </row>
    <row r="27" spans="1:7" s="9" customFormat="1" ht="15.75">
      <c r="A27" s="39" t="s">
        <v>54</v>
      </c>
      <c r="B27" s="47">
        <f>IF(1656.03225="","-",1656.03225)</f>
        <v>1656.03225</v>
      </c>
      <c r="C27" s="47">
        <f>IF(OR(1792.96681="",1656.03225=""),"-",1656.03225/1792.96681*100)</f>
        <v>92.36268294336135</v>
      </c>
      <c r="D27" s="47">
        <f>IF(1792.96681="","-",1792.96681/1314797.53704*100)</f>
        <v>0.1363682817688038</v>
      </c>
      <c r="E27" s="47">
        <f>IF(1656.03225="","-",1656.03225/1361362.0538*100)</f>
        <v>0.12164524825541306</v>
      </c>
      <c r="F27" s="47">
        <f>IF(OR(1028187.45002="",1379.8417="",1792.96681=""),"-",(1792.96681-1379.8417)/1028187.45002*100)</f>
        <v>0.04017994092341469</v>
      </c>
      <c r="G27" s="47">
        <f>IF(OR(1314797.53704="",1656.03225="",1792.96681=""),"-",(1656.03225-1792.96681)/1314797.53704*100)</f>
        <v>-0.01041487804337391</v>
      </c>
    </row>
    <row r="28" spans="1:7" s="14" customFormat="1" ht="15.75">
      <c r="A28" s="39" t="s">
        <v>57</v>
      </c>
      <c r="B28" s="47">
        <f>IF(513.41934="","-",513.41934)</f>
        <v>513.41934</v>
      </c>
      <c r="C28" s="47" t="s">
        <v>244</v>
      </c>
      <c r="D28" s="47">
        <f>IF(100.71327="","-",100.71327/1314797.53704*100)</f>
        <v>0.007659983165677013</v>
      </c>
      <c r="E28" s="47">
        <f>IF(513.41934="","-",513.41934/1361362.0538*100)</f>
        <v>0.0377136514542095</v>
      </c>
      <c r="F28" s="47">
        <f>IF(OR(1028187.45002="",50.68727="",100.71327=""),"-",(100.71327-50.68727)/1028187.45002*100)</f>
        <v>0.00486545522404761</v>
      </c>
      <c r="G28" s="47">
        <f>IF(OR(1314797.53704="",513.41934="",100.71327=""),"-",(513.41934-100.71327)/1314797.53704*100)</f>
        <v>0.031389324848381146</v>
      </c>
    </row>
    <row r="29" spans="1:7" s="14" customFormat="1" ht="15.75">
      <c r="A29" s="39" t="s">
        <v>58</v>
      </c>
      <c r="B29" s="47">
        <f>IF(465.98069="","-",465.98069)</f>
        <v>465.98069</v>
      </c>
      <c r="C29" s="47">
        <f>IF(OR(593.47074="",465.98069=""),"-",465.98069/593.47074*100)</f>
        <v>78.51788784060356</v>
      </c>
      <c r="D29" s="47">
        <f>IF(593.47074="","-",593.47074/1314797.53704*100)</f>
        <v>0.0451378043600598</v>
      </c>
      <c r="E29" s="47">
        <f>IF(465.98069="","-",465.98069/1361362.0538*100)</f>
        <v>0.034229005333246784</v>
      </c>
      <c r="F29" s="47">
        <f>IF(OR(1028187.45002="",826.34994="",593.47074=""),"-",(593.47074-826.34994)/1028187.45002*100)</f>
        <v>-0.02264948867013209</v>
      </c>
      <c r="G29" s="47">
        <f>IF(OR(1314797.53704="",465.98069="",593.47074=""),"-",(465.98069-593.47074)/1314797.53704*100)</f>
        <v>-0.00969655375891698</v>
      </c>
    </row>
    <row r="30" spans="1:7" s="9" customFormat="1" ht="15.75">
      <c r="A30" s="39" t="s">
        <v>63</v>
      </c>
      <c r="B30" s="47">
        <f>IF(461.08919="","-",461.08919)</f>
        <v>461.08919</v>
      </c>
      <c r="C30" s="47">
        <f>IF(OR(573.68424="",461.08919=""),"-",461.08919/573.68424*100)</f>
        <v>80.37334091659899</v>
      </c>
      <c r="D30" s="47">
        <f>IF(573.68424="","-",573.68424/1314797.53704*100)</f>
        <v>0.04363289585189928</v>
      </c>
      <c r="E30" s="47">
        <f>IF(461.08919="","-",461.08919/1361362.0538*100)</f>
        <v>0.03386969606747533</v>
      </c>
      <c r="F30" s="47">
        <f>IF(OR(1028187.45002="",15.78333="",573.68424=""),"-",(573.68424-15.78333)/1028187.45002*100)</f>
        <v>0.05426062241755119</v>
      </c>
      <c r="G30" s="47">
        <f>IF(OR(1314797.53704="",461.08919="",573.68424=""),"-",(461.08919-573.68424)/1314797.53704*100)</f>
        <v>-0.008563679717067693</v>
      </c>
    </row>
    <row r="31" spans="1:7" s="9" customFormat="1" ht="15.75">
      <c r="A31" s="39" t="s">
        <v>56</v>
      </c>
      <c r="B31" s="47">
        <f>IF(446.95394="","-",446.95394)</f>
        <v>446.95394</v>
      </c>
      <c r="C31" s="47">
        <f>IF(OR(1252.59525="",446.95394=""),"-",446.95394/1252.59525*100)</f>
        <v>35.68223175043973</v>
      </c>
      <c r="D31" s="47">
        <f>IF(1252.59525="","-",1252.59525/1314797.53704*100)</f>
        <v>0.09526905966221721</v>
      </c>
      <c r="E31" s="47">
        <f>IF(446.95394="","-",446.95394/1361362.0538*100)</f>
        <v>0.03283137933457213</v>
      </c>
      <c r="F31" s="47">
        <f>IF(OR(1028187.45002="",794.87922="",1252.59525=""),"-",(1252.59525-794.87922)/1028187.45002*100)</f>
        <v>0.04451678825598354</v>
      </c>
      <c r="G31" s="47">
        <f>IF(OR(1314797.53704="",446.95394="",1252.59525=""),"-",(446.95394-1252.59525)/1314797.53704*100)</f>
        <v>-0.061274933007080166</v>
      </c>
    </row>
    <row r="32" spans="1:7" s="9" customFormat="1" ht="15.75">
      <c r="A32" s="39" t="s">
        <v>171</v>
      </c>
      <c r="B32" s="47">
        <f>IF(265.54323="","-",265.54323)</f>
        <v>265.54323</v>
      </c>
      <c r="C32" s="47">
        <f>IF(OR(345.21707="",265.54323=""),"-",265.54323/345.21707*100)</f>
        <v>76.92065458987877</v>
      </c>
      <c r="D32" s="47">
        <f>IF(345.21707="","-",345.21707/1314797.53704*100)</f>
        <v>0.026256291198809678</v>
      </c>
      <c r="E32" s="47">
        <f>IF(265.54323="","-",265.54323/1361362.0538*100)</f>
        <v>0.019505702341179796</v>
      </c>
      <c r="F32" s="47">
        <f>IF(OR(1028187.45002="",108.6375="",345.21707=""),"-",(345.21707-108.6375)/1028187.45002*100)</f>
        <v>0.023009381216955928</v>
      </c>
      <c r="G32" s="47">
        <f>IF(OR(1314797.53704="",265.54323="",345.21707=""),"-",(265.54323-345.21707)/1314797.53704*100)</f>
        <v>-0.006059780137660546</v>
      </c>
    </row>
    <row r="33" spans="1:7" s="9" customFormat="1" ht="15.75">
      <c r="A33" s="39" t="s">
        <v>59</v>
      </c>
      <c r="B33" s="47">
        <f>IF(78.03909="","-",78.03909)</f>
        <v>78.03909</v>
      </c>
      <c r="C33" s="47">
        <f>IF(OR(9226.32139="",78.03909=""),"-",78.03909/9226.32139*100)</f>
        <v>0.8458310381923517</v>
      </c>
      <c r="D33" s="47">
        <f>IF(9226.32139="","-",9226.32139/1314797.53704*100)</f>
        <v>0.7017294397106333</v>
      </c>
      <c r="E33" s="47">
        <f>IF(78.03909="","-",78.03909/1361362.0538*100)</f>
        <v>0.00573242729824647</v>
      </c>
      <c r="F33" s="47">
        <f>IF(OR(1028187.45002="",48.48508="",9226.32139=""),"-",(9226.32139-48.48508)/1028187.45002*100)</f>
        <v>0.8926228685072429</v>
      </c>
      <c r="G33" s="47">
        <f>IF(OR(1314797.53704="",78.03909="",9226.32139=""),"-",(78.03909-9226.32139)/1314797.53704*100)</f>
        <v>-0.6957939943054275</v>
      </c>
    </row>
    <row r="34" spans="1:7" s="9" customFormat="1" ht="15.75">
      <c r="A34" s="39" t="s">
        <v>62</v>
      </c>
      <c r="B34" s="47">
        <f>IF(55.88281="","-",55.88281)</f>
        <v>55.88281</v>
      </c>
      <c r="C34" s="47" t="s">
        <v>243</v>
      </c>
      <c r="D34" s="47">
        <f>IF(23.07654="","-",23.07654/1314797.53704*100)</f>
        <v>0.001755140190781932</v>
      </c>
      <c r="E34" s="47">
        <f>IF(55.88281="","-",55.88281/1361362.0538*100)</f>
        <v>0.004104919028998426</v>
      </c>
      <c r="F34" s="47">
        <f>IF(OR(1028187.45002="",27.10437="",23.07654=""),"-",(23.07654-27.10437)/1028187.45002*100)</f>
        <v>-0.00039174082507247585</v>
      </c>
      <c r="G34" s="47">
        <f>IF(OR(1314797.53704="",55.88281="",23.07654=""),"-",(55.88281-23.07654)/1314797.53704*100)</f>
        <v>0.0024951575490365354</v>
      </c>
    </row>
    <row r="35" spans="1:7" s="9" customFormat="1" ht="15.75">
      <c r="A35" s="39" t="s">
        <v>60</v>
      </c>
      <c r="B35" s="47">
        <f>IF(31.8079="","-",31.8079)</f>
        <v>31.8079</v>
      </c>
      <c r="C35" s="47" t="str">
        <f>IF(OR(""="",31.8079=""),"-",31.8079/""*100)</f>
        <v>-</v>
      </c>
      <c r="D35" s="47" t="str">
        <f>IF(""="","-",""/1314797.53704*100)</f>
        <v>-</v>
      </c>
      <c r="E35" s="47">
        <f>IF(31.8079="","-",31.8079/1361362.0538*100)</f>
        <v>0.002336476171876093</v>
      </c>
      <c r="F35" s="47" t="str">
        <f>IF(OR(1028187.45002="",53.31802="",""=""),"-",(""-53.31802)/1028187.45002*100)</f>
        <v>-</v>
      </c>
      <c r="G35" s="47" t="str">
        <f>IF(OR(1314797.53704="",31.8079="",""=""),"-",(31.8079-"")/1314797.53704*100)</f>
        <v>-</v>
      </c>
    </row>
    <row r="36" spans="1:7" s="9" customFormat="1" ht="15.75">
      <c r="A36" s="39" t="s">
        <v>61</v>
      </c>
      <c r="B36" s="47">
        <f>IF(13.91265="","-",13.91265)</f>
        <v>13.91265</v>
      </c>
      <c r="C36" s="47">
        <f>IF(OR(316.51621="",13.91265=""),"-",13.91265/316.51621*100)</f>
        <v>4.395556865792118</v>
      </c>
      <c r="D36" s="47">
        <f>IF(316.51621="","-",316.51621/1314797.53704*100)</f>
        <v>0.024073380203660254</v>
      </c>
      <c r="E36" s="47">
        <f>IF(13.91265="","-",13.91265/1361362.0538*100)</f>
        <v>0.0010219654618082905</v>
      </c>
      <c r="F36" s="47">
        <f>IF(OR(1028187.45002="",201.26238="",316.51621=""),"-",(316.51621-201.26238)/1028187.45002*100)</f>
        <v>0.011209418087894198</v>
      </c>
      <c r="G36" s="47">
        <f>IF(OR(1314797.53704="",13.91265="",316.51621=""),"-",(13.91265-316.51621)/1314797.53704*100)</f>
        <v>-0.02301522108729003</v>
      </c>
    </row>
    <row r="37" spans="1:7" s="9" customFormat="1" ht="15.75">
      <c r="A37" s="26" t="s">
        <v>253</v>
      </c>
      <c r="B37" s="46">
        <f>IF(202440.70959="","-",202440.70959)</f>
        <v>202440.70959</v>
      </c>
      <c r="C37" s="46">
        <f>IF(208275.81019="","-",202440.70959/208275.81019*100)</f>
        <v>97.19837815314372</v>
      </c>
      <c r="D37" s="46">
        <f>IF(208275.81019="","-",208275.81019/1314797.53704*100)</f>
        <v>15.840903585725504</v>
      </c>
      <c r="E37" s="46">
        <f>IF(202440.70959="","-",202440.70959/1361362.0538*100)</f>
        <v>14.870453383427485</v>
      </c>
      <c r="F37" s="46">
        <f>IF(1028187.45002="","-",(208275.81019-216945.07879)/1028187.45002*100)</f>
        <v>-0.8431603206041252</v>
      </c>
      <c r="G37" s="46">
        <f>IF(1314797.53704="","-",(202440.70959-208275.81019)/1314797.53704*100)</f>
        <v>-0.44380221559712696</v>
      </c>
    </row>
    <row r="38" spans="1:7" s="9" customFormat="1" ht="14.25" customHeight="1">
      <c r="A38" s="39" t="s">
        <v>172</v>
      </c>
      <c r="B38" s="47">
        <f>IF(114450.66092="","-",114450.66092)</f>
        <v>114450.66092</v>
      </c>
      <c r="C38" s="47">
        <f>IF(OR(107450.65862="",114450.66092=""),"-",114450.66092/107450.65862*100)</f>
        <v>106.51462018930526</v>
      </c>
      <c r="D38" s="47">
        <f>IF(107450.65862="","-",107450.65862/1314797.53704*100)</f>
        <v>8.172411005720575</v>
      </c>
      <c r="E38" s="47">
        <f>IF(114450.66092="","-",114450.66092/1361362.0538*100)</f>
        <v>8.407070007609756</v>
      </c>
      <c r="F38" s="47">
        <f>IF(OR(1028187.45002="",116581.43691="",107450.65862=""),"-",(107450.65862-116581.43691)/1028187.45002*100)</f>
        <v>-0.8880460746551996</v>
      </c>
      <c r="G38" s="47">
        <f>IF(OR(1314797.53704="",114450.66092="",107450.65862=""),"-",(114450.66092-107450.65862)/1314797.53704*100)</f>
        <v>0.5324015373316776</v>
      </c>
    </row>
    <row r="39" spans="1:7" s="15" customFormat="1" ht="14.25" customHeight="1">
      <c r="A39" s="39" t="s">
        <v>11</v>
      </c>
      <c r="B39" s="47">
        <f>IF(41922.69929="","-",41922.69929)</f>
        <v>41922.69929</v>
      </c>
      <c r="C39" s="47">
        <f>IF(OR(49022.43812="",41922.69929=""),"-",41922.69929/49022.43812*100)</f>
        <v>85.51736897985195</v>
      </c>
      <c r="D39" s="47">
        <f>IF(49022.43812="","-",49022.43812/1314797.53704*100)</f>
        <v>3.7285161204639974</v>
      </c>
      <c r="E39" s="47">
        <f>IF(41922.69929="","-",41922.69929/1361362.0538*100)</f>
        <v>3.0794673006332327</v>
      </c>
      <c r="F39" s="47">
        <f>IF(OR(1028187.45002="",57173.46201="",49022.43812=""),"-",(49022.43812-57173.46201)/1028187.45002*100)</f>
        <v>-0.7927566019057568</v>
      </c>
      <c r="G39" s="47">
        <f>IF(OR(1314797.53704="",41922.69929="",49022.43812=""),"-",(41922.69929-49022.43812)/1314797.53704*100)</f>
        <v>-0.5399872322535395</v>
      </c>
    </row>
    <row r="40" spans="1:7" s="15" customFormat="1" ht="14.25" customHeight="1">
      <c r="A40" s="39" t="s">
        <v>12</v>
      </c>
      <c r="B40" s="47">
        <f>IF(36805.30294="","-",36805.30294)</f>
        <v>36805.30294</v>
      </c>
      <c r="C40" s="47">
        <f>IF(OR(38624.94186="",36805.30294=""),"-",36805.30294/38624.94186*100)</f>
        <v>95.28895363365086</v>
      </c>
      <c r="D40" s="47">
        <f>IF(38624.94186="","-",38624.94186/1314797.53704*100)</f>
        <v>2.9377102384110194</v>
      </c>
      <c r="E40" s="47">
        <f>IF(36805.30294="","-",36805.30294/1361362.0538*100)</f>
        <v>2.703564627592237</v>
      </c>
      <c r="F40" s="47">
        <f>IF(OR(1028187.45002="",29808.95471="",38624.94186=""),"-",(38624.94186-29808.95471)/1028187.45002*100)</f>
        <v>0.8574299511075058</v>
      </c>
      <c r="G40" s="47">
        <f>IF(OR(1314797.53704="",36805.30294="",38624.94186=""),"-",(36805.30294-38624.94186)/1314797.53704*100)</f>
        <v>-0.13839689144052897</v>
      </c>
    </row>
    <row r="41" spans="1:7" s="15" customFormat="1" ht="14.25" customHeight="1">
      <c r="A41" s="39" t="s">
        <v>13</v>
      </c>
      <c r="B41" s="47">
        <f>IF(4109.07725="","-",4109.07725)</f>
        <v>4109.07725</v>
      </c>
      <c r="C41" s="47">
        <f>IF(OR(7882.82533="",4109.07725=""),"-",4109.07725/7882.82533*100)</f>
        <v>52.12696055006969</v>
      </c>
      <c r="D41" s="47">
        <f>IF(7882.82533="","-",7882.82533/1314797.53704*100)</f>
        <v>0.599546706464524</v>
      </c>
      <c r="E41" s="47">
        <f>IF(4109.07725="","-",4109.07725/1361362.0538*100)</f>
        <v>0.30183574153034765</v>
      </c>
      <c r="F41" s="47">
        <f>IF(OR(1028187.45002="",6729.91134="",7882.82533=""),"-",(7882.82533-6729.91134)/1028187.45002*100)</f>
        <v>0.11213071993609472</v>
      </c>
      <c r="G41" s="47">
        <f>IF(OR(1314797.53704="",4109.07725="",7882.82533=""),"-",(4109.07725-7882.82533)/1314797.53704*100)</f>
        <v>-0.28702123130651946</v>
      </c>
    </row>
    <row r="42" spans="1:7" s="15" customFormat="1" ht="14.25" customHeight="1">
      <c r="A42" s="39" t="s">
        <v>14</v>
      </c>
      <c r="B42" s="47">
        <f>IF(2324.7795="","-",2324.7795)</f>
        <v>2324.7795</v>
      </c>
      <c r="C42" s="47">
        <f>IF(OR(2069.78429="",2324.7795=""),"-",2324.7795/2069.78429*100)</f>
        <v>112.3198930068215</v>
      </c>
      <c r="D42" s="47">
        <f>IF(2069.78429="","-",2069.78429/1314797.53704*100)</f>
        <v>0.15742228226710095</v>
      </c>
      <c r="E42" s="47">
        <f>IF(2324.7795="","-",2324.7795/1361362.0538*100)</f>
        <v>0.17076864258929442</v>
      </c>
      <c r="F42" s="47">
        <f>IF(OR(1028187.45002="",2469.96307="",2069.78429=""),"-",(2069.78429-2469.96307)/1028187.45002*100)</f>
        <v>-0.038920799898132935</v>
      </c>
      <c r="G42" s="47">
        <f>IF(OR(1314797.53704="",2324.7795="",2069.78429=""),"-",(2324.7795-2069.78429)/1314797.53704*100)</f>
        <v>0.01939425674420337</v>
      </c>
    </row>
    <row r="43" spans="1:7" s="13" customFormat="1" ht="14.25" customHeight="1">
      <c r="A43" s="39" t="s">
        <v>15</v>
      </c>
      <c r="B43" s="47">
        <f>IF(1316.07721="","-",1316.07721)</f>
        <v>1316.07721</v>
      </c>
      <c r="C43" s="47">
        <f>IF(OR(1517.3142="",1316.07721=""),"-",1316.07721/1517.3142*100)</f>
        <v>86.73728948163802</v>
      </c>
      <c r="D43" s="47">
        <f>IF(1517.3142="","-",1517.3142/1314797.53704*100)</f>
        <v>0.11540287818122363</v>
      </c>
      <c r="E43" s="47">
        <f>IF(1316.07721="","-",1316.07721/1361362.0538*100)</f>
        <v>0.09667356353340424</v>
      </c>
      <c r="F43" s="47">
        <f>IF(OR(1028187.45002="",2741.37171="",1517.3142=""),"-",(1517.3142-2741.37171)/1028187.45002*100)</f>
        <v>-0.11905003411354514</v>
      </c>
      <c r="G43" s="47">
        <f>IF(OR(1314797.53704="",1316.07721="",1517.3142=""),"-",(1316.07721-1517.3142)/1314797.53704*100)</f>
        <v>-0.015305549663033623</v>
      </c>
    </row>
    <row r="44" spans="1:7" s="15" customFormat="1" ht="14.25" customHeight="1">
      <c r="A44" s="39" t="s">
        <v>17</v>
      </c>
      <c r="B44" s="47">
        <f>IF(657.76978="","-",657.76978)</f>
        <v>657.76978</v>
      </c>
      <c r="C44" s="47">
        <f>IF(OR(760.81492="",657.76978=""),"-",657.76978/760.81492*100)</f>
        <v>86.45595173133565</v>
      </c>
      <c r="D44" s="47">
        <f>IF(760.81492="","-",760.81492/1314797.53704*100)</f>
        <v>0.05786555713458518</v>
      </c>
      <c r="E44" s="47">
        <f>IF(657.76978="","-",657.76978/1361362.0538*100)</f>
        <v>0.048317034999172524</v>
      </c>
      <c r="F44" s="47">
        <f>IF(OR(1028187.45002="",443.05843="",760.81492=""),"-",(760.81492-443.05843)/1028187.45002*100)</f>
        <v>0.030904529129763172</v>
      </c>
      <c r="G44" s="47">
        <f>IF(OR(1314797.53704="",657.76978="",760.81492=""),"-",(657.76978-760.81492)/1314797.53704*100)</f>
        <v>-0.007837338989239764</v>
      </c>
    </row>
    <row r="45" spans="1:7" s="13" customFormat="1" ht="14.25" customHeight="1">
      <c r="A45" s="39" t="s">
        <v>147</v>
      </c>
      <c r="B45" s="47">
        <f>IF(495.50919="","-",495.50919)</f>
        <v>495.50919</v>
      </c>
      <c r="C45" s="47">
        <f>IF(OR(546.97892="",495.50919=""),"-",495.50919/546.97892*100)</f>
        <v>90.5901803308983</v>
      </c>
      <c r="D45" s="47">
        <f>IF(546.97892="","-",546.97892/1314797.53704*100)</f>
        <v>0.041601760315996036</v>
      </c>
      <c r="E45" s="47">
        <f>IF(495.50919="","-",495.50919/1361362.0538*100)</f>
        <v>0.036398046252051335</v>
      </c>
      <c r="F45" s="47">
        <f>IF(OR(1028187.45002="",492.86283="",546.97892=""),"-",(546.97892-492.86283)/1028187.45002*100)</f>
        <v>0.005263251365200713</v>
      </c>
      <c r="G45" s="47">
        <f>IF(OR(1314797.53704="",495.50919="",546.97892=""),"-",(495.50919-546.97892)/1314797.53704*100)</f>
        <v>-0.003914650624907139</v>
      </c>
    </row>
    <row r="46" spans="1:7" s="13" customFormat="1" ht="14.25" customHeight="1">
      <c r="A46" s="39" t="s">
        <v>16</v>
      </c>
      <c r="B46" s="47">
        <f>IF(241.30972="","-",241.30972)</f>
        <v>241.30972</v>
      </c>
      <c r="C46" s="47">
        <f>IF(OR(179.19636="",241.30972=""),"-",241.30972/179.19636*100)</f>
        <v>134.6621772897619</v>
      </c>
      <c r="D46" s="47">
        <f>IF(179.19636="","-",179.19636/1314797.53704*100)</f>
        <v>0.01362919802872648</v>
      </c>
      <c r="E46" s="47">
        <f>IF(241.30972="","-",241.30972/1361362.0538*100)</f>
        <v>0.017725609387041957</v>
      </c>
      <c r="F46" s="47">
        <f>IF(OR(1028187.45002="",220.06311="",179.19636=""),"-",(179.19636-220.06311)/1028187.45002*100)</f>
        <v>-0.003974640032729933</v>
      </c>
      <c r="G46" s="47">
        <f>IF(OR(1314797.53704="",241.30972="",179.19636=""),"-",(241.30972-179.19636)/1314797.53704*100)</f>
        <v>0.004724176783889908</v>
      </c>
    </row>
    <row r="47" spans="1:7" s="13" customFormat="1" ht="14.25" customHeight="1">
      <c r="A47" s="39" t="s">
        <v>18</v>
      </c>
      <c r="B47" s="47">
        <f>IF(117.52379="","-",117.52379)</f>
        <v>117.52379</v>
      </c>
      <c r="C47" s="47">
        <f>IF(OR(220.85757="",117.52379=""),"-",117.52379/220.85757*100)</f>
        <v>53.212479880132705</v>
      </c>
      <c r="D47" s="47">
        <f>IF(220.85757="","-",220.85757/1314797.53704*100)</f>
        <v>0.016797838737758516</v>
      </c>
      <c r="E47" s="47">
        <f>IF(117.52379="","-",117.52379/1361362.0538*100)</f>
        <v>0.008632809300946303</v>
      </c>
      <c r="F47" s="47">
        <f>IF(OR(1028187.45002="",283.99467="",220.85757=""),"-",(220.85757-283.99467)/1028187.45002*100)</f>
        <v>-0.006140621537324916</v>
      </c>
      <c r="G47" s="47">
        <f>IF(OR(1314797.53704="",117.52379="",220.85757=""),"-",(117.52379-220.85757)/1314797.53704*100)</f>
        <v>-0.007859292179131628</v>
      </c>
    </row>
    <row r="48" spans="1:7" s="13" customFormat="1" ht="14.25" customHeight="1">
      <c r="A48" s="26" t="s">
        <v>254</v>
      </c>
      <c r="B48" s="46">
        <f>IF(278724.67226="","-",278724.67226)</f>
        <v>278724.67226</v>
      </c>
      <c r="C48" s="46">
        <f>IF(206142.66151="","-",278724.67226/206142.66151*100)</f>
        <v>135.2096020388672</v>
      </c>
      <c r="D48" s="46">
        <f>IF(206142.66151="","-",206142.66151/1314797.53704*100)</f>
        <v>15.6786619766636</v>
      </c>
      <c r="E48" s="46">
        <f>IF(278724.67226="","-",278724.67226/1361362.0538*100)</f>
        <v>20.47395632058273</v>
      </c>
      <c r="F48" s="46">
        <f>IF(1028187.45002="","-",(206142.66151-159101.1591)/1028187.45002*100)</f>
        <v>4.575187375520386</v>
      </c>
      <c r="G48" s="46">
        <f>IF(1314797.53704="","-",(278724.67226-206142.66151)/1314797.53704*100)</f>
        <v>5.520394487002439</v>
      </c>
    </row>
    <row r="49" spans="1:7" s="13" customFormat="1" ht="14.25" customHeight="1">
      <c r="A49" s="39" t="s">
        <v>64</v>
      </c>
      <c r="B49" s="47">
        <f>IF(121593.52444="","-",121593.52444)</f>
        <v>121593.52444</v>
      </c>
      <c r="C49" s="47" t="s">
        <v>243</v>
      </c>
      <c r="D49" s="47">
        <f>IF(50518.66389="","-",50518.66389/1314797.53704*100)</f>
        <v>3.842315068807668</v>
      </c>
      <c r="E49" s="47">
        <f>IF(121593.52444="","-",121593.52444/1361362.0538*100)</f>
        <v>8.931755083123795</v>
      </c>
      <c r="F49" s="47">
        <f>IF(OR(1028187.45002="",49847.93762="",50518.66389=""),"-",(50518.66389-49847.93762)/1028187.45002*100)</f>
        <v>0.06523385108298684</v>
      </c>
      <c r="G49" s="47">
        <f>IF(OR(1314797.53704="",121593.52444="",50518.66389=""),"-",(121593.52444-50518.66389)/1314797.53704*100)</f>
        <v>5.405764655599418</v>
      </c>
    </row>
    <row r="50" spans="1:7" s="9" customFormat="1" ht="15.75">
      <c r="A50" s="39" t="s">
        <v>174</v>
      </c>
      <c r="B50" s="47">
        <f>IF(33581.89443="","-",33581.89443)</f>
        <v>33581.89443</v>
      </c>
      <c r="C50" s="47">
        <f>IF(OR(29088.33905="",33581.89443=""),"-",33581.89443/29088.33905*100)</f>
        <v>115.44796137131111</v>
      </c>
      <c r="D50" s="47">
        <f>IF(29088.33905="","-",29088.33905/1314797.53704*100)</f>
        <v>2.2123816200239084</v>
      </c>
      <c r="E50" s="47">
        <f>IF(33581.89443="","-",33581.89443/1361362.0538*100)</f>
        <v>2.466786431740338</v>
      </c>
      <c r="F50" s="47">
        <f>IF(OR(1028187.45002="",12262.94346="",29088.33905=""),"-",(29088.33905-12262.94346)/1028187.45002*100)</f>
        <v>1.6364132425145548</v>
      </c>
      <c r="G50" s="47">
        <f>IF(OR(1314797.53704="",33581.89443="",29088.33905=""),"-",(33581.89443-29088.33905)/1314797.53704*100)</f>
        <v>0.34176785804728005</v>
      </c>
    </row>
    <row r="51" spans="1:7" s="9" customFormat="1" ht="15.75">
      <c r="A51" s="39" t="s">
        <v>19</v>
      </c>
      <c r="B51" s="47">
        <f>IF(11134.03508="","-",11134.03508)</f>
        <v>11134.03508</v>
      </c>
      <c r="C51" s="47">
        <f>IF(OR(11119.41616="",11134.03508=""),"-",11134.03508/11119.41616*100)</f>
        <v>100.13147201066714</v>
      </c>
      <c r="D51" s="47">
        <f>IF(11119.41616="","-",11119.41616/1314797.53704*100)</f>
        <v>0.8457131875249105</v>
      </c>
      <c r="E51" s="47">
        <f>IF(11134.03508="","-",11134.03508/1361362.0538*100)</f>
        <v>0.8178599549562382</v>
      </c>
      <c r="F51" s="47">
        <f>IF(OR(1028187.45002="",8339.4795="",11119.41616=""),"-",(11119.41616-8339.4795)/1028187.45002*100)</f>
        <v>0.2703725531707207</v>
      </c>
      <c r="G51" s="47">
        <f>IF(OR(1314797.53704="",11134.03508="",11119.41616=""),"-",(11134.03508-11119.41616)/1314797.53704*100)</f>
        <v>0.0011118761321161669</v>
      </c>
    </row>
    <row r="52" spans="1:7" s="9" customFormat="1" ht="15.75">
      <c r="A52" s="39" t="s">
        <v>66</v>
      </c>
      <c r="B52" s="47">
        <f>IF(9074.14472="","-",9074.14472)</f>
        <v>9074.14472</v>
      </c>
      <c r="C52" s="47">
        <f>IF(OR(11149.36356="",9074.14472=""),"-",9074.14472/11149.36356*100)</f>
        <v>81.38710941810925</v>
      </c>
      <c r="D52" s="47">
        <f>IF(11149.36356="","-",11149.36356/1314797.53704*100)</f>
        <v>0.8479909070335292</v>
      </c>
      <c r="E52" s="47">
        <f>IF(9074.14472="","-",9074.14472/1361362.0538*100)</f>
        <v>0.6665489679744737</v>
      </c>
      <c r="F52" s="47">
        <f>IF(OR(1028187.45002="",8474.12682="",11149.36356=""),"-",(11149.36356-8474.12682)/1028187.45002*100)</f>
        <v>0.26018959285565707</v>
      </c>
      <c r="G52" s="47">
        <f>IF(OR(1314797.53704="",9074.14472="",11149.36356=""),"-",(9074.14472-11149.36356)/1314797.53704*100)</f>
        <v>-0.15783561967053375</v>
      </c>
    </row>
    <row r="53" spans="1:7" s="14" customFormat="1" ht="15.75">
      <c r="A53" s="39" t="s">
        <v>67</v>
      </c>
      <c r="B53" s="47">
        <f>IF(7885.86709="","-",7885.86709)</f>
        <v>7885.86709</v>
      </c>
      <c r="C53" s="47">
        <f>IF(OR(8243.38655="",7885.86709=""),"-",7885.86709/8243.38655*100)</f>
        <v>95.66295408044404</v>
      </c>
      <c r="D53" s="47">
        <f>IF(8243.38655="","-",8243.38655/1314797.53704*100)</f>
        <v>0.6269700328583145</v>
      </c>
      <c r="E53" s="47">
        <f>IF(7885.86709="","-",7885.86709/1361362.0538*100)</f>
        <v>0.5792630305794115</v>
      </c>
      <c r="F53" s="47">
        <f>IF(OR(1028187.45002="",6110.15155="",8243.38655=""),"-",(8243.38655-6110.15155)/1028187.45002*100)</f>
        <v>0.2074753003412466</v>
      </c>
      <c r="G53" s="47">
        <f>IF(OR(1314797.53704="",7885.86709="",8243.38655=""),"-",(7885.86709-8243.38655)/1314797.53704*100)</f>
        <v>-0.027191978226920176</v>
      </c>
    </row>
    <row r="54" spans="1:7" s="16" customFormat="1" ht="15.75">
      <c r="A54" s="39" t="s">
        <v>68</v>
      </c>
      <c r="B54" s="47">
        <f>IF(7795.97754="","-",7795.97754)</f>
        <v>7795.97754</v>
      </c>
      <c r="C54" s="47">
        <f>IF(OR(8492.50015="",7795.97754=""),"-",7795.97754/8492.50015*100)</f>
        <v>91.79837977394678</v>
      </c>
      <c r="D54" s="47">
        <f>IF(8492.50015="","-",8492.50015/1314797.53704*100)</f>
        <v>0.6459169500057889</v>
      </c>
      <c r="E54" s="47">
        <f>IF(7795.97754="","-",7795.97754/1361362.0538*100)</f>
        <v>0.5726601177283379</v>
      </c>
      <c r="F54" s="47">
        <f>IF(OR(1028187.45002="",4944.19723="",8492.50015=""),"-",(8492.50015-4944.19723)/1028187.45002*100)</f>
        <v>0.3451027261547473</v>
      </c>
      <c r="G54" s="47">
        <f>IF(OR(1314797.53704="",7795.97754="",8492.50015=""),"-",(7795.97754-8492.50015)/1314797.53704*100)</f>
        <v>-0.052975655215180835</v>
      </c>
    </row>
    <row r="55" spans="1:7" s="9" customFormat="1" ht="15.75">
      <c r="A55" s="39" t="s">
        <v>148</v>
      </c>
      <c r="B55" s="47">
        <f>IF(7034.04313="","-",7034.04313)</f>
        <v>7034.04313</v>
      </c>
      <c r="C55" s="47" t="s">
        <v>267</v>
      </c>
      <c r="D55" s="47">
        <f>IF(1814.36371="","-",1814.36371/1314797.53704*100)</f>
        <v>0.1379956730132513</v>
      </c>
      <c r="E55" s="47">
        <f>IF(7034.04313="","-",7034.04313/1361362.0538*100)</f>
        <v>0.5166915818143836</v>
      </c>
      <c r="F55" s="47">
        <f>IF(OR(1028187.45002="",3580.22734="",1814.36371=""),"-",(1814.36371-3580.22734)/1028187.45002*100)</f>
        <v>-0.17174530091430806</v>
      </c>
      <c r="G55" s="47">
        <f>IF(OR(1314797.53704="",7034.04313="",1814.36371=""),"-",(7034.04313-1814.36371)/1314797.53704*100)</f>
        <v>0.39699491921402974</v>
      </c>
    </row>
    <row r="56" spans="1:7" s="16" customFormat="1" ht="15.75">
      <c r="A56" s="39" t="s">
        <v>65</v>
      </c>
      <c r="B56" s="47">
        <f>IF(6056.02068="","-",6056.02068)</f>
        <v>6056.02068</v>
      </c>
      <c r="C56" s="47">
        <f>IF(OR(7114.90611="",6056.02068=""),"-",6056.02068/7114.90611*100)</f>
        <v>85.11736608144783</v>
      </c>
      <c r="D56" s="47">
        <f>IF(7114.90611="","-",7114.90611/1314797.53704*100)</f>
        <v>0.5411408151872392</v>
      </c>
      <c r="E56" s="47">
        <f>IF(6056.02068="","-",6056.02068/1361362.0538*100)</f>
        <v>0.44485011632986937</v>
      </c>
      <c r="F56" s="47">
        <f>IF(OR(1028187.45002="",9374.27181="",7114.90611=""),"-",(7114.90611-9374.27181)/1028187.45002*100)</f>
        <v>-0.219742586816835</v>
      </c>
      <c r="G56" s="47">
        <f>IF(OR(1314797.53704="",6056.02068="",7114.90611=""),"-",(6056.02068-7114.90611)/1314797.53704*100)</f>
        <v>-0.08053600650818574</v>
      </c>
    </row>
    <row r="57" spans="1:7" s="14" customFormat="1" ht="15.75">
      <c r="A57" s="39" t="s">
        <v>73</v>
      </c>
      <c r="B57" s="47">
        <f>IF(5429.68179="","-",5429.68179)</f>
        <v>5429.68179</v>
      </c>
      <c r="C57" s="47" t="s">
        <v>234</v>
      </c>
      <c r="D57" s="47">
        <f>IF(2456.8936="","-",2456.8936/1314797.53704*100)</f>
        <v>0.18686478570162196</v>
      </c>
      <c r="E57" s="47">
        <f>IF(5429.68179="","-",5429.68179/1361362.0538*100)</f>
        <v>0.39884186391445303</v>
      </c>
      <c r="F57" s="47">
        <f>IF(OR(1028187.45002="",1086.09662="",2456.8936=""),"-",(2456.8936-1086.09662)/1028187.45002*100)</f>
        <v>0.13332169926537574</v>
      </c>
      <c r="G57" s="47">
        <f>IF(OR(1314797.53704="",5429.68179="",2456.8936=""),"-",(5429.68179-2456.8936)/1314797.53704*100)</f>
        <v>0.22610235464029155</v>
      </c>
    </row>
    <row r="58" spans="1:7" s="9" customFormat="1" ht="15.75">
      <c r="A58" s="39" t="s">
        <v>74</v>
      </c>
      <c r="B58" s="47">
        <f>IF(5160.84755="","-",5160.84755)</f>
        <v>5160.84755</v>
      </c>
      <c r="C58" s="47">
        <f>IF(OR(13895.07837="",5160.84755=""),"-",5160.84755/13895.07837*100)</f>
        <v>37.14155050138088</v>
      </c>
      <c r="D58" s="47">
        <f>IF(13895.07837="","-",13895.07837/1314797.53704*100)</f>
        <v>1.0568226649771453</v>
      </c>
      <c r="E58" s="47">
        <f>IF(5160.84755="","-",5160.84755/1361362.0538*100)</f>
        <v>0.37909441765285085</v>
      </c>
      <c r="F58" s="47">
        <f>IF(OR(1028187.45002="",3468.23486="",13895.07837=""),"-",(13895.07837-3468.23486)/1028187.45002*100)</f>
        <v>1.0140994727952748</v>
      </c>
      <c r="G58" s="47">
        <f>IF(OR(1314797.53704="",5160.84755="",13895.07837=""),"-",(5160.84755-13895.07837)/1314797.53704*100)</f>
        <v>-0.6643023411546197</v>
      </c>
    </row>
    <row r="59" spans="1:7" s="9" customFormat="1" ht="15.75">
      <c r="A59" s="39" t="s">
        <v>76</v>
      </c>
      <c r="B59" s="47">
        <f>IF(4922.58227="","-",4922.58227)</f>
        <v>4922.58227</v>
      </c>
      <c r="C59" s="47" t="s">
        <v>181</v>
      </c>
      <c r="D59" s="47">
        <f>IF(2177.23762="","-",2177.23762/1314797.53704*100)</f>
        <v>0.16559489645087172</v>
      </c>
      <c r="E59" s="47">
        <f>IF(4922.58227="","-",4922.58227/1361362.0538*100)</f>
        <v>0.361592440178532</v>
      </c>
      <c r="F59" s="47">
        <f>IF(OR(1028187.45002="",2389.28125="",2177.23762=""),"-",(2177.23762-2389.28125)/1028187.45002*100)</f>
        <v>-0.02062305175927556</v>
      </c>
      <c r="G59" s="47">
        <f>IF(OR(1314797.53704="",4922.58227="",2177.23762=""),"-",(4922.58227-2177.23762)/1314797.53704*100)</f>
        <v>0.20880360455957245</v>
      </c>
    </row>
    <row r="60" spans="1:7" s="16" customFormat="1" ht="15.75">
      <c r="A60" s="39" t="s">
        <v>70</v>
      </c>
      <c r="B60" s="47">
        <f>IF(4498.12174="","-",4498.12174)</f>
        <v>4498.12174</v>
      </c>
      <c r="C60" s="47" t="s">
        <v>179</v>
      </c>
      <c r="D60" s="47">
        <f>IF(1685.98509="","-",1685.98509/1314797.53704*100)</f>
        <v>0.12823153698596465</v>
      </c>
      <c r="E60" s="47">
        <f>IF(4498.12174="","-",4498.12174/1361362.0538*100)</f>
        <v>0.33041333328222955</v>
      </c>
      <c r="F60" s="47">
        <f>IF(OR(1028187.45002="",1576.99671="",1685.98509=""),"-",(1685.98509-1576.99671)/1028187.45002*100)</f>
        <v>0.010600049630821696</v>
      </c>
      <c r="G60" s="47">
        <f>IF(OR(1314797.53704="",4498.12174="",1685.98509=""),"-",(4498.12174-1685.98509)/1314797.53704*100)</f>
        <v>0.21388362624491633</v>
      </c>
    </row>
    <row r="61" spans="1:7" s="9" customFormat="1" ht="15.75">
      <c r="A61" s="39" t="s">
        <v>149</v>
      </c>
      <c r="B61" s="47">
        <f>IF(2995.41757="","-",2995.41757)</f>
        <v>2995.41757</v>
      </c>
      <c r="C61" s="47" t="s">
        <v>268</v>
      </c>
      <c r="D61" s="47">
        <f>IF(45.76322="","-",45.76322/1314797.53704*100)</f>
        <v>0.0034806286679716944</v>
      </c>
      <c r="E61" s="47">
        <f>IF(2995.41757="","-",2995.41757/1361362.0538*100)</f>
        <v>0.22003092870400087</v>
      </c>
      <c r="F61" s="47">
        <f>IF(OR(1028187.45002="",0.3086="",45.76322=""),"-",(45.76322-0.3086)/1028187.45002*100)</f>
        <v>0.0044208495249689955</v>
      </c>
      <c r="G61" s="47">
        <f>IF(OR(1314797.53704="",2995.41757="",45.76322=""),"-",(2995.41757-45.76322)/1314797.53704*100)</f>
        <v>0.22434285636407175</v>
      </c>
    </row>
    <row r="62" spans="1:7" s="14" customFormat="1" ht="15.75">
      <c r="A62" s="39" t="s">
        <v>69</v>
      </c>
      <c r="B62" s="47">
        <f>IF(2051.78877="","-",2051.78877)</f>
        <v>2051.78877</v>
      </c>
      <c r="C62" s="47">
        <f>IF(OR(2974.82416="",2051.78877=""),"-",2051.78877/2974.82416*100)</f>
        <v>68.97176638500879</v>
      </c>
      <c r="D62" s="47">
        <f>IF(2974.82416="","-",2974.82416/1314797.53704*100)</f>
        <v>0.22625720509769232</v>
      </c>
      <c r="E62" s="47">
        <f>IF(2051.78877="","-",2051.78877/1361362.0538*100)</f>
        <v>0.15071587784254722</v>
      </c>
      <c r="F62" s="47">
        <f>IF(OR(1028187.45002="",2148.11672="",2974.82416=""),"-",(2974.82416-2148.11672)/1028187.45002*100)</f>
        <v>0.08040435039193673</v>
      </c>
      <c r="G62" s="47">
        <f>IF(OR(1314797.53704="",2051.78877="",2974.82416=""),"-",(2051.78877-2974.82416)/1314797.53704*100)</f>
        <v>-0.07020361416846178</v>
      </c>
    </row>
    <row r="63" spans="1:7" s="9" customFormat="1" ht="15.75">
      <c r="A63" s="39" t="s">
        <v>71</v>
      </c>
      <c r="B63" s="47">
        <f>IF(1808.30115="","-",1808.30115)</f>
        <v>1808.30115</v>
      </c>
      <c r="C63" s="47" t="s">
        <v>269</v>
      </c>
      <c r="D63" s="47">
        <f>IF(259.82285="","-",259.82285/1314797.53704*100)</f>
        <v>0.019761434188942766</v>
      </c>
      <c r="E63" s="47">
        <f>IF(1808.30115="","-",1808.30115/1361362.0538*100)</f>
        <v>0.13283028897070026</v>
      </c>
      <c r="F63" s="47">
        <f>IF(OR(1028187.45002="",94.61353="",259.82285=""),"-",(259.82285-94.61353)/1028187.45002*100)</f>
        <v>0.016068015612988314</v>
      </c>
      <c r="G63" s="47">
        <f>IF(OR(1314797.53704="",1808.30115="",259.82285=""),"-",(1808.30115-259.82285)/1314797.53704*100)</f>
        <v>0.1177731366523613</v>
      </c>
    </row>
    <row r="64" spans="1:7" s="14" customFormat="1" ht="15.75">
      <c r="A64" s="39" t="s">
        <v>94</v>
      </c>
      <c r="B64" s="47">
        <f>IF(1644.32272="","-",1644.32272)</f>
        <v>1644.32272</v>
      </c>
      <c r="C64" s="47" t="s">
        <v>146</v>
      </c>
      <c r="D64" s="47">
        <f>IF(1090.70602="","-",1090.70602/1314797.53704*100)</f>
        <v>0.08295619586080936</v>
      </c>
      <c r="E64" s="47">
        <f>IF(1644.32272="","-",1644.32272/1361362.0538*100)</f>
        <v>0.12078511483482042</v>
      </c>
      <c r="F64" s="47">
        <f>IF(OR(1028187.45002="",344.43468="",1090.70602=""),"-",(1090.70602-344.43468)/1028187.45002*100)</f>
        <v>0.07258125354335766</v>
      </c>
      <c r="G64" s="47">
        <f>IF(OR(1314797.53704="",1644.32272="",1090.70602=""),"-",(1644.32272-1090.70602)/1314797.53704*100)</f>
        <v>0.04210661218961175</v>
      </c>
    </row>
    <row r="65" spans="1:7" s="9" customFormat="1" ht="15.75">
      <c r="A65" s="39" t="s">
        <v>45</v>
      </c>
      <c r="B65" s="47">
        <f>IF(1644.15261="","-",1644.15261)</f>
        <v>1644.15261</v>
      </c>
      <c r="C65" s="47">
        <f>IF(OR(2921.3012="",1644.15261=""),"-",1644.15261/2921.3012*100)</f>
        <v>56.28151626405384</v>
      </c>
      <c r="D65" s="47">
        <f>IF(2921.3012="","-",2921.3012/1314797.53704*100)</f>
        <v>0.2221863912657394</v>
      </c>
      <c r="E65" s="47">
        <f>IF(1644.15261="","-",1644.15261/1361362.0538*100)</f>
        <v>0.12077261926102908</v>
      </c>
      <c r="F65" s="47">
        <f>IF(OR(1028187.45002="",1987.15121="",2921.3012=""),"-",(2921.3012-1987.15121)/1028187.45002*100)</f>
        <v>0.09085405486925843</v>
      </c>
      <c r="G65" s="47">
        <f>IF(OR(1314797.53704="",1644.15261="",2921.3012=""),"-",(1644.15261-2921.3012)/1314797.53704*100)</f>
        <v>-0.09713652132899799</v>
      </c>
    </row>
    <row r="66" spans="1:7" s="14" customFormat="1" ht="15.75">
      <c r="A66" s="39" t="s">
        <v>83</v>
      </c>
      <c r="B66" s="47">
        <f>IF(1273.77288="","-",1273.77288)</f>
        <v>1273.77288</v>
      </c>
      <c r="C66" s="47">
        <f>IF(OR(8349.10914="",1273.77288=""),"-",1273.77288/8349.10914*100)</f>
        <v>15.256392731739998</v>
      </c>
      <c r="D66" s="47">
        <f>IF(8349.10914="","-",8349.10914/1314797.53704*100)</f>
        <v>0.6350110115658055</v>
      </c>
      <c r="E66" s="47">
        <f>IF(1273.77288="","-",1273.77288/1361362.0538*100)</f>
        <v>0.0935660632264936</v>
      </c>
      <c r="F66" s="47">
        <f>IF(OR(1028187.45002="",1760.20338="",8349.10914=""),"-",(8349.10914-1760.20338)/1028187.45002*100)</f>
        <v>0.640827288824799</v>
      </c>
      <c r="G66" s="47">
        <f>IF(OR(1314797.53704="",1273.77288="",8349.10914=""),"-",(1273.77288-8349.10914)/1314797.53704*100)</f>
        <v>-0.5381312377515313</v>
      </c>
    </row>
    <row r="67" spans="1:7" s="9" customFormat="1" ht="15.75">
      <c r="A67" s="39" t="s">
        <v>100</v>
      </c>
      <c r="B67" s="47">
        <f>IF(1175.53676="","-",1175.53676)</f>
        <v>1175.53676</v>
      </c>
      <c r="C67" s="47" t="s">
        <v>235</v>
      </c>
      <c r="D67" s="47">
        <f>IF(30.51845="","-",30.51845/1314797.53704*100)</f>
        <v>0.0023211520511900335</v>
      </c>
      <c r="E67" s="47">
        <f>IF(1175.53676="","-",1175.53676/1361362.0538*100)</f>
        <v>0.08635004602329689</v>
      </c>
      <c r="F67" s="47">
        <f>IF(OR(1028187.45002="",17.77175="",30.51845=""),"-",(30.51845-17.77175)/1028187.45002*100)</f>
        <v>0.0012397253049287907</v>
      </c>
      <c r="G67" s="47">
        <f>IF(OR(1314797.53704="",1175.53676="",30.51845=""),"-",(1175.53676-30.51845)/1314797.53704*100)</f>
        <v>0.0870870440309598</v>
      </c>
    </row>
    <row r="68" spans="1:7" s="9" customFormat="1" ht="15.75">
      <c r="A68" s="39" t="s">
        <v>47</v>
      </c>
      <c r="B68" s="47">
        <f>IF(1150.83465="","-",1150.83465)</f>
        <v>1150.83465</v>
      </c>
      <c r="C68" s="47" t="s">
        <v>166</v>
      </c>
      <c r="D68" s="47">
        <f>IF(440.43995="","-",440.43995/1314797.53704*100)</f>
        <v>0.03349868991932866</v>
      </c>
      <c r="E68" s="47">
        <f>IF(1150.83465="","-",1150.83465/1361362.0538*100)</f>
        <v>0.08453553166019646</v>
      </c>
      <c r="F68" s="47">
        <f>IF(OR(1028187.45002="",3.32912="",440.43995=""),"-",(440.43995-3.32912)/1028187.45002*100)</f>
        <v>0.042512756792693535</v>
      </c>
      <c r="G68" s="47">
        <f>IF(OR(1314797.53704="",1150.83465="",440.43995=""),"-",(1150.83465-440.43995)/1314797.53704*100)</f>
        <v>0.05403072944594265</v>
      </c>
    </row>
    <row r="69" spans="1:7" s="14" customFormat="1" ht="15.75">
      <c r="A69" s="39" t="s">
        <v>175</v>
      </c>
      <c r="B69" s="47">
        <f>IF(1001.23142="","-",1001.23142)</f>
        <v>1001.23142</v>
      </c>
      <c r="C69" s="47" t="s">
        <v>236</v>
      </c>
      <c r="D69" s="47">
        <f>IF(69.77432="","-",69.77432/1314797.53704*100)</f>
        <v>0.005306849004074249</v>
      </c>
      <c r="E69" s="47">
        <f>IF(1001.23142="","-",1001.23142/1361362.0538*100)</f>
        <v>0.07354629998722534</v>
      </c>
      <c r="F69" s="47">
        <f>IF(OR(1028187.45002="",1034.90358="",69.77432=""),"-",(69.77432-1034.90358)/1028187.45002*100)</f>
        <v>-0.09386705313133578</v>
      </c>
      <c r="G69" s="47">
        <f>IF(OR(1314797.53704="",1001.23142="",69.77432=""),"-",(1001.23142-69.77432)/1314797.53704*100)</f>
        <v>0.07084414700813835</v>
      </c>
    </row>
    <row r="70" spans="1:7" s="16" customFormat="1" ht="15.75">
      <c r="A70" s="39" t="s">
        <v>120</v>
      </c>
      <c r="B70" s="47">
        <f>IF(845.50047="","-",845.50047)</f>
        <v>845.50047</v>
      </c>
      <c r="C70" s="47" t="s">
        <v>146</v>
      </c>
      <c r="D70" s="47">
        <f>IF(545.57265="","-",545.57265/1314797.53704*100)</f>
        <v>0.04149480316401003</v>
      </c>
      <c r="E70" s="47">
        <f>IF(845.50047="","-",845.50047/1361362.0538*100)</f>
        <v>0.06210695146378847</v>
      </c>
      <c r="F70" s="47" t="str">
        <f>IF(OR(1028187.45002="",""="",545.57265=""),"-",(545.57265-"")/1028187.45002*100)</f>
        <v>-</v>
      </c>
      <c r="G70" s="47">
        <f>IF(OR(1314797.53704="",845.50047="",545.57265=""),"-",(845.50047-545.57265)/1314797.53704*100)</f>
        <v>0.022811711427086077</v>
      </c>
    </row>
    <row r="71" spans="1:7" s="9" customFormat="1" ht="15.75">
      <c r="A71" s="39" t="s">
        <v>80</v>
      </c>
      <c r="B71" s="47">
        <f>IF(775.00323="","-",775.00323)</f>
        <v>775.00323</v>
      </c>
      <c r="C71" s="47" t="s">
        <v>113</v>
      </c>
      <c r="D71" s="47">
        <f>IF(433.97085="","-",433.97085/1314797.53704*100)</f>
        <v>0.033006667397400005</v>
      </c>
      <c r="E71" s="47">
        <f>IF(775.00323="","-",775.00323/1361362.0538*100)</f>
        <v>0.05692851713008427</v>
      </c>
      <c r="F71" s="47">
        <f>IF(OR(1028187.45002="",361.11="",433.97085=""),"-",(433.97085-361.11)/1028187.45002*100)</f>
        <v>0.00708633916885318</v>
      </c>
      <c r="G71" s="47">
        <f>IF(OR(1314797.53704="",775.00323="",433.97085=""),"-",(775.00323-433.97085)/1314797.53704*100)</f>
        <v>0.025938014819206708</v>
      </c>
    </row>
    <row r="72" spans="1:7" s="9" customFormat="1" ht="15.75">
      <c r="A72" s="39" t="s">
        <v>265</v>
      </c>
      <c r="B72" s="47">
        <f>IF(740.01132="","-",740.01132)</f>
        <v>740.01132</v>
      </c>
      <c r="C72" s="47">
        <f>IF(OR(698.55624="",740.01132=""),"-",740.01132/698.55624*100)</f>
        <v>105.93439405823646</v>
      </c>
      <c r="D72" s="47">
        <f>IF(698.55624="","-",698.55624/1314797.53704*100)</f>
        <v>0.05313032769841185</v>
      </c>
      <c r="E72" s="47">
        <f>IF(740.01132="","-",740.01132/1361362.0538*100)</f>
        <v>0.054358156813199686</v>
      </c>
      <c r="F72" s="47">
        <f>IF(OR(1028187.45002="",676.2143="",698.55624=""),"-",(698.55624-676.2143)/1028187.45002*100)</f>
        <v>0.0021729442427609316</v>
      </c>
      <c r="G72" s="47">
        <f>IF(OR(1314797.53704="",740.01132="",698.55624=""),"-",(740.01132-698.55624)/1314797.53704*100)</f>
        <v>0.003152963010056108</v>
      </c>
    </row>
    <row r="73" spans="1:7" s="9" customFormat="1" ht="15.75">
      <c r="A73" s="39" t="s">
        <v>72</v>
      </c>
      <c r="B73" s="47">
        <f>IF(701.07757="","-",701.07757)</f>
        <v>701.07757</v>
      </c>
      <c r="C73" s="47">
        <f>IF(OR(1806.41989="",701.07757=""),"-",701.07757/1806.41989*100)</f>
        <v>38.810332740523585</v>
      </c>
      <c r="D73" s="47">
        <f>IF(1806.41989="","-",1806.41989/1314797.53704*100)</f>
        <v>0.13739148721458574</v>
      </c>
      <c r="E73" s="47">
        <f>IF(701.07757="","-",701.07757/1361362.0538*100)</f>
        <v>0.05149824530829742</v>
      </c>
      <c r="F73" s="47">
        <f>IF(OR(1028187.45002="",459.50868="",1806.41989=""),"-",(1806.41989-459.50868)/1028187.45002*100)</f>
        <v>0.13099860438617492</v>
      </c>
      <c r="G73" s="47">
        <f>IF(OR(1314797.53704="",701.07757="",1806.41989=""),"-",(701.07757-1806.41989)/1314797.53704*100)</f>
        <v>-0.08406939386945109</v>
      </c>
    </row>
    <row r="74" spans="1:7" s="9" customFormat="1" ht="15.75">
      <c r="A74" s="39" t="s">
        <v>84</v>
      </c>
      <c r="B74" s="47">
        <f>IF(675.66082="","-",675.66082)</f>
        <v>675.66082</v>
      </c>
      <c r="C74" s="47">
        <f>IF(OR(633.85184="",675.66082=""),"-",675.66082/633.85184*100)</f>
        <v>106.59601776970464</v>
      </c>
      <c r="D74" s="47">
        <f>IF(633.85184="","-",633.85184/1314797.53704*100)</f>
        <v>0.048209083310803036</v>
      </c>
      <c r="E74" s="47">
        <f>IF(675.66082="","-",675.66082/1361362.0538*100)</f>
        <v>0.04963123646013292</v>
      </c>
      <c r="F74" s="47">
        <f>IF(OR(1028187.45002="",532.87677="",633.85184=""),"-",(633.85184-532.87677)/1028187.45002*100)</f>
        <v>0.00982068687942417</v>
      </c>
      <c r="G74" s="47">
        <f>IF(OR(1314797.53704="",675.66082="",633.85184=""),"-",(675.66082-633.85184)/1314797.53704*100)</f>
        <v>0.003179879701792288</v>
      </c>
    </row>
    <row r="75" spans="1:7" s="9" customFormat="1" ht="15.75">
      <c r="A75" s="39" t="s">
        <v>85</v>
      </c>
      <c r="B75" s="47">
        <f>IF(674.69314="","-",674.69314)</f>
        <v>674.69314</v>
      </c>
      <c r="C75" s="47">
        <f>IF(OR(825.35515="",674.69314=""),"-",674.69314/825.35515*100)</f>
        <v>81.745796339915</v>
      </c>
      <c r="D75" s="47">
        <f>IF(825.35515="","-",825.35515/1314797.53704*100)</f>
        <v>0.06277431518909897</v>
      </c>
      <c r="E75" s="47">
        <f>IF(674.69314="","-",674.69314/1361362.0538*100)</f>
        <v>0.049560154708052424</v>
      </c>
      <c r="F75" s="47">
        <f>IF(OR(1028187.45002="",288.08013="",825.35515=""),"-",(825.35515-288.08013)/1028187.45002*100)</f>
        <v>0.05225457867527454</v>
      </c>
      <c r="G75" s="47">
        <f>IF(OR(1314797.53704="",674.69314="",825.35515=""),"-",(674.69314-825.35515)/1314797.53704*100)</f>
        <v>-0.011458951340841796</v>
      </c>
    </row>
    <row r="76" spans="1:7" s="9" customFormat="1" ht="15.75">
      <c r="A76" s="39" t="s">
        <v>92</v>
      </c>
      <c r="B76" s="47">
        <f>IF(656.81611="","-",656.81611)</f>
        <v>656.81611</v>
      </c>
      <c r="C76" s="47" t="s">
        <v>270</v>
      </c>
      <c r="D76" s="47">
        <f>IF(0.19008="","-",0.19008/1314797.53704*100)</f>
        <v>1.445697870927919E-05</v>
      </c>
      <c r="E76" s="47">
        <f>IF(656.81611="","-",656.81611/1361362.0538*100)</f>
        <v>0.04824698236348036</v>
      </c>
      <c r="F76" s="47">
        <f>IF(OR(1028187.45002="",0.72611="",0.19008=""),"-",(0.19008-0.72611)/1028187.45002*100)</f>
        <v>-5.21334898601975E-05</v>
      </c>
      <c r="G76" s="47">
        <f>IF(OR(1314797.53704="",656.81611="",0.19008=""),"-",(656.81611-0.19008)/1314797.53704*100)</f>
        <v>0.049941227565596165</v>
      </c>
    </row>
    <row r="77" spans="1:7" s="9" customFormat="1" ht="15.75">
      <c r="A77" s="39" t="s">
        <v>46</v>
      </c>
      <c r="B77" s="47">
        <f>IF(568.81406="","-",568.81406)</f>
        <v>568.81406</v>
      </c>
      <c r="C77" s="47" t="s">
        <v>237</v>
      </c>
      <c r="D77" s="47">
        <f>IF(130.00785="","-",130.00785/1314797.53704*100)</f>
        <v>0.00988805092323844</v>
      </c>
      <c r="E77" s="47">
        <f>IF(568.81406="","-",568.81406/1361362.0538*100)</f>
        <v>0.04178271741982647</v>
      </c>
      <c r="F77" s="47">
        <f>IF(OR(1028187.45002="",94.31511="",130.00785=""),"-",(130.00785-94.31511)/1028187.45002*100)</f>
        <v>0.003471423425690102</v>
      </c>
      <c r="G77" s="47">
        <f>IF(OR(1314797.53704="",568.81406="",130.00785=""),"-",(568.81406-130.00785)/1314797.53704*100)</f>
        <v>0.0333744320047848</v>
      </c>
    </row>
    <row r="78" spans="1:7" s="9" customFormat="1" ht="15.75">
      <c r="A78" s="39" t="s">
        <v>180</v>
      </c>
      <c r="B78" s="47">
        <f>IF(550.83271="","-",550.83271)</f>
        <v>550.83271</v>
      </c>
      <c r="C78" s="47">
        <f>IF(OR(1176.8329="",550.83271=""),"-",550.83271/1176.8329*100)</f>
        <v>46.806365627609495</v>
      </c>
      <c r="D78" s="47">
        <f>IF(1176.8329="","-",1176.8329/1314797.53704*100)</f>
        <v>0.08950677703955855</v>
      </c>
      <c r="E78" s="47">
        <f>IF(550.83271="","-",550.83271/1361362.0538*100)</f>
        <v>0.040461882161504974</v>
      </c>
      <c r="F78" s="47">
        <f>IF(OR(1028187.45002="",2338.14674="",1176.8329=""),"-",(1176.8329-2338.14674)/1028187.45002*100)</f>
        <v>-0.11294767699969598</v>
      </c>
      <c r="G78" s="47">
        <f>IF(OR(1314797.53704="",550.83271="",1176.8329=""),"-",(550.83271-1176.8329)/1314797.53704*100)</f>
        <v>-0.047611907716933556</v>
      </c>
    </row>
    <row r="79" spans="1:7" s="9" customFormat="1" ht="15.75">
      <c r="A79" s="39" t="s">
        <v>79</v>
      </c>
      <c r="B79" s="47">
        <f>IF(544.95549="","-",544.95549)</f>
        <v>544.95549</v>
      </c>
      <c r="C79" s="47" t="str">
        <f>IF(OR(""="",544.95549=""),"-",544.95549/""*100)</f>
        <v>-</v>
      </c>
      <c r="D79" s="47" t="str">
        <f>IF(""="","-",""/1314797.53704*100)</f>
        <v>-</v>
      </c>
      <c r="E79" s="47">
        <f>IF(544.95549="","-",544.95549/1361362.0538*100)</f>
        <v>0.0400301660002094</v>
      </c>
      <c r="F79" s="47" t="str">
        <f>IF(OR(1028187.45002="",""="",""=""),"-",(""-"")/1028187.45002*100)</f>
        <v>-</v>
      </c>
      <c r="G79" s="47" t="str">
        <f>IF(OR(1314797.53704="",544.95549="",""=""),"-",(544.95549-"")/1314797.53704*100)</f>
        <v>-</v>
      </c>
    </row>
    <row r="80" spans="1:7" ht="15.75">
      <c r="A80" s="39" t="s">
        <v>82</v>
      </c>
      <c r="B80" s="47">
        <f>IF(477.47964="","-",477.47964)</f>
        <v>477.47964</v>
      </c>
      <c r="C80" s="47" t="s">
        <v>114</v>
      </c>
      <c r="D80" s="47">
        <f>IF(279.67934="","-",279.67934/1314797.53704*100)</f>
        <v>0.021271665950153916</v>
      </c>
      <c r="E80" s="47">
        <f>IF(477.47964="","-",477.47964/1361362.0538*100)</f>
        <v>0.035073670422001296</v>
      </c>
      <c r="F80" s="47" t="str">
        <f>IF(OR(1028187.45002="",""="",279.67934=""),"-",(279.67934-"")/1028187.45002*100)</f>
        <v>-</v>
      </c>
      <c r="G80" s="47">
        <f>IF(OR(1314797.53704="",477.47964="",279.67934=""),"-",(477.47964-279.67934)/1314797.53704*100)</f>
        <v>0.015044164171869934</v>
      </c>
    </row>
    <row r="81" spans="1:7" ht="15.75">
      <c r="A81" s="39" t="s">
        <v>151</v>
      </c>
      <c r="B81" s="47">
        <f>IF(362.38012="","-",362.38012)</f>
        <v>362.38012</v>
      </c>
      <c r="C81" s="47" t="str">
        <f>IF(OR(""="",362.38012=""),"-",362.38012/""*100)</f>
        <v>-</v>
      </c>
      <c r="D81" s="47" t="str">
        <f>IF(""="","-",""/1314797.53704*100)</f>
        <v>-</v>
      </c>
      <c r="E81" s="47">
        <f>IF(362.38012="","-",362.38012/1361362.0538*100)</f>
        <v>0.026618937922390323</v>
      </c>
      <c r="F81" s="47" t="str">
        <f>IF(OR(1028187.45002="",""="",""=""),"-",(""-"")/1028187.45002*100)</f>
        <v>-</v>
      </c>
      <c r="G81" s="47" t="str">
        <f>IF(OR(1314797.53704="",362.38012="",""=""),"-",(362.38012-"")/1314797.53704*100)</f>
        <v>-</v>
      </c>
    </row>
    <row r="82" spans="1:7" ht="15.75">
      <c r="A82" s="39" t="s">
        <v>105</v>
      </c>
      <c r="B82" s="47">
        <f>IF(323.47451="","-",323.47451)</f>
        <v>323.47451</v>
      </c>
      <c r="C82" s="47">
        <f>IF(OR(304.58737="",323.47451=""),"-",323.47451/304.58737*100)</f>
        <v>106.2008940160585</v>
      </c>
      <c r="D82" s="47">
        <f>IF(304.58737="","-",304.58737/1314797.53704*100)</f>
        <v>0.023166104393967508</v>
      </c>
      <c r="E82" s="47">
        <f>IF(323.47451="","-",323.47451/1361362.0538*100)</f>
        <v>0.023761093464966094</v>
      </c>
      <c r="F82" s="47">
        <f>IF(OR(1028187.45002="",119.40201="",304.58737=""),"-",(304.58737-119.40201)/1028187.45002*100)</f>
        <v>0.018010855899515</v>
      </c>
      <c r="G82" s="47">
        <f>IF(OR(1314797.53704="",323.47451="",304.58737=""),"-",(323.47451-304.58737)/1314797.53704*100)</f>
        <v>0.001436505581119398</v>
      </c>
    </row>
    <row r="83" spans="1:7" ht="15.75">
      <c r="A83" s="39" t="s">
        <v>111</v>
      </c>
      <c r="B83" s="47">
        <f>IF(305.8273="","-",305.8273)</f>
        <v>305.8273</v>
      </c>
      <c r="C83" s="47">
        <f>IF(OR(392.51239="",305.8273=""),"-",305.8273/392.51239*100)</f>
        <v>77.91532389589027</v>
      </c>
      <c r="D83" s="47">
        <f>IF(392.51239="","-",392.51239/1314797.53704*100)</f>
        <v>0.02985344731354319</v>
      </c>
      <c r="E83" s="47">
        <f>IF(305.8273="","-",305.8273/1361362.0538*100)</f>
        <v>0.022464802742689752</v>
      </c>
      <c r="F83" s="47">
        <f>IF(OR(1028187.45002="",187.4803="",392.51239=""),"-",(392.51239-187.4803)/1028187.45002*100)</f>
        <v>0.01994111968552152</v>
      </c>
      <c r="G83" s="47">
        <f>IF(OR(1314797.53704="",305.8273="",392.51239=""),"-",(305.8273-392.51239)/1314797.53704*100)</f>
        <v>-0.006593037145107063</v>
      </c>
    </row>
    <row r="84" spans="1:7" ht="15.75">
      <c r="A84" s="39" t="s">
        <v>152</v>
      </c>
      <c r="B84" s="47">
        <f>IF(271.83195="","-",271.83195)</f>
        <v>271.83195</v>
      </c>
      <c r="C84" s="47" t="s">
        <v>271</v>
      </c>
      <c r="D84" s="47">
        <f>IF(21.31084="","-",21.31084/1314797.53704*100)</f>
        <v>0.001620845749983456</v>
      </c>
      <c r="E84" s="47">
        <f>IF(271.83195="","-",271.83195/1361362.0538*100)</f>
        <v>0.019967645582689</v>
      </c>
      <c r="F84" s="47">
        <f>IF(OR(1028187.45002="",34.16933="",21.31084=""),"-",(21.31084-34.16933)/1028187.45002*100)</f>
        <v>-0.0012505978360025582</v>
      </c>
      <c r="G84" s="47">
        <f>IF(OR(1314797.53704="",271.83195="",21.31084=""),"-",(271.83195-21.31084)/1314797.53704*100)</f>
        <v>0.019053968610558664</v>
      </c>
    </row>
    <row r="85" spans="1:7" ht="15.75">
      <c r="A85" s="39" t="s">
        <v>160</v>
      </c>
      <c r="B85" s="47">
        <f>IF(264.90504="","-",264.90504)</f>
        <v>264.90504</v>
      </c>
      <c r="C85" s="47">
        <f>IF(OR(250.07847="",264.90504=""),"-",264.90504/250.07847*100)</f>
        <v>105.92876707858936</v>
      </c>
      <c r="D85" s="47">
        <f>IF(250.07847="","-",250.07847/1314797.53704*100)</f>
        <v>0.019020302590694</v>
      </c>
      <c r="E85" s="47">
        <f>IF(264.90504="","-",264.90504/1361362.0538*100)</f>
        <v>0.019458823555465254</v>
      </c>
      <c r="F85" s="47">
        <f>IF(OR(1028187.45002="",34.39184="",250.07847=""),"-",(250.07847-34.39184)/1028187.45002*100)</f>
        <v>0.02097736458423068</v>
      </c>
      <c r="G85" s="47">
        <f>IF(OR(1314797.53704="",264.90504="",250.07847=""),"-",(264.90504-250.07847)/1314797.53704*100)</f>
        <v>0.0011276694382451452</v>
      </c>
    </row>
    <row r="86" spans="1:7" ht="15.75">
      <c r="A86" s="39" t="s">
        <v>123</v>
      </c>
      <c r="B86" s="47">
        <f>IF(256.45194="","-",256.45194)</f>
        <v>256.45194</v>
      </c>
      <c r="C86" s="47">
        <f>IF(OR(410.44875="",256.45194=""),"-",256.45194/410.44875*100)</f>
        <v>62.48086758700081</v>
      </c>
      <c r="D86" s="47">
        <f>IF(410.44875="","-",410.44875/1314797.53704*100)</f>
        <v>0.031217639099327954</v>
      </c>
      <c r="E86" s="47">
        <f>IF(256.45194="","-",256.45194/1361362.0538*100)</f>
        <v>0.018837893952175323</v>
      </c>
      <c r="F86" s="47" t="str">
        <f>IF(OR(1028187.45002="",""="",410.44875=""),"-",(410.44875-"")/1028187.45002*100)</f>
        <v>-</v>
      </c>
      <c r="G86" s="47">
        <f>IF(OR(1314797.53704="",256.45194="",410.44875=""),"-",(256.45194-410.44875)/1314797.53704*100)</f>
        <v>-0.011712587349889066</v>
      </c>
    </row>
    <row r="87" spans="1:7" ht="15.75">
      <c r="A87" s="39" t="s">
        <v>150</v>
      </c>
      <c r="B87" s="47">
        <f>IF(245.7161="","-",245.7161)</f>
        <v>245.7161</v>
      </c>
      <c r="C87" s="47" t="s">
        <v>271</v>
      </c>
      <c r="D87" s="47">
        <f>IF(19.15="","-",19.15/1314797.53704*100)</f>
        <v>0.0014564980128508865</v>
      </c>
      <c r="E87" s="47">
        <f>IF(245.7161="","-",245.7161/1361362.0538*100)</f>
        <v>0.01804928375329158</v>
      </c>
      <c r="F87" s="47">
        <f>IF(OR(1028187.45002="",30.66291="",19.15=""),"-",(19.15-30.66291)/1028187.45002*100)</f>
        <v>-0.0011197287031441646</v>
      </c>
      <c r="G87" s="47">
        <f>IF(OR(1314797.53704="",245.7161="",19.15=""),"-",(245.7161-19.15)/1314797.53704*100)</f>
        <v>0.017232014330515678</v>
      </c>
    </row>
    <row r="88" spans="1:7" ht="15.75">
      <c r="A88" s="39" t="s">
        <v>110</v>
      </c>
      <c r="B88" s="47">
        <f>IF(227.79067="","-",227.79067)</f>
        <v>227.79067</v>
      </c>
      <c r="C88" s="47">
        <f>IF(OR(213.4128="",227.79067=""),"-",227.79067/213.4128*100)</f>
        <v>106.73711698642256</v>
      </c>
      <c r="D88" s="47">
        <f>IF(213.4128="","-",213.4128/1314797.53704*100)</f>
        <v>0.016231609353365206</v>
      </c>
      <c r="E88" s="47">
        <f>IF(227.79067="","-",227.79067/1361362.0538*100)</f>
        <v>0.01673255614582196</v>
      </c>
      <c r="F88" s="47">
        <f>IF(OR(1028187.45002="",439.09281="",213.4128=""),"-",(213.4128-439.09281)/1028187.45002*100)</f>
        <v>-0.021949306033215064</v>
      </c>
      <c r="G88" s="47">
        <f>IF(OR(1314797.53704="",227.79067="",213.4128=""),"-",(227.79067-213.4128)/1314797.53704*100)</f>
        <v>0.00109354251091532</v>
      </c>
    </row>
    <row r="89" spans="1:7" ht="15.75">
      <c r="A89" s="39" t="s">
        <v>117</v>
      </c>
      <c r="B89" s="47">
        <f>IF(199.5923="","-",199.5923)</f>
        <v>199.5923</v>
      </c>
      <c r="C89" s="47">
        <f>IF(OR(244.84265="",199.5923=""),"-",199.5923/244.84265*100)</f>
        <v>81.51859980277129</v>
      </c>
      <c r="D89" s="47">
        <f>IF(244.84265="","-",244.84265/1314797.53704*100)</f>
        <v>0.018622080061939692</v>
      </c>
      <c r="E89" s="47">
        <f>IF(199.5923="","-",199.5923/1361362.0538*100)</f>
        <v>0.014661221050114743</v>
      </c>
      <c r="F89" s="47">
        <f>IF(OR(1028187.45002="",90.46913="",244.84265=""),"-",(244.84265-90.46913)/1028187.45002*100)</f>
        <v>0.015014141633123139</v>
      </c>
      <c r="G89" s="47">
        <f>IF(OR(1314797.53704="",199.5923="",244.84265=""),"-",(199.5923-244.84265)/1314797.53704*100)</f>
        <v>-0.0034416211412954104</v>
      </c>
    </row>
    <row r="90" spans="1:7" ht="15.75">
      <c r="A90" s="39" t="s">
        <v>77</v>
      </c>
      <c r="B90" s="47">
        <f>IF(187.98417="","-",187.98417)</f>
        <v>187.98417</v>
      </c>
      <c r="C90" s="47" t="s">
        <v>232</v>
      </c>
      <c r="D90" s="47">
        <f>IF(42.09302="","-",42.09302/1314797.53704*100)</f>
        <v>0.00320148302793173</v>
      </c>
      <c r="E90" s="47">
        <f>IF(187.98417="","-",187.98417/1361362.0538*100)</f>
        <v>0.013808536052204159</v>
      </c>
      <c r="F90" s="47">
        <f>IF(OR(1028187.45002="",180.4032="",42.09302=""),"-",(42.09302-180.4032)/1028187.45002*100)</f>
        <v>-0.013451844797104812</v>
      </c>
      <c r="G90" s="47">
        <f>IF(OR(1314797.53704="",187.98417="",42.09302=""),"-",(187.98417-42.09302)/1314797.53704*100)</f>
        <v>0.011096092431724837</v>
      </c>
    </row>
    <row r="91" spans="1:7" ht="15.75">
      <c r="A91" s="39" t="s">
        <v>159</v>
      </c>
      <c r="B91" s="47">
        <f>IF(187.01941="","-",187.01941)</f>
        <v>187.01941</v>
      </c>
      <c r="C91" s="47" t="s">
        <v>272</v>
      </c>
      <c r="D91" s="47">
        <f>IF(7.147="","-",7.147/1314797.53704*100)</f>
        <v>0.0005435817910101978</v>
      </c>
      <c r="E91" s="47">
        <f>IF(187.01941="","-",187.01941/1361362.0538*100)</f>
        <v>0.013737668791191041</v>
      </c>
      <c r="F91" s="47" t="str">
        <f>IF(OR(1028187.45002="",""="",7.147=""),"-",(7.147-"")/1028187.45002*100)</f>
        <v>-</v>
      </c>
      <c r="G91" s="47">
        <f>IF(OR(1314797.53704="",187.01941="",7.147=""),"-",(187.01941-7.147)/1314797.53704*100)</f>
        <v>0.013680616591733679</v>
      </c>
    </row>
    <row r="92" spans="1:7" ht="15.75">
      <c r="A92" s="39" t="s">
        <v>44</v>
      </c>
      <c r="B92" s="47">
        <f>IF(177.25291="","-",177.25291)</f>
        <v>177.25291</v>
      </c>
      <c r="C92" s="47">
        <f>IF(OR(178.61707="",177.25291=""),"-",177.25291/178.61707*100)</f>
        <v>99.23626560440164</v>
      </c>
      <c r="D92" s="47">
        <f>IF(178.61707="","-",178.61707/1314797.53704*100)</f>
        <v>0.013585138773694399</v>
      </c>
      <c r="E92" s="47">
        <f>IF(177.25291="","-",177.25291/1361362.0538*100)</f>
        <v>0.013020262281090473</v>
      </c>
      <c r="F92" s="47">
        <f>IF(OR(1028187.45002="",170.82949="",178.61707=""),"-",(178.61707-170.82949)/1028187.45002*100)</f>
        <v>0.0007574085834104022</v>
      </c>
      <c r="G92" s="47">
        <f>IF(OR(1314797.53704="",177.25291="",178.61707=""),"-",(177.25291-178.61707)/1314797.53704*100)</f>
        <v>-0.00010375437750447325</v>
      </c>
    </row>
    <row r="93" spans="1:7" ht="15.75">
      <c r="A93" s="39" t="s">
        <v>177</v>
      </c>
      <c r="B93" s="47">
        <f>IF(149.53541="","-",149.53541)</f>
        <v>149.53541</v>
      </c>
      <c r="C93" s="47">
        <f>IF(OR(166.943="",149.53541=""),"-",149.53541/166.943*100)</f>
        <v>89.57273440635427</v>
      </c>
      <c r="D93" s="47">
        <f>IF(166.943="","-",166.943/1314797.53704*100)</f>
        <v>0.012697240091872876</v>
      </c>
      <c r="E93" s="47">
        <f>IF(149.53541="","-",149.53541/1361362.0538*100)</f>
        <v>0.010984249897563877</v>
      </c>
      <c r="F93" s="47">
        <f>IF(OR(1028187.45002="",17.03616="",166.943=""),"-",(166.943-17.03616)/1028187.45002*100)</f>
        <v>0.014579718902140272</v>
      </c>
      <c r="G93" s="47">
        <f>IF(OR(1314797.53704="",149.53541="",166.943=""),"-",(149.53541-166.943)/1314797.53704*100)</f>
        <v>-0.0013239749474424523</v>
      </c>
    </row>
    <row r="94" spans="1:7" ht="15.75">
      <c r="A94" s="39" t="s">
        <v>153</v>
      </c>
      <c r="B94" s="47">
        <f>IF(133.82131="","-",133.82131)</f>
        <v>133.82131</v>
      </c>
      <c r="C94" s="47">
        <f>IF(OR(95.45752="",133.82131=""),"-",133.82131/95.45752*100)</f>
        <v>140.18938476507665</v>
      </c>
      <c r="D94" s="47">
        <f>IF(95.45752="","-",95.45752/1314797.53704*100)</f>
        <v>0.007260244814186619</v>
      </c>
      <c r="E94" s="47">
        <f>IF(133.82131="","-",133.82131/1361362.0538*100)</f>
        <v>0.009829957403797293</v>
      </c>
      <c r="F94" s="47">
        <f>IF(OR(1028187.45002="",345.72844="",95.45752=""),"-",(95.45752-345.72844)/1028187.45002*100)</f>
        <v>-0.02434098179229204</v>
      </c>
      <c r="G94" s="47">
        <f>IF(OR(1314797.53704="",133.82131="",95.45752=""),"-",(133.82131-95.45752)/1314797.53704*100)</f>
        <v>0.0029178477232599856</v>
      </c>
    </row>
    <row r="95" spans="1:7" ht="15.75">
      <c r="A95" s="39" t="s">
        <v>78</v>
      </c>
      <c r="B95" s="47">
        <f>IF(103.39917="","-",103.39917)</f>
        <v>103.39917</v>
      </c>
      <c r="C95" s="47">
        <f>IF(OR(587.15407="",103.39917=""),"-",103.39917/587.15407*100)</f>
        <v>17.61022792535526</v>
      </c>
      <c r="D95" s="47">
        <f>IF(587.15407="","-",587.15407/1314797.53704*100)</f>
        <v>0.044657375258084095</v>
      </c>
      <c r="E95" s="47">
        <f>IF(103.39917="","-",103.39917/1361362.0538*100)</f>
        <v>0.007595273403675356</v>
      </c>
      <c r="F95" s="47">
        <f>IF(OR(1028187.45002="",288.52525="",587.15407=""),"-",(587.15407-288.52525)/1028187.45002*100)</f>
        <v>0.029044200062371035</v>
      </c>
      <c r="G95" s="47">
        <f>IF(OR(1314797.53704="",103.39917="",587.15407=""),"-",(103.39917-587.15407)/1314797.53704*100)</f>
        <v>-0.036793109689654276</v>
      </c>
    </row>
    <row r="96" spans="1:7" ht="15.75">
      <c r="A96" s="39" t="s">
        <v>112</v>
      </c>
      <c r="B96" s="47">
        <f>IF(100.98459="","-",100.98459)</f>
        <v>100.98459</v>
      </c>
      <c r="C96" s="47">
        <f>IF(OR(93.57845="",100.98459=""),"-",100.98459/93.57845*100)</f>
        <v>107.91436489918351</v>
      </c>
      <c r="D96" s="47">
        <f>IF(93.57845="","-",93.57845/1314797.53704*100)</f>
        <v>0.007117327753037392</v>
      </c>
      <c r="E96" s="47">
        <f>IF(100.98459="","-",100.98459/1361362.0538*100)</f>
        <v>0.0074179083894779846</v>
      </c>
      <c r="F96" s="47">
        <f>IF(OR(1028187.45002="",21.17261="",93.57845=""),"-",(93.57845-21.17261)/1028187.45002*100)</f>
        <v>0.00704208556509726</v>
      </c>
      <c r="G96" s="47">
        <f>IF(OR(1314797.53704="",100.98459="",93.57845=""),"-",(100.98459-93.57845)/1314797.53704*100)</f>
        <v>0.0005632912894462379</v>
      </c>
    </row>
    <row r="97" spans="1:7" ht="15.75">
      <c r="A97" s="39" t="s">
        <v>165</v>
      </c>
      <c r="B97" s="47">
        <f>IF(98.70973="","-",98.70973)</f>
        <v>98.70973</v>
      </c>
      <c r="C97" s="47">
        <f>IF(OR(330.16422="",98.70973=""),"-",98.70973/330.16422*100)</f>
        <v>29.897161479217825</v>
      </c>
      <c r="D97" s="47">
        <f>IF(330.16422="","-",330.16422/1314797.53704*100)</f>
        <v>0.025111411506238274</v>
      </c>
      <c r="E97" s="47">
        <f>IF(98.70973="","-",98.70973/1361362.0538*100)</f>
        <v>0.007250806625942697</v>
      </c>
      <c r="F97" s="47">
        <f>IF(OR(1028187.45002="",164.58614="",330.16422=""),"-",(330.16422-164.58614)/1028187.45002*100)</f>
        <v>0.016103880668527828</v>
      </c>
      <c r="G97" s="47">
        <f>IF(OR(1314797.53704="",98.70973="",330.16422=""),"-",(98.70973-330.16422)/1314797.53704*100)</f>
        <v>-0.017603812258507334</v>
      </c>
    </row>
    <row r="98" spans="1:7" ht="15.75">
      <c r="A98" s="39" t="s">
        <v>96</v>
      </c>
      <c r="B98" s="47">
        <f>IF(93.32974="","-",93.32974)</f>
        <v>93.32974</v>
      </c>
      <c r="C98" s="47" t="s">
        <v>114</v>
      </c>
      <c r="D98" s="47">
        <f>IF(54.8751="","-",54.8751/1314797.53704*100)</f>
        <v>0.004173654000260767</v>
      </c>
      <c r="E98" s="47">
        <f>IF(93.32974="","-",93.32974/1361362.0538*100)</f>
        <v>0.006855614914451789</v>
      </c>
      <c r="F98" s="47" t="str">
        <f>IF(OR(1028187.45002="",""="",54.8751=""),"-",(54.8751-"")/1028187.45002*100)</f>
        <v>-</v>
      </c>
      <c r="G98" s="47">
        <f>IF(OR(1314797.53704="",93.32974="",54.8751=""),"-",(93.32974-54.8751)/1314797.53704*100)</f>
        <v>0.002924757532370559</v>
      </c>
    </row>
    <row r="99" spans="1:7" ht="15.75">
      <c r="A99" s="39" t="s">
        <v>233</v>
      </c>
      <c r="B99" s="47">
        <f>IF(90.33513="","-",90.33513)</f>
        <v>90.33513</v>
      </c>
      <c r="C99" s="47" t="s">
        <v>238</v>
      </c>
      <c r="D99" s="47">
        <f>IF(0.03831="","-",0.03831/1314797.53704*100)</f>
        <v>2.9137565990766295E-06</v>
      </c>
      <c r="E99" s="47">
        <f>IF(90.33513="","-",90.33513/1361362.0538*100)</f>
        <v>0.006635643306484528</v>
      </c>
      <c r="F99" s="47" t="str">
        <f>IF(OR(1028187.45002="",""="",0.03831=""),"-",(0.03831-"")/1028187.45002*100)</f>
        <v>-</v>
      </c>
      <c r="G99" s="47">
        <f>IF(OR(1314797.53704="",90.33513="",0.03831=""),"-",(90.33513-0.03831)/1314797.53704*100)</f>
        <v>0.006867735712624241</v>
      </c>
    </row>
    <row r="100" spans="1:7" ht="15.75">
      <c r="A100" s="39" t="s">
        <v>103</v>
      </c>
      <c r="B100" s="47">
        <f>IF(81.87974="","-",81.87974)</f>
        <v>81.87974</v>
      </c>
      <c r="C100" s="47" t="s">
        <v>242</v>
      </c>
      <c r="D100" s="47">
        <f>IF(23.65="","-",23.65/1314797.53704*100)</f>
        <v>0.0017987560315364734</v>
      </c>
      <c r="E100" s="47">
        <f>IF(81.87974="","-",81.87974/1361362.0538*100)</f>
        <v>0.006014545489309568</v>
      </c>
      <c r="F100" s="47">
        <f>IF(OR(1028187.45002="",0.162="",23.65=""),"-",(23.65-0.162)/1028187.45002*100)</f>
        <v>0.0022844083537046788</v>
      </c>
      <c r="G100" s="47">
        <f>IF(OR(1314797.53704="",81.87974="",23.65=""),"-",(81.87974-23.65)/1314797.53704*100)</f>
        <v>0.004428798986883749</v>
      </c>
    </row>
    <row r="101" spans="1:7" ht="15.75">
      <c r="A101" s="39" t="s">
        <v>266</v>
      </c>
      <c r="B101" s="47">
        <f>IF(71.9935="","-",71.9935)</f>
        <v>71.9935</v>
      </c>
      <c r="C101" s="47">
        <f>IF(OR(65.856="",71.9935=""),"-",71.9935/65.856*100)</f>
        <v>109.3195760447036</v>
      </c>
      <c r="D101" s="47">
        <f>IF(65.856="","-",65.856/1314797.53704*100)</f>
        <v>0.0050088320174573354</v>
      </c>
      <c r="E101" s="47">
        <f>IF(71.9935="","-",71.9935/1361362.0538*100)</f>
        <v>0.005288343376329827</v>
      </c>
      <c r="F101" s="47" t="str">
        <f>IF(OR(1028187.45002="",""="",65.856=""),"-",(65.856-"")/1028187.45002*100)</f>
        <v>-</v>
      </c>
      <c r="G101" s="47">
        <f>IF(OR(1314797.53704="",71.9935="",65.856=""),"-",(71.9935-65.856)/1314797.53704*100)</f>
        <v>0.00046680190881839796</v>
      </c>
    </row>
    <row r="102" spans="1:7" ht="15.75">
      <c r="A102" s="39" t="s">
        <v>95</v>
      </c>
      <c r="B102" s="47">
        <f>IF(71.81214="","-",71.81214)</f>
        <v>71.81214</v>
      </c>
      <c r="C102" s="47">
        <f>IF(OR(66.63998="",71.81214=""),"-",71.81214/66.63998*100)</f>
        <v>107.76134686715093</v>
      </c>
      <c r="D102" s="47">
        <f>IF(66.63998="","-",66.63998/1314797.53704*100)</f>
        <v>0.005068459448899364</v>
      </c>
      <c r="E102" s="47">
        <f>IF(71.81214="","-",71.81214/1361362.0538*100)</f>
        <v>0.005275021424282334</v>
      </c>
      <c r="F102" s="47">
        <f>IF(OR(1028187.45002="",68.87555="",66.63998=""),"-",(66.63998-68.87555)/1028187.45002*100)</f>
        <v>-0.0002174282520134363</v>
      </c>
      <c r="G102" s="47">
        <f>IF(OR(1314797.53704="",71.81214="",66.63998=""),"-",(71.81214-66.63998)/1314797.53704*100)</f>
        <v>0.00039338071864996596</v>
      </c>
    </row>
    <row r="103" spans="1:7" ht="15.75">
      <c r="A103" s="39" t="s">
        <v>178</v>
      </c>
      <c r="B103" s="47">
        <f>IF(70.1905="","-",70.1905)</f>
        <v>70.1905</v>
      </c>
      <c r="C103" s="47">
        <f>IF(OR(48.96218="",70.1905=""),"-",70.1905/48.96218*100)</f>
        <v>143.35656623132388</v>
      </c>
      <c r="D103" s="47">
        <f>IF(48.96218="","-",48.96218/1314797.53704*100)</f>
        <v>0.0037239330482949037</v>
      </c>
      <c r="E103" s="47">
        <f>IF(70.1905="","-",70.1905/1361362.0538*100)</f>
        <v>0.005155902487811798</v>
      </c>
      <c r="F103" s="47">
        <f>IF(OR(1028187.45002="",8.936="",48.96218=""),"-",(48.96218-8.936)/1028187.45002*100)</f>
        <v>0.003892887430129732</v>
      </c>
      <c r="G103" s="47">
        <f>IF(OR(1314797.53704="",70.1905="",48.96218=""),"-",(70.1905-48.96218)/1314797.53704*100)</f>
        <v>0.0016145694984941376</v>
      </c>
    </row>
    <row r="104" spans="1:7" ht="15.75">
      <c r="A104" s="39" t="s">
        <v>86</v>
      </c>
      <c r="B104" s="47">
        <f>IF(67.65612="","-",67.65612)</f>
        <v>67.65612</v>
      </c>
      <c r="C104" s="47">
        <f>IF(OR(281.84207="",67.65612=""),"-",67.65612/281.84207*100)</f>
        <v>24.004975552443256</v>
      </c>
      <c r="D104" s="47">
        <f>IF(281.84207="","-",281.84207/1314797.53704*100)</f>
        <v>0.02143615743565433</v>
      </c>
      <c r="E104" s="47">
        <f>IF(67.65612="","-",67.65612/1361362.0538*100)</f>
        <v>0.004969737463384555</v>
      </c>
      <c r="F104" s="47">
        <f>IF(OR(1028187.45002="",32.22828="",281.84207=""),"-",(281.84207-32.22828)/1028187.45002*100)</f>
        <v>0.024277070294443353</v>
      </c>
      <c r="G104" s="47">
        <f>IF(OR(1314797.53704="",67.65612="",281.84207=""),"-",(67.65612-281.84207)/1314797.53704*100)</f>
        <v>-0.016290413083842263</v>
      </c>
    </row>
    <row r="105" spans="1:7" ht="15.75">
      <c r="A105" s="39" t="s">
        <v>99</v>
      </c>
      <c r="B105" s="47">
        <f>IF(60.1192="","-",60.1192)</f>
        <v>60.1192</v>
      </c>
      <c r="C105" s="47">
        <f>IF(OR(76.62359="",60.1192=""),"-",60.1192/76.62359*100)</f>
        <v>78.46043235510109</v>
      </c>
      <c r="D105" s="47">
        <f>IF(76.62359="","-",76.62359/1314797.53704*100)</f>
        <v>0.005827786243994833</v>
      </c>
      <c r="E105" s="47">
        <f>IF(60.1192="","-",60.1192/1361362.0538*100)</f>
        <v>0.004416106636158099</v>
      </c>
      <c r="F105" s="47">
        <f>IF(OR(1028187.45002="",26.12487="",76.62359=""),"-",(76.62359-26.12487)/1028187.45002*100)</f>
        <v>0.004911431276370637</v>
      </c>
      <c r="G105" s="47">
        <f>IF(OR(1314797.53704="",60.1192="",76.62359=""),"-",(60.1192-76.62359)/1314797.53704*100)</f>
        <v>-0.0012552799602253803</v>
      </c>
    </row>
    <row r="106" spans="1:7" ht="15.75">
      <c r="A106" s="40" t="s">
        <v>102</v>
      </c>
      <c r="B106" s="48">
        <f>IF(49.39613="","-",49.39613)</f>
        <v>49.39613</v>
      </c>
      <c r="C106" s="48">
        <f>IF(OR(101.94671="",49.39613=""),"-",49.39613/101.94671*100)</f>
        <v>48.45289269266267</v>
      </c>
      <c r="D106" s="48">
        <f>IF(101.94671="","-",101.94671/1314797.53704*100)</f>
        <v>0.007753795328025358</v>
      </c>
      <c r="E106" s="48">
        <f>IF(49.39613="","-",49.39613/1361362.0538*100)</f>
        <v>0.0036284344684148853</v>
      </c>
      <c r="F106" s="48">
        <f>IF(OR(1028187.45002="",197.21623="",101.94671=""),"-",(101.94671-197.21623)/1028187.45002*100)</f>
        <v>-0.009265773473324038</v>
      </c>
      <c r="G106" s="48">
        <f>IF(OR(1314797.53704="",49.39613="",101.94671=""),"-",(49.39613-101.94671)/1314797.53704*100)</f>
        <v>-0.003996857198128539</v>
      </c>
    </row>
    <row r="107" ht="15.75">
      <c r="A107" s="33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7"/>
  <sheetViews>
    <sheetView zoomScalePageLayoutView="0" workbookViewId="0" topLeftCell="A1">
      <selection activeCell="J23" sqref="J23"/>
    </sheetView>
  </sheetViews>
  <sheetFormatPr defaultColWidth="9.00390625" defaultRowHeight="15.75"/>
  <cols>
    <col min="1" max="1" width="33.50390625" style="0" customWidth="1"/>
    <col min="2" max="2" width="11.875" style="0" customWidth="1"/>
    <col min="3" max="3" width="9.75390625" style="0" customWidth="1"/>
    <col min="4" max="4" width="7.625" style="0" customWidth="1"/>
    <col min="5" max="5" width="7.75390625" style="0" customWidth="1"/>
    <col min="6" max="6" width="9.375" style="0" customWidth="1"/>
    <col min="7" max="7" width="9.625" style="0" customWidth="1"/>
  </cols>
  <sheetData>
    <row r="1" spans="1:7" ht="15.75">
      <c r="A1" s="72" t="s">
        <v>134</v>
      </c>
      <c r="B1" s="72"/>
      <c r="C1" s="72"/>
      <c r="D1" s="72"/>
      <c r="E1" s="72"/>
      <c r="F1" s="72"/>
      <c r="G1" s="72"/>
    </row>
    <row r="2" ht="15.75">
      <c r="A2" s="2"/>
    </row>
    <row r="3" spans="1:7" ht="55.5" customHeight="1">
      <c r="A3" s="60"/>
      <c r="B3" s="63" t="s">
        <v>259</v>
      </c>
      <c r="C3" s="64"/>
      <c r="D3" s="63" t="s">
        <v>119</v>
      </c>
      <c r="E3" s="64"/>
      <c r="F3" s="65" t="s">
        <v>143</v>
      </c>
      <c r="G3" s="66"/>
    </row>
    <row r="4" spans="1:8" ht="27" customHeight="1">
      <c r="A4" s="61"/>
      <c r="B4" s="67" t="s">
        <v>108</v>
      </c>
      <c r="C4" s="69" t="s">
        <v>260</v>
      </c>
      <c r="D4" s="71" t="s">
        <v>261</v>
      </c>
      <c r="E4" s="71"/>
      <c r="F4" s="71" t="s">
        <v>261</v>
      </c>
      <c r="G4" s="63"/>
      <c r="H4" s="1"/>
    </row>
    <row r="5" spans="1:7" ht="22.5" customHeight="1">
      <c r="A5" s="62"/>
      <c r="B5" s="68"/>
      <c r="C5" s="70"/>
      <c r="D5" s="23">
        <v>2018</v>
      </c>
      <c r="E5" s="23">
        <v>2019</v>
      </c>
      <c r="F5" s="23" t="s">
        <v>121</v>
      </c>
      <c r="G5" s="19" t="s">
        <v>144</v>
      </c>
    </row>
    <row r="6" spans="1:7" s="3" customFormat="1" ht="15">
      <c r="A6" s="41" t="s">
        <v>154</v>
      </c>
      <c r="B6" s="45">
        <f>IF(2807357.90586="","-",2807357.90586)</f>
        <v>2807357.90586</v>
      </c>
      <c r="C6" s="45">
        <f>IF(2734888.97913="","-",2807357.90586/2734888.97913*100)</f>
        <v>102.64979409705519</v>
      </c>
      <c r="D6" s="45">
        <v>100</v>
      </c>
      <c r="E6" s="45">
        <v>100</v>
      </c>
      <c r="F6" s="45">
        <f>IF(2181405.29478="","-",(2734888.97913-2181405.29478)/2181405.29478*100)</f>
        <v>25.37280374602831</v>
      </c>
      <c r="G6" s="45">
        <f>IF(2734888.97913="","-",(2807357.90586-2734888.97913)/2734888.97913*100)</f>
        <v>2.6497940970552</v>
      </c>
    </row>
    <row r="7" spans="1:7" s="3" customFormat="1" ht="15">
      <c r="A7" s="42" t="s">
        <v>161</v>
      </c>
      <c r="B7" s="49"/>
      <c r="C7" s="49"/>
      <c r="D7" s="49"/>
      <c r="E7" s="49"/>
      <c r="F7" s="49"/>
      <c r="G7" s="49"/>
    </row>
    <row r="8" spans="1:7" s="3" customFormat="1" ht="15">
      <c r="A8" s="26" t="s">
        <v>252</v>
      </c>
      <c r="B8" s="46">
        <f>IF(1402812.64558="","-",1402812.64558)</f>
        <v>1402812.64558</v>
      </c>
      <c r="C8" s="46">
        <f>IF(1395662.08591="","-",1402812.64558/1395662.08591*100)</f>
        <v>100.51234175823711</v>
      </c>
      <c r="D8" s="46">
        <f>IF(1395662.08591="","-",1395662.08591/2734888.97913*100)</f>
        <v>51.03176386903926</v>
      </c>
      <c r="E8" s="46">
        <f>IF(1402812.64558="","-",1402812.64558/2807357.90586*100)</f>
        <v>49.96914154236652</v>
      </c>
      <c r="F8" s="46">
        <f>IF(2181405.29478="","-",(1395662.08591-1072828.12678)/2181405.29478*100)</f>
        <v>14.799357088869561</v>
      </c>
      <c r="G8" s="46">
        <f>IF(2734888.97913="","-",(1402812.64558-1395662.08591)/2734888.97913*100)</f>
        <v>0.2614570362660491</v>
      </c>
    </row>
    <row r="9" spans="1:7" s="3" customFormat="1" ht="15">
      <c r="A9" s="39" t="s">
        <v>2</v>
      </c>
      <c r="B9" s="47">
        <f>IF(398736.38472="","-",398736.38472)</f>
        <v>398736.38472</v>
      </c>
      <c r="C9" s="47">
        <f>IF(OR(386686.37272="",398736.38472=""),"-",398736.38472/386686.37272*100)</f>
        <v>103.11622359878851</v>
      </c>
      <c r="D9" s="47">
        <f>IF(386686.37272="","-",386686.37272/2734888.97913*100)</f>
        <v>14.139015355680339</v>
      </c>
      <c r="E9" s="47">
        <f>IF(398736.38472="","-",398736.38472/2807357.90586*100)</f>
        <v>14.203261503910452</v>
      </c>
      <c r="F9" s="47">
        <f>IF(OR(2181405.29478="",300242.47477="",386686.37272=""),"-",(386686.37272-300242.47477)/2181405.29478*100)</f>
        <v>3.96276190201134</v>
      </c>
      <c r="G9" s="47">
        <f>IF(OR(2734888.97913="",398736.38472="",386686.37272=""),"-",(398736.38472-386686.37272)/2734888.97913*100)</f>
        <v>0.4406033331500439</v>
      </c>
    </row>
    <row r="10" spans="1:7" s="3" customFormat="1" ht="15">
      <c r="A10" s="39" t="s">
        <v>4</v>
      </c>
      <c r="B10" s="47">
        <f>IF(238130.63677="","-",238130.63677)</f>
        <v>238130.63677</v>
      </c>
      <c r="C10" s="47">
        <f>IF(OR(235960.24867="",238130.63677=""),"-",238130.63677/235960.24867*100)</f>
        <v>100.91981090553747</v>
      </c>
      <c r="D10" s="47">
        <f>IF(235960.24867="","-",235960.24867/2734888.97913*100)</f>
        <v>8.627781620044471</v>
      </c>
      <c r="E10" s="47">
        <f>IF(238130.63677="","-",238130.63677/2807357.90586*100)</f>
        <v>8.482375413299916</v>
      </c>
      <c r="F10" s="47">
        <f>IF(OR(2181405.29478="",173791.02256="",235960.24867=""),"-",(235960.24867-173791.02256)/2181405.29478*100)</f>
        <v>2.8499621899134473</v>
      </c>
      <c r="G10" s="47">
        <f>IF(OR(2734888.97913="",238130.63677="",235960.24867=""),"-",(238130.63677-235960.24867)/2734888.97913*100)</f>
        <v>0.0793592762471271</v>
      </c>
    </row>
    <row r="11" spans="1:7" ht="12.75" customHeight="1">
      <c r="A11" s="39" t="s">
        <v>3</v>
      </c>
      <c r="B11" s="47">
        <f>IF(200702.08197="","-",200702.08197)</f>
        <v>200702.08197</v>
      </c>
      <c r="C11" s="47">
        <f>IF(OR(195710.92908="",200702.08197=""),"-",200702.08197/195710.92908*100)</f>
        <v>102.5502678432229</v>
      </c>
      <c r="D11" s="47">
        <f>IF(195710.92908="","-",195710.92908/2734888.97913*100)</f>
        <v>7.156083138053301</v>
      </c>
      <c r="E11" s="47">
        <f>IF(200702.08197="","-",200702.08197/2807357.90586*100)</f>
        <v>7.149144808043895</v>
      </c>
      <c r="F11" s="47">
        <f>IF(OR(2181405.29478="",155441.96825="",195710.92908=""),"-",(195710.92908-155441.96825)/2181405.29478*100)</f>
        <v>1.8460100434505096</v>
      </c>
      <c r="G11" s="47">
        <f>IF(OR(2734888.97913="",200702.08197="",195710.92908=""),"-",(200702.08197-195710.92908)/2734888.97913*100)</f>
        <v>0.1824992871040689</v>
      </c>
    </row>
    <row r="12" spans="1:7" ht="15.75">
      <c r="A12" s="39" t="s">
        <v>5</v>
      </c>
      <c r="B12" s="47">
        <f>IF(94012.78374="","-",94012.78374)</f>
        <v>94012.78374</v>
      </c>
      <c r="C12" s="47">
        <f>IF(OR(96177.6956="",94012.78374=""),"-",94012.78374/96177.6956*100)</f>
        <v>97.74904997827791</v>
      </c>
      <c r="D12" s="47">
        <f>IF(96177.6956="","-",96177.6956/2734888.97913*100)</f>
        <v>3.5166946934202516</v>
      </c>
      <c r="E12" s="47">
        <f>IF(94012.78374="","-",94012.78374/2807357.90586*100)</f>
        <v>3.3487993655443917</v>
      </c>
      <c r="F12" s="47">
        <f>IF(OR(2181405.29478="",69828.991="",96177.6956=""),"-",(96177.6956-69828.991)/2181405.29478*100)</f>
        <v>1.2078775394490524</v>
      </c>
      <c r="G12" s="47">
        <f>IF(OR(2734888.97913="",94012.78374="",96177.6956=""),"-",(94012.78374-96177.6956)/2734888.97913*100)</f>
        <v>-0.07915903996544281</v>
      </c>
    </row>
    <row r="13" spans="1:7" s="9" customFormat="1" ht="15.75">
      <c r="A13" s="39" t="s">
        <v>169</v>
      </c>
      <c r="B13" s="47">
        <f>IF(76446.41236="","-",76446.41236)</f>
        <v>76446.41236</v>
      </c>
      <c r="C13" s="47">
        <f>IF(OR(76456.96038="",76446.41236=""),"-",76446.41236/76456.96038*100)</f>
        <v>99.9862039767896</v>
      </c>
      <c r="D13" s="47">
        <f>IF(76456.96038="","-",76456.96038/2734888.97913*100)</f>
        <v>2.7956147749851934</v>
      </c>
      <c r="E13" s="47">
        <f>IF(76446.41236="","-",76446.41236/2807357.90586*100)</f>
        <v>2.7230732569020826</v>
      </c>
      <c r="F13" s="47">
        <f>IF(OR(2181405.29478="",59072.95082="",76456.96038=""),"-",(76456.96038-59072.95082)/2181405.29478*100)</f>
        <v>0.7969179134936144</v>
      </c>
      <c r="G13" s="47">
        <f>IF(OR(2734888.97913="",76446.41236="",76456.96038=""),"-",(76446.41236-76456.96038)/2734888.97913*100)</f>
        <v>-0.0003856836632307263</v>
      </c>
    </row>
    <row r="14" spans="1:7" s="9" customFormat="1" ht="15.75">
      <c r="A14" s="39" t="s">
        <v>50</v>
      </c>
      <c r="B14" s="47">
        <f>IF(56945.09501="","-",56945.09501)</f>
        <v>56945.09501</v>
      </c>
      <c r="C14" s="47">
        <f>IF(OR(61500.5958="",56945.09501=""),"-",56945.09501/61500.5958*100)</f>
        <v>92.59275340223614</v>
      </c>
      <c r="D14" s="47">
        <f>IF(61500.5958="","-",61500.5958/2734888.97913*100)</f>
        <v>2.248741951476365</v>
      </c>
      <c r="E14" s="47">
        <f>IF(56945.09501="","-",56945.09501/2807357.90586*100)</f>
        <v>2.028423055397903</v>
      </c>
      <c r="F14" s="47">
        <f>IF(OR(2181405.29478="",45191.89129="",61500.5958=""),"-",(61500.5958-45191.89129)/2181405.29478*100)</f>
        <v>0.7476237702835856</v>
      </c>
      <c r="G14" s="47">
        <f>IF(OR(2734888.97913="",56945.09501="",61500.5958=""),"-",(56945.09501-61500.5958)/2734888.97913*100)</f>
        <v>-0.16656986169322177</v>
      </c>
    </row>
    <row r="15" spans="1:7" s="9" customFormat="1" ht="15.75">
      <c r="A15" s="39" t="s">
        <v>7</v>
      </c>
      <c r="B15" s="47">
        <f>IF(53721.59263="","-",53721.59263)</f>
        <v>53721.59263</v>
      </c>
      <c r="C15" s="47">
        <f>IF(OR(40443.61334="",53721.59263=""),"-",53721.59263/40443.61334*100)</f>
        <v>132.83084322455346</v>
      </c>
      <c r="D15" s="47">
        <f>IF(40443.61334="","-",40443.61334/2734888.97913*100)</f>
        <v>1.4788027466060283</v>
      </c>
      <c r="E15" s="47">
        <f>IF(53721.59263="","-",53721.59263/2807357.90586*100)</f>
        <v>1.913599705896532</v>
      </c>
      <c r="F15" s="47">
        <f>IF(OR(2181405.29478="",29595.81654="",40443.61334=""),"-",(40443.61334-29595.81654)/2181405.29478*100)</f>
        <v>0.4972847927873958</v>
      </c>
      <c r="G15" s="47">
        <f>IF(OR(2734888.97913="",53721.59263="",40443.61334=""),"-",(53721.59263-40443.61334)/2734888.97913*100)</f>
        <v>0.48550341133861585</v>
      </c>
    </row>
    <row r="16" spans="1:7" s="9" customFormat="1" ht="15.75">
      <c r="A16" s="39" t="s">
        <v>8</v>
      </c>
      <c r="B16" s="47">
        <f>IF(47039.67331="","-",47039.67331)</f>
        <v>47039.67331</v>
      </c>
      <c r="C16" s="47">
        <f>IF(OR(55640.58105="",47039.67331=""),"-",47039.67331/55640.58105*100)</f>
        <v>84.54202386515156</v>
      </c>
      <c r="D16" s="47">
        <f>IF(55640.58105="","-",55640.58105/2734888.97913*100)</f>
        <v>2.0344731166272028</v>
      </c>
      <c r="E16" s="47">
        <f>IF(47039.67331="","-",47039.67331/2807357.90586*100)</f>
        <v>1.6755851903247072</v>
      </c>
      <c r="F16" s="47">
        <f>IF(OR(2181405.29478="",35566.9506="",55640.58105=""),"-",(55640.58105-35566.9506)/2181405.29478*100)</f>
        <v>0.9202155371143205</v>
      </c>
      <c r="G16" s="47">
        <f>IF(OR(2734888.97913="",47039.67331="",55640.58105=""),"-",(47039.67331-55640.58105)/2734888.97913*100)</f>
        <v>-0.31448836883814024</v>
      </c>
    </row>
    <row r="17" spans="1:7" s="9" customFormat="1" ht="15.75">
      <c r="A17" s="39" t="s">
        <v>48</v>
      </c>
      <c r="B17" s="47">
        <f>IF(41250.60928="","-",41250.60928)</f>
        <v>41250.60928</v>
      </c>
      <c r="C17" s="47">
        <f>IF(OR(39979.49706="",41250.60928=""),"-",41250.60928/39979.49706*100)</f>
        <v>103.17941023143024</v>
      </c>
      <c r="D17" s="47">
        <f>IF(39979.49706="","-",39979.49706/2734888.97913*100)</f>
        <v>1.4618325411043904</v>
      </c>
      <c r="E17" s="47">
        <f>IF(41250.60928="","-",41250.60928/2807357.90586*100)</f>
        <v>1.4693747880843635</v>
      </c>
      <c r="F17" s="47">
        <f>IF(OR(2181405.29478="",29393.44766="",39979.49706=""),"-",(39979.49706-29393.44766)/2181405.29478*100)</f>
        <v>0.4852857662595721</v>
      </c>
      <c r="G17" s="47">
        <f>IF(OR(2734888.97913="",41250.60928="",39979.49706=""),"-",(41250.60928-39979.49706)/2734888.97913*100)</f>
        <v>0.04647765337824978</v>
      </c>
    </row>
    <row r="18" spans="1:7" s="9" customFormat="1" ht="15.75">
      <c r="A18" s="39" t="s">
        <v>10</v>
      </c>
      <c r="B18" s="47">
        <f>IF(29757.4943="","-",29757.4943)</f>
        <v>29757.4943</v>
      </c>
      <c r="C18" s="47">
        <f>IF(OR(30633.23569="",29757.4943=""),"-",29757.4943/30633.23569*100)</f>
        <v>97.14120506608486</v>
      </c>
      <c r="D18" s="47">
        <f>IF(30633.23569="","-",30633.23569/2734888.97913*100)</f>
        <v>1.1200906480578525</v>
      </c>
      <c r="E18" s="47">
        <f>IF(29757.4943="","-",29757.4943/2807357.90586*100)</f>
        <v>1.0599822073945413</v>
      </c>
      <c r="F18" s="47">
        <f>IF(OR(2181405.29478="",22513.55893="",30633.23569=""),"-",(30633.23569-22513.55893)/2181405.29478*100)</f>
        <v>0.3722222908062984</v>
      </c>
      <c r="G18" s="47">
        <f>IF(OR(2734888.97913="",29757.4943="",30633.23569=""),"-",(29757.4943-30633.23569)/2734888.97913*100)</f>
        <v>-0.03202109470193508</v>
      </c>
    </row>
    <row r="19" spans="1:7" s="9" customFormat="1" ht="15.75">
      <c r="A19" s="39" t="s">
        <v>170</v>
      </c>
      <c r="B19" s="47">
        <f>IF(27544.75155="","-",27544.75155)</f>
        <v>27544.75155</v>
      </c>
      <c r="C19" s="47">
        <f>IF(OR(29550.85327="",27544.75155=""),"-",27544.75155/29550.85327*100)</f>
        <v>93.21135771725214</v>
      </c>
      <c r="D19" s="47">
        <f>IF(29550.85327="","-",29550.85327/2734888.97913*100)</f>
        <v>1.0805138159356096</v>
      </c>
      <c r="E19" s="47">
        <f>IF(27544.75155="","-",27544.75155/2807357.90586*100)</f>
        <v>0.9811628040907738</v>
      </c>
      <c r="F19" s="47">
        <f>IF(OR(2181405.29478="",28350.55451="",29550.85327=""),"-",(29550.85327-28350.55451)/2181405.29478*100)</f>
        <v>0.055024105922556264</v>
      </c>
      <c r="G19" s="47">
        <f>IF(OR(2734888.97913="",27544.75155="",29550.85327=""),"-",(27544.75155-29550.85327)/2734888.97913*100)</f>
        <v>-0.07335221777953718</v>
      </c>
    </row>
    <row r="20" spans="1:7" s="9" customFormat="1" ht="15.75">
      <c r="A20" s="39" t="s">
        <v>6</v>
      </c>
      <c r="B20" s="47">
        <f>IF(23571.1146="","-",23571.1146)</f>
        <v>23571.1146</v>
      </c>
      <c r="C20" s="47">
        <f>IF(OR(32988.2063="",23571.1146=""),"-",23571.1146/32988.2063*100)</f>
        <v>71.45315627542927</v>
      </c>
      <c r="D20" s="47">
        <f>IF(32988.2063="","-",32988.2063/2734888.97913*100)</f>
        <v>1.2061991017454</v>
      </c>
      <c r="E20" s="47">
        <f>IF(23571.1146="","-",23571.1146/2807357.90586*100)</f>
        <v>0.8396191504759091</v>
      </c>
      <c r="F20" s="47">
        <f>IF(OR(2181405.29478="",31878.79144="",32988.2063=""),"-",(32988.2063-31878.79144)/2181405.29478*100)</f>
        <v>0.05085780540896158</v>
      </c>
      <c r="G20" s="47">
        <f>IF(OR(2734888.97913="",23571.1146="",32988.2063=""),"-",(23571.1146-32988.2063)/2734888.97913*100)</f>
        <v>-0.3443317725824353</v>
      </c>
    </row>
    <row r="21" spans="1:7" s="9" customFormat="1" ht="15.75">
      <c r="A21" s="39" t="s">
        <v>49</v>
      </c>
      <c r="B21" s="47">
        <f>IF(20773.19113="","-",20773.19113)</f>
        <v>20773.19113</v>
      </c>
      <c r="C21" s="47">
        <f>IF(OR(23483.75691="",20773.19113=""),"-",20773.19113/23483.75691*100)</f>
        <v>88.45769954787018</v>
      </c>
      <c r="D21" s="47">
        <f>IF(23483.75691="","-",23483.75691/2734888.97913*100)</f>
        <v>0.8586731340542555</v>
      </c>
      <c r="E21" s="47">
        <f>IF(20773.19113="","-",20773.19113/2807357.90586*100)</f>
        <v>0.73995521150469</v>
      </c>
      <c r="F21" s="47">
        <f>IF(OR(2181405.29478="",17638.07149="",23483.75691=""),"-",(23483.75691-17638.07149)/2181405.29478*100)</f>
        <v>0.26797796053711115</v>
      </c>
      <c r="G21" s="47">
        <f>IF(OR(2734888.97913="",20773.19113="",23483.75691=""),"-",(20773.19113-23483.75691)/2734888.97913*100)</f>
        <v>-0.09911063303426172</v>
      </c>
    </row>
    <row r="22" spans="1:7" s="9" customFormat="1" ht="15.75">
      <c r="A22" s="39" t="s">
        <v>52</v>
      </c>
      <c r="B22" s="47">
        <f>IF(17311.78722="","-",17311.78722)</f>
        <v>17311.78722</v>
      </c>
      <c r="C22" s="47">
        <f>IF(OR(14275.17636="",17311.78722=""),"-",17311.78722/14275.17636*100)</f>
        <v>121.27196738884982</v>
      </c>
      <c r="D22" s="47">
        <f>IF(14275.17636="","-",14275.17636/2734888.97913*100)</f>
        <v>0.5219654789987527</v>
      </c>
      <c r="E22" s="47">
        <f>IF(17311.78722="","-",17311.78722/2807357.90586*100)</f>
        <v>0.6166576475291541</v>
      </c>
      <c r="F22" s="47">
        <f>IF(OR(2181405.29478="",10382.60058="",14275.17636=""),"-",(14275.17636-10382.60058)/2181405.29478*100)</f>
        <v>0.1784434918772201</v>
      </c>
      <c r="G22" s="47">
        <f>IF(OR(2734888.97913="",17311.78722="",14275.17636=""),"-",(17311.78722-14275.17636)/2734888.97913*100)</f>
        <v>0.11103232647366842</v>
      </c>
    </row>
    <row r="23" spans="1:7" s="9" customFormat="1" ht="15.75" customHeight="1">
      <c r="A23" s="39" t="s">
        <v>58</v>
      </c>
      <c r="B23" s="47">
        <f>IF(12130.4513="","-",12130.4513)</f>
        <v>12130.4513</v>
      </c>
      <c r="C23" s="47">
        <f>IF(OR(11677.74745="",12130.4513=""),"-",12130.4513/11677.74745*100)</f>
        <v>103.8766367566889</v>
      </c>
      <c r="D23" s="47">
        <f>IF(11677.74745="","-",11677.74745/2734888.97913*100)</f>
        <v>0.42699164533233924</v>
      </c>
      <c r="E23" s="47">
        <f>IF(12130.4513="","-",12130.4513/2807357.90586*100)</f>
        <v>0.4320949343394812</v>
      </c>
      <c r="F23" s="47">
        <f>IF(OR(2181405.29478="",8399.03573="",11677.74745=""),"-",(11677.74745-8399.03573)/2181405.29478*100)</f>
        <v>0.15030273043921746</v>
      </c>
      <c r="G23" s="47">
        <f>IF(OR(2734888.97913="",12130.4513="",11677.74745=""),"-",(12130.4513-11677.74745)/2734888.97913*100)</f>
        <v>0.016552915070944134</v>
      </c>
    </row>
    <row r="24" spans="1:7" s="9" customFormat="1" ht="15.75">
      <c r="A24" s="39" t="s">
        <v>60</v>
      </c>
      <c r="B24" s="47">
        <f>IF(10767.85225="","-",10767.85225)</f>
        <v>10767.85225</v>
      </c>
      <c r="C24" s="47">
        <f>IF(OR(10482.36584="",10767.85225=""),"-",10767.85225/10482.36584*100)</f>
        <v>102.72349214249519</v>
      </c>
      <c r="D24" s="47">
        <f>IF(10482.36584="","-",10482.36584/2734888.97913*100)</f>
        <v>0.38328304805025626</v>
      </c>
      <c r="E24" s="47">
        <f>IF(10767.85225="","-",10767.85225/2807357.90586*100)</f>
        <v>0.3835582284511529</v>
      </c>
      <c r="F24" s="47">
        <f>IF(OR(2181405.29478="",8311.37004="",10482.36584=""),"-",(10482.36584-8311.37004)/2181405.29478*100)</f>
        <v>0.09952280785212593</v>
      </c>
      <c r="G24" s="47">
        <f>IF(OR(2734888.97913="",10767.85225="",10482.36584=""),"-",(10767.85225-10482.36584)/2734888.97913*100)</f>
        <v>0.010438683697164778</v>
      </c>
    </row>
    <row r="25" spans="1:7" s="9" customFormat="1" ht="15.75">
      <c r="A25" s="39" t="s">
        <v>9</v>
      </c>
      <c r="B25" s="47">
        <f>IF(10475.60672="","-",10475.60672)</f>
        <v>10475.60672</v>
      </c>
      <c r="C25" s="47">
        <f>IF(OR(11674.40881="",10475.60672=""),"-",10475.60672/11674.40881*100)</f>
        <v>89.73136790470163</v>
      </c>
      <c r="D25" s="47">
        <f>IF(11674.40881="","-",11674.40881/2734888.97913*100)</f>
        <v>0.4268695694445983</v>
      </c>
      <c r="E25" s="47">
        <f>IF(10475.60672="","-",10475.60672/2807357.90586*100)</f>
        <v>0.3731482436968052</v>
      </c>
      <c r="F25" s="47">
        <f>IF(OR(2181405.29478="",10628.0025="",11674.40881=""),"-",(11674.40881-10628.0025)/2181405.29478*100)</f>
        <v>0.04796936692617375</v>
      </c>
      <c r="G25" s="47">
        <f>IF(OR(2734888.97913="",10475.60672="",11674.40881=""),"-",(10475.60672-11674.40881)/2734888.97913*100)</f>
        <v>-0.04383366561305</v>
      </c>
    </row>
    <row r="26" spans="1:7" s="9" customFormat="1" ht="15.75">
      <c r="A26" s="39" t="s">
        <v>59</v>
      </c>
      <c r="B26" s="47">
        <f>IF(8584.84942="","-",8584.84942)</f>
        <v>8584.84942</v>
      </c>
      <c r="C26" s="47">
        <f>IF(OR(7966.20164="",8584.84942=""),"-",8584.84942/7966.20164*100)</f>
        <v>107.76590661343089</v>
      </c>
      <c r="D26" s="47">
        <f>IF(7966.20164="","-",7966.20164/2734888.97913*100)</f>
        <v>0.29128062238687813</v>
      </c>
      <c r="E26" s="47">
        <f>IF(8584.84942="","-",8584.84942/2807357.90586*100)</f>
        <v>0.30579818134624825</v>
      </c>
      <c r="F26" s="47">
        <f>IF(OR(2181405.29478="",5762.36767="",7966.20164=""),"-",(7966.20164-5762.36767)/2181405.29478*100)</f>
        <v>0.10102817551940811</v>
      </c>
      <c r="G26" s="47">
        <f>IF(OR(2734888.97913="",8584.84942="",7966.20164=""),"-",(8584.84942-7966.20164)/2734888.97913*100)</f>
        <v>0.02262058111758523</v>
      </c>
    </row>
    <row r="27" spans="1:7" s="9" customFormat="1" ht="15.75">
      <c r="A27" s="39" t="s">
        <v>51</v>
      </c>
      <c r="B27" s="47">
        <f>IF(7881.52531="","-",7881.52531)</f>
        <v>7881.52531</v>
      </c>
      <c r="C27" s="47">
        <f>IF(OR(6694.36201="",7881.52531=""),"-",7881.52531/6694.36201*100)</f>
        <v>117.7337780392907</v>
      </c>
      <c r="D27" s="47">
        <f>IF(6694.36201="","-",6694.36201/2734888.97913*100)</f>
        <v>0.24477637158527563</v>
      </c>
      <c r="E27" s="47">
        <f>IF(7881.52531="","-",7881.52531/2807357.90586*100)</f>
        <v>0.28074529768891693</v>
      </c>
      <c r="F27" s="47">
        <f>IF(OR(2181405.29478="",5928.33904="",6694.36201=""),"-",(6694.36201-5928.33904)/2181405.29478*100)</f>
        <v>0.03511603147902211</v>
      </c>
      <c r="G27" s="47">
        <f>IF(OR(2734888.97913="",7881.52531="",6694.36201=""),"-",(7881.52531-6694.36201)/2734888.97913*100)</f>
        <v>0.04340809842956224</v>
      </c>
    </row>
    <row r="28" spans="1:7" s="9" customFormat="1" ht="15.75">
      <c r="A28" s="39" t="s">
        <v>57</v>
      </c>
      <c r="B28" s="47">
        <f>IF(6595.25957="","-",6595.25957)</f>
        <v>6595.25957</v>
      </c>
      <c r="C28" s="47">
        <f>IF(OR(5953.46187="",6595.25957=""),"-",6595.25957/5953.46187*100)</f>
        <v>110.78024373069513</v>
      </c>
      <c r="D28" s="47">
        <f>IF(5953.46187="","-",5953.46187/2734888.97913*100)</f>
        <v>0.21768568725937334</v>
      </c>
      <c r="E28" s="47">
        <f>IF(6595.25957="","-",6595.25957/2807357.90586*100)</f>
        <v>0.23492763627442162</v>
      </c>
      <c r="F28" s="47">
        <f>IF(OR(2181405.29478="",6194.66348="",5953.46187=""),"-",(5953.46187-6194.66348)/2181405.29478*100)</f>
        <v>-0.011057166248618912</v>
      </c>
      <c r="G28" s="47">
        <f>IF(OR(2734888.97913="",6595.25957="",5953.46187=""),"-",(6595.25957-5953.46187)/2734888.97913*100)</f>
        <v>0.023467047653399204</v>
      </c>
    </row>
    <row r="29" spans="1:7" s="9" customFormat="1" ht="15.75">
      <c r="A29" s="39" t="s">
        <v>56</v>
      </c>
      <c r="B29" s="47">
        <f>IF(6172.26052="","-",6172.26052)</f>
        <v>6172.26052</v>
      </c>
      <c r="C29" s="47">
        <f>IF(OR(8113.60165="",6172.26052=""),"-",6172.26052/8113.60165*100)</f>
        <v>76.07300415099871</v>
      </c>
      <c r="D29" s="47">
        <f>IF(8113.60165="","-",8113.60165/2734888.97913*100)</f>
        <v>0.2966702382405677</v>
      </c>
      <c r="E29" s="47">
        <f>IF(6172.26052="","-",6172.26052/2807357.90586*100)</f>
        <v>0.21986012211397046</v>
      </c>
      <c r="F29" s="47">
        <f>IF(OR(2181405.29478="",7067.89353="",8113.60165=""),"-",(8113.60165-7067.89353)/2181405.29478*100)</f>
        <v>0.04793736049427997</v>
      </c>
      <c r="G29" s="47">
        <f>IF(OR(2734888.97913="",6172.26052="",8113.60165=""),"-",(6172.26052-8113.60165)/2734888.97913*100)</f>
        <v>-0.07098427558904286</v>
      </c>
    </row>
    <row r="30" spans="1:7" s="9" customFormat="1" ht="15.75">
      <c r="A30" s="39" t="s">
        <v>53</v>
      </c>
      <c r="B30" s="47">
        <f>IF(5110.16333="","-",5110.16333)</f>
        <v>5110.16333</v>
      </c>
      <c r="C30" s="47">
        <f>IF(OR(5506.66131="",5110.16333=""),"-",5110.16333/5506.66131*100)</f>
        <v>92.79966648248428</v>
      </c>
      <c r="D30" s="47">
        <f>IF(5506.66131="","-",5506.66131/2734888.97913*100)</f>
        <v>0.20134862336356096</v>
      </c>
      <c r="E30" s="47">
        <f>IF(5110.16333="","-",5110.16333/2807357.90586*100)</f>
        <v>0.18202749707592286</v>
      </c>
      <c r="F30" s="47">
        <f>IF(OR(2181405.29478="",3401.25748="",5506.66131=""),"-",(5506.66131-3401.25748)/2181405.29478*100)</f>
        <v>0.09651594020781613</v>
      </c>
      <c r="G30" s="47">
        <f>IF(OR(2734888.97913="",5110.16333="",5506.66131=""),"-",(5110.16333-5506.66131)/2734888.97913*100)</f>
        <v>-0.01449777241510296</v>
      </c>
    </row>
    <row r="31" spans="1:7" s="9" customFormat="1" ht="15.75">
      <c r="A31" s="39" t="s">
        <v>61</v>
      </c>
      <c r="B31" s="47">
        <f>IF(2950.54452="","-",2950.54452)</f>
        <v>2950.54452</v>
      </c>
      <c r="C31" s="47">
        <f>IF(OR(2915.63214="",2950.54452=""),"-",2950.54452/2915.63214*100)</f>
        <v>101.19742060464458</v>
      </c>
      <c r="D31" s="47">
        <f>IF(2915.63214="","-",2915.63214/2734888.97913*100)</f>
        <v>0.10660879334588187</v>
      </c>
      <c r="E31" s="47">
        <f>IF(2950.54452="","-",2950.54452/2807357.90586*100)</f>
        <v>0.10510040468445853</v>
      </c>
      <c r="F31" s="47">
        <f>IF(OR(2181405.29478="",2919.80039="",2915.63214=""),"-",(2915.63214-2919.80039)/2181405.29478*100)</f>
        <v>-0.0001910809518054321</v>
      </c>
      <c r="G31" s="47">
        <f>IF(OR(2734888.97913="",2950.54452="",2915.63214=""),"-",(2950.54452-2915.63214)/2734888.97913*100)</f>
        <v>0.0012765556578865512</v>
      </c>
    </row>
    <row r="32" spans="1:7" s="9" customFormat="1" ht="15.75">
      <c r="A32" s="39" t="s">
        <v>171</v>
      </c>
      <c r="B32" s="47">
        <f>IF(2668.92383="","-",2668.92383)</f>
        <v>2668.92383</v>
      </c>
      <c r="C32" s="47" t="s">
        <v>146</v>
      </c>
      <c r="D32" s="47">
        <f>IF(1731.87609="","-",1731.87609/2734888.97913*100)</f>
        <v>0.06332527949821679</v>
      </c>
      <c r="E32" s="47">
        <f>IF(2668.92383="","-",2668.92383/2807357.90586*100)</f>
        <v>0.09506888396484693</v>
      </c>
      <c r="F32" s="47">
        <f>IF(OR(2181405.29478="",1014.39371="",1731.87609=""),"-",(1731.87609-1014.39371)/2181405.29478*100)</f>
        <v>0.03289083334109903</v>
      </c>
      <c r="G32" s="47">
        <f>IF(OR(2734888.97913="",2668.92383="",1731.87609=""),"-",(2668.92383-1731.87609)/2734888.97913*100)</f>
        <v>0.03426273414206693</v>
      </c>
    </row>
    <row r="33" spans="1:7" s="9" customFormat="1" ht="15.75">
      <c r="A33" s="39" t="s">
        <v>54</v>
      </c>
      <c r="B33" s="47">
        <f>IF(2343.87571="","-",2343.87571)</f>
        <v>2343.87571</v>
      </c>
      <c r="C33" s="47">
        <f>IF(OR(2410.09462="",2343.87571=""),"-",2343.87571/2410.09462*100)</f>
        <v>97.25243525916008</v>
      </c>
      <c r="D33" s="47">
        <f>IF(2410.09462="","-",2410.09462/2734888.97913*100)</f>
        <v>0.08812403861332167</v>
      </c>
      <c r="E33" s="47">
        <f>IF(2343.87571="","-",2343.87571/2807357.90586*100)</f>
        <v>0.08349044862101336</v>
      </c>
      <c r="F33" s="47">
        <f>IF(OR(2181405.29478="",2430.86959="",2410.09462=""),"-",(2410.09462-2430.86959)/2181405.29478*100)</f>
        <v>-0.0009523663507058253</v>
      </c>
      <c r="G33" s="47">
        <f>IF(OR(2734888.97913="",2343.87571="",2410.09462=""),"-",(2343.87571-2410.09462)/2734888.97913*100)</f>
        <v>-0.00242126501314379</v>
      </c>
    </row>
    <row r="34" spans="1:7" s="9" customFormat="1" ht="15.75">
      <c r="A34" s="39" t="s">
        <v>62</v>
      </c>
      <c r="B34" s="47">
        <f>IF(773.82471="","-",773.82471)</f>
        <v>773.82471</v>
      </c>
      <c r="C34" s="47" t="s">
        <v>146</v>
      </c>
      <c r="D34" s="47">
        <f>IF(515.20747="","-",515.20747/2734888.97913*100)</f>
        <v>0.018838332156499216</v>
      </c>
      <c r="E34" s="47">
        <f>IF(773.82471="","-",773.82471/2807357.90586*100)</f>
        <v>0.0275641630297562</v>
      </c>
      <c r="F34" s="47">
        <f>IF(OR(2181405.29478="",1178.75189="",515.20747=""),"-",(515.20747-1178.75189)/2181405.29478*100)</f>
        <v>-0.030418208921919765</v>
      </c>
      <c r="G34" s="47">
        <f>IF(OR(2734888.97913="",773.82471="",515.20747=""),"-",(773.82471-515.20747)/2734888.97913*100)</f>
        <v>0.009456224438122135</v>
      </c>
    </row>
    <row r="35" spans="1:7" s="9" customFormat="1" ht="15.75">
      <c r="A35" s="39" t="s">
        <v>55</v>
      </c>
      <c r="B35" s="47">
        <f>IF(365.41995="","-",365.41995)</f>
        <v>365.41995</v>
      </c>
      <c r="C35" s="47">
        <f>IF(OR(474.4256="",365.41995=""),"-",365.41995/474.4256*100)</f>
        <v>77.02365766096939</v>
      </c>
      <c r="D35" s="47">
        <f>IF(474.4256="","-",474.4256/2734888.97913*100)</f>
        <v>0.01734716120545852</v>
      </c>
      <c r="E35" s="47">
        <f>IF(365.41995="","-",365.41995/2807357.90586*100)</f>
        <v>0.013016507415646316</v>
      </c>
      <c r="F35" s="47">
        <f>IF(OR(2181405.29478="",481.69201="",474.4256=""),"-",(474.4256-481.69201)/2181405.29478*100)</f>
        <v>-0.00033310682876713386</v>
      </c>
      <c r="G35" s="47">
        <f>IF(OR(2734888.97913="",365.41995="",474.4256=""),"-",(365.41995-474.4256)/2734888.97913*100)</f>
        <v>-0.00398574314466966</v>
      </c>
    </row>
    <row r="36" spans="1:7" s="9" customFormat="1" ht="15.75">
      <c r="A36" s="39" t="s">
        <v>63</v>
      </c>
      <c r="B36" s="47">
        <f>IF(48.47985="","-",48.47985)</f>
        <v>48.47985</v>
      </c>
      <c r="C36" s="47">
        <f>IF(OR(58.31718="",48.47985=""),"-",48.47985/58.31718*100)</f>
        <v>83.13133453983886</v>
      </c>
      <c r="D36" s="47">
        <f>IF(58.31718="","-",58.31718/2734888.97913*100)</f>
        <v>0.0021323417676190784</v>
      </c>
      <c r="E36" s="47">
        <f>IF(48.47985="","-",48.47985/2807357.90586*100)</f>
        <v>0.0017268852645686724</v>
      </c>
      <c r="F36" s="47">
        <f>IF(OR(2181405.29478="",220.59928="",58.31718=""),"-",(58.31718-220.59928)/2181405.29478*100)</f>
        <v>-0.0074393374027436985</v>
      </c>
      <c r="G36" s="47">
        <f>IF(OR(2734888.97913="",48.47985="",58.31718=""),"-",(48.47985-58.31718)/2734888.97913*100)</f>
        <v>-0.00035969759924694896</v>
      </c>
    </row>
    <row r="37" spans="1:7" s="9" customFormat="1" ht="15.75">
      <c r="A37" s="26" t="s">
        <v>273</v>
      </c>
      <c r="B37" s="46">
        <f>IF(695762.88358="","-",695762.88358)</f>
        <v>695762.88358</v>
      </c>
      <c r="C37" s="46">
        <f>IF(637462.32109="","-",695762.88358/637462.32109*100)</f>
        <v>109.14572682355745</v>
      </c>
      <c r="D37" s="46">
        <f>IF(637462.32109="","-",637462.32109/2734888.97913*100)</f>
        <v>23.30852645041497</v>
      </c>
      <c r="E37" s="46">
        <f>IF(695762.88358="","-",695762.88358/2807357.90586*100)</f>
        <v>24.783547624180166</v>
      </c>
      <c r="F37" s="46">
        <f>IF(2181405.29478="","-",(637462.32109-542806.5679)/2181405.29478*100)</f>
        <v>4.339209839478555</v>
      </c>
      <c r="G37" s="46">
        <f>IF(2734888.97913="","-",(695762.88358-637462.32109)/2734888.97913*100)</f>
        <v>2.1317341557515848</v>
      </c>
    </row>
    <row r="38" spans="1:7" s="9" customFormat="1" ht="15.75">
      <c r="A38" s="39" t="s">
        <v>172</v>
      </c>
      <c r="B38" s="47">
        <f>IF(348459.34775="","-",348459.34775)</f>
        <v>348459.34775</v>
      </c>
      <c r="C38" s="47">
        <f>IF(OR(323555.32502="",348459.34775=""),"-",348459.34775/323555.32502*100)</f>
        <v>107.69699053120534</v>
      </c>
      <c r="D38" s="47">
        <f>IF(323555.32502="","-",323555.32502/2734888.97913*100)</f>
        <v>11.83065665513511</v>
      </c>
      <c r="E38" s="47">
        <f>IF(348459.34775="","-",348459.34775/2807357.90586*100)</f>
        <v>12.412359215853304</v>
      </c>
      <c r="F38" s="47">
        <f>IF(OR(2181405.29478="",261532.64482="",323555.32502=""),"-",(323555.32502-261532.64482)/2181405.29478*100)</f>
        <v>2.8432442310659716</v>
      </c>
      <c r="G38" s="47">
        <f>IF(OR(2734888.97913="",348459.34775="",323555.32502=""),"-",(348459.34775-323555.32502)/2734888.97913*100)</f>
        <v>0.9106045225251624</v>
      </c>
    </row>
    <row r="39" spans="1:7" s="9" customFormat="1" ht="15.75">
      <c r="A39" s="39" t="s">
        <v>12</v>
      </c>
      <c r="B39" s="47">
        <f>IF(272355.92186="","-",272355.92186)</f>
        <v>272355.92186</v>
      </c>
      <c r="C39" s="47">
        <f>IF(OR(255762.11953="",272355.92186=""),"-",272355.92186/255762.11953*100)</f>
        <v>106.4879828023374</v>
      </c>
      <c r="D39" s="47">
        <f>IF(255762.11953="","-",255762.11953/2734888.97913*100)</f>
        <v>9.35182822709538</v>
      </c>
      <c r="E39" s="47">
        <f>IF(272355.92186="","-",272355.92186/2807357.90586*100)</f>
        <v>9.701503370535404</v>
      </c>
      <c r="F39" s="47">
        <f>IF(OR(2181405.29478="",224670.81425="",255762.11953=""),"-",(255762.11953-224670.81425)/2181405.29478*100)</f>
        <v>1.4252878799918578</v>
      </c>
      <c r="G39" s="47">
        <f>IF(OR(2734888.97913="",272355.92186="",255762.11953=""),"-",(272355.92186-255762.11953)/2734888.97913*100)</f>
        <v>0.6067450070780822</v>
      </c>
    </row>
    <row r="40" spans="1:7" s="9" customFormat="1" ht="15.75">
      <c r="A40" s="39" t="s">
        <v>11</v>
      </c>
      <c r="B40" s="47">
        <f>IF(63429.98616="","-",63429.98616)</f>
        <v>63429.98616</v>
      </c>
      <c r="C40" s="47">
        <f>IF(OR(49934.33624="",63429.98616=""),"-",63429.98616/49934.33624*100)</f>
        <v>127.02679345758337</v>
      </c>
      <c r="D40" s="47">
        <f>IF(49934.33624="","-",49934.33624/2734888.97913*100)</f>
        <v>1.8258268112910636</v>
      </c>
      <c r="E40" s="47">
        <f>IF(63429.98616="","-",63429.98616/2807357.90586*100)</f>
        <v>2.259419293407443</v>
      </c>
      <c r="F40" s="47">
        <f>IF(OR(2181405.29478="",53304.02259="",49934.33624=""),"-",(49934.33624-53304.02259)/2181405.29478*100)</f>
        <v>-0.15447319019824074</v>
      </c>
      <c r="G40" s="47">
        <f>IF(OR(2734888.97913="",63429.98616="",49934.33624=""),"-",(63429.98616-49934.33624)/2734888.97913*100)</f>
        <v>0.49346244118081634</v>
      </c>
    </row>
    <row r="41" spans="1:7" s="9" customFormat="1" ht="15.75">
      <c r="A41" s="39" t="s">
        <v>15</v>
      </c>
      <c r="B41" s="47">
        <f>IF(4303.80562="","-",4303.80562)</f>
        <v>4303.80562</v>
      </c>
      <c r="C41" s="47" t="s">
        <v>104</v>
      </c>
      <c r="D41" s="47">
        <f>IF(2028.3148="","-",2028.3148/2734888.97913*100)</f>
        <v>0.07416442917712991</v>
      </c>
      <c r="E41" s="47">
        <f>IF(4303.80562="","-",4303.80562/2807357.90586*100)</f>
        <v>0.15330448643603145</v>
      </c>
      <c r="F41" s="47">
        <f>IF(OR(2181405.29478="",2074.78415="",2028.3148=""),"-",(2028.3148-2074.78415)/2181405.29478*100)</f>
        <v>-0.002130248336299486</v>
      </c>
      <c r="G41" s="47">
        <f>IF(OR(2734888.97913="",4303.80562="",2028.3148=""),"-",(4303.80562-2028.3148)/2734888.97913*100)</f>
        <v>0.0832023104910043</v>
      </c>
    </row>
    <row r="42" spans="1:7" s="9" customFormat="1" ht="15.75">
      <c r="A42" s="39" t="s">
        <v>13</v>
      </c>
      <c r="B42" s="47">
        <f>IF(4278.66319="","-",4278.66319)</f>
        <v>4278.66319</v>
      </c>
      <c r="C42" s="47" t="s">
        <v>166</v>
      </c>
      <c r="D42" s="47">
        <f>IF(1652.28934="","-",1652.28934/2734888.97913*100)</f>
        <v>0.06041522535681184</v>
      </c>
      <c r="E42" s="47">
        <f>IF(4278.66319="","-",4278.66319/2807357.90586*100)</f>
        <v>0.15240889596117543</v>
      </c>
      <c r="F42" s="47">
        <f>IF(OR(2181405.29478="",785.04837="",1652.28934=""),"-",(1652.28934-785.04837)/2181405.29478*100)</f>
        <v>0.0397560678923475</v>
      </c>
      <c r="G42" s="47">
        <f>IF(OR(2734888.97913="",4278.66319="",1652.28934=""),"-",(4278.66319-1652.28934)/2734888.97913*100)</f>
        <v>0.09603219253292981</v>
      </c>
    </row>
    <row r="43" spans="1:7" s="9" customFormat="1" ht="15.75">
      <c r="A43" s="39" t="s">
        <v>16</v>
      </c>
      <c r="B43" s="47">
        <f>IF(1964.37546="","-",1964.37546)</f>
        <v>1964.37546</v>
      </c>
      <c r="C43" s="47">
        <f>IF(OR(3601.01784="",1964.37546=""),"-",1964.37546/3601.01784*100)</f>
        <v>54.550561737844646</v>
      </c>
      <c r="D43" s="47">
        <f>IF(3601.01784="","-",3601.01784/2734888.97913*100)</f>
        <v>0.1316696168465868</v>
      </c>
      <c r="E43" s="47">
        <f>IF(1964.37546="","-",1964.37546/2807357.90586*100)</f>
        <v>0.06997239133277657</v>
      </c>
      <c r="F43" s="47">
        <f>IF(OR(2181405.29478="",4.47522="",3601.01784=""),"-",(3601.01784-4.47522)/2181405.29478*100)</f>
        <v>0.1648727372490732</v>
      </c>
      <c r="G43" s="47">
        <f>IF(OR(2734888.97913="",1964.37546="",3601.01784=""),"-",(1964.37546-3601.01784)/2734888.97913*100)</f>
        <v>-0.05984310121870596</v>
      </c>
    </row>
    <row r="44" spans="1:7" s="9" customFormat="1" ht="15.75">
      <c r="A44" s="39" t="s">
        <v>17</v>
      </c>
      <c r="B44" s="47">
        <f>IF(523.43224="","-",523.43224)</f>
        <v>523.43224</v>
      </c>
      <c r="C44" s="47">
        <f>IF(OR(535.99321="",523.43224=""),"-",523.43224/535.99321*100)</f>
        <v>97.65650576058603</v>
      </c>
      <c r="D44" s="47">
        <f>IF(535.99321="","-",535.99321/2734888.97913*100)</f>
        <v>0.019598353501373417</v>
      </c>
      <c r="E44" s="47">
        <f>IF(523.43224="","-",523.43224/2807357.90586*100)</f>
        <v>0.018645012768318647</v>
      </c>
      <c r="F44" s="47">
        <f>IF(OR(2181405.29478="",331.79106="",535.99321=""),"-",(535.99321-331.79106)/2181405.29478*100)</f>
        <v>0.009361036689910219</v>
      </c>
      <c r="G44" s="47">
        <f>IF(OR(2734888.97913="",523.43224="",535.99321=""),"-",(523.43224-535.99321)/2734888.97913*100)</f>
        <v>-0.00045928628532467116</v>
      </c>
    </row>
    <row r="45" spans="1:7" s="9" customFormat="1" ht="15.75">
      <c r="A45" s="39" t="s">
        <v>14</v>
      </c>
      <c r="B45" s="47">
        <f>IF(362.04084="","-",362.04084)</f>
        <v>362.04084</v>
      </c>
      <c r="C45" s="47">
        <f>IF(OR(334.02105="",362.04084=""),"-",362.04084/334.02105*100)</f>
        <v>108.3886299980196</v>
      </c>
      <c r="D45" s="47">
        <f>IF(334.02105="","-",334.02105/2734888.97913*100)</f>
        <v>0.012213331237535499</v>
      </c>
      <c r="E45" s="47">
        <f>IF(362.04084="","-",362.04084/2807357.90586*100)</f>
        <v>0.012896141216774896</v>
      </c>
      <c r="F45" s="47">
        <f>IF(OR(2181405.29478="",76.96647="",334.02105=""),"-",(334.02105-76.96647)/2181405.29478*100)</f>
        <v>0.011783898233634963</v>
      </c>
      <c r="G45" s="47">
        <f>IF(OR(2734888.97913="",362.04084="",334.02105=""),"-",(362.04084-334.02105)/2734888.97913*100)</f>
        <v>0.0010245311679493996</v>
      </c>
    </row>
    <row r="46" spans="1:7" s="9" customFormat="1" ht="15.75">
      <c r="A46" s="39" t="s">
        <v>147</v>
      </c>
      <c r="B46" s="47">
        <f>IF(85.24136="","-",85.24136)</f>
        <v>85.24136</v>
      </c>
      <c r="C46" s="47">
        <f>IF(OR(58.69841="",85.24136=""),"-",85.24136/58.69841*100)</f>
        <v>145.21919758984953</v>
      </c>
      <c r="D46" s="47">
        <f>IF(58.69841="","-",58.69841/2734888.97913*100)</f>
        <v>0.0021462812731313377</v>
      </c>
      <c r="E46" s="47">
        <f>IF(85.24136="","-",85.24136/2807357.90586*100)</f>
        <v>0.0030363552798903758</v>
      </c>
      <c r="F46" s="47">
        <f>IF(OR(2181405.29478="",23.4488="",58.69841=""),"-",(58.69841-23.4488)/2181405.29478*100)</f>
        <v>0.0016159129201873056</v>
      </c>
      <c r="G46" s="47">
        <f>IF(OR(2734888.97913="",85.24136="",58.69841=""),"-",(85.24136-58.69841)/2734888.97913*100)</f>
        <v>0.0009705311697311976</v>
      </c>
    </row>
    <row r="47" spans="1:7" s="9" customFormat="1" ht="15.75">
      <c r="A47" s="39" t="s">
        <v>18</v>
      </c>
      <c r="B47" s="47">
        <f>IF(0.0691="","-",0.0691)</f>
        <v>0.0691</v>
      </c>
      <c r="C47" s="47">
        <f>IF(OR(0.20565="",0.0691=""),"-",0.0691/0.20565*100)</f>
        <v>33.60077802090931</v>
      </c>
      <c r="D47" s="47">
        <f>IF(0.20565="","-",0.20565/2734888.97913*100)</f>
        <v>7.519500848821281E-06</v>
      </c>
      <c r="E47" s="47">
        <f>IF(0.0691="","-",0.0691/2807357.90586*100)</f>
        <v>2.4613890468245105E-06</v>
      </c>
      <c r="F47" s="47">
        <f>IF(OR(2181405.29478="",2.57217="",0.20565=""),"-",(0.20565-2.57217)/2181405.29478*100)</f>
        <v>-0.00010848602988463312</v>
      </c>
      <c r="G47" s="47">
        <f>IF(OR(2734888.97913="",0.0691="",0.20565=""),"-",(0.0691-0.20565)/2734888.97913*100)</f>
        <v>-4.9928900603284515E-06</v>
      </c>
    </row>
    <row r="48" spans="1:7" s="9" customFormat="1" ht="15.75">
      <c r="A48" s="26" t="s">
        <v>245</v>
      </c>
      <c r="B48" s="46">
        <f>IF(708782.3767="","-",708782.3767)</f>
        <v>708782.3767</v>
      </c>
      <c r="C48" s="46">
        <f>IF(701764.57213="","-",708782.3767/701764.57213*100)</f>
        <v>101.00002263561119</v>
      </c>
      <c r="D48" s="46">
        <f>IF(701764.57213="","-",701764.57213/2734888.97913*100)</f>
        <v>25.659709680545774</v>
      </c>
      <c r="E48" s="46">
        <f>IF(708782.3767="","-",708782.3767/2807357.90586*100)</f>
        <v>25.247310833453323</v>
      </c>
      <c r="F48" s="46">
        <f>IF(2181405.29478="","-",(701764.57213-565770.6001)/2181405.29478*100)</f>
        <v>6.234236817680195</v>
      </c>
      <c r="G48" s="46">
        <f>IF(2734888.97913="","-",(708782.3767-701764.57213)/2734888.97913*100)</f>
        <v>0.2566029050375742</v>
      </c>
    </row>
    <row r="49" spans="1:7" s="9" customFormat="1" ht="15.75">
      <c r="A49" s="39" t="s">
        <v>67</v>
      </c>
      <c r="B49" s="47">
        <f>IF(277760.40912="","-",277760.40912)</f>
        <v>277760.40912</v>
      </c>
      <c r="C49" s="47">
        <f>IF(OR(285619.72909="",277760.40912=""),"-",277760.40912/285619.72909*100)</f>
        <v>97.2483273494306</v>
      </c>
      <c r="D49" s="47">
        <f>IF(285619.72909="","-",285619.72909/2734888.97913*100)</f>
        <v>10.443558450436951</v>
      </c>
      <c r="E49" s="47">
        <f>IF(277760.40912="","-",277760.40912/2807357.90586*100)</f>
        <v>9.894014886388756</v>
      </c>
      <c r="F49" s="47">
        <f>IF(OR(2181405.29478="",219548.50487="",285619.72909=""),"-",(285619.72909-219548.50487)/2181405.29478*100)</f>
        <v>3.028837620322335</v>
      </c>
      <c r="G49" s="47">
        <f>IF(OR(2734888.97913="",277760.40912="",285619.72909=""),"-",(277760.40912-285619.72909)/2734888.97913*100)</f>
        <v>-0.2873725416269034</v>
      </c>
    </row>
    <row r="50" spans="1:7" s="9" customFormat="1" ht="15.75">
      <c r="A50" s="39" t="s">
        <v>64</v>
      </c>
      <c r="B50" s="47">
        <f>IF(181709.29784="","-",181709.29784)</f>
        <v>181709.29784</v>
      </c>
      <c r="C50" s="47">
        <f>IF(OR(161328.19409="",181709.29784=""),"-",181709.29784/161328.19409*100)</f>
        <v>112.63331797951572</v>
      </c>
      <c r="D50" s="47">
        <f>IF(161328.19409="","-",161328.19409/2734888.97913*100)</f>
        <v>5.898893714556574</v>
      </c>
      <c r="E50" s="47">
        <f>IF(181709.29784="","-",181709.29784/2807357.90586*100)</f>
        <v>6.472608906071618</v>
      </c>
      <c r="F50" s="47">
        <f>IF(OR(2181405.29478="",146022.77785="",161328.19409=""),"-",(161328.19409-146022.77785)/2181405.29478*100)</f>
        <v>0.701631020912305</v>
      </c>
      <c r="G50" s="47">
        <f>IF(OR(2734888.97913="",181709.29784="",161328.19409=""),"-",(181709.29784-161328.19409)/2734888.97913*100)</f>
        <v>0.7452260002335991</v>
      </c>
    </row>
    <row r="51" spans="1:7" s="9" customFormat="1" ht="15.75">
      <c r="A51" s="39" t="s">
        <v>19</v>
      </c>
      <c r="B51" s="47">
        <f>IF(35933.19788="","-",35933.19788)</f>
        <v>35933.19788</v>
      </c>
      <c r="C51" s="47">
        <f>IF(OR(37761.7023="",35933.19788=""),"-",35933.19788/37761.7023*100)</f>
        <v>95.15778074443429</v>
      </c>
      <c r="D51" s="47">
        <f>IF(37761.7023="","-",37761.7023/2734888.97913*100)</f>
        <v>1.380739861404262</v>
      </c>
      <c r="E51" s="47">
        <f>IF(35933.19788="","-",35933.19788/2807357.90586*100)</f>
        <v>1.279964973649924</v>
      </c>
      <c r="F51" s="47">
        <f>IF(OR(2181405.29478="",39715.04866="",37761.7023=""),"-",(37761.7023-39715.04866)/2181405.29478*100)</f>
        <v>-0.08954532038013609</v>
      </c>
      <c r="G51" s="47">
        <f>IF(OR(2734888.97913="",35933.19788="",37761.7023=""),"-",(35933.19788-37761.7023)/2734888.97913*100)</f>
        <v>-0.0668584514381884</v>
      </c>
    </row>
    <row r="52" spans="1:7" s="9" customFormat="1" ht="15.75">
      <c r="A52" s="39" t="s">
        <v>84</v>
      </c>
      <c r="B52" s="47">
        <f>IF(22738.0202="","-",22738.0202)</f>
        <v>22738.0202</v>
      </c>
      <c r="C52" s="47">
        <f>IF(OR(28182.65967="",22738.0202=""),"-",22738.0202/28182.65967*100)</f>
        <v>80.68088841240298</v>
      </c>
      <c r="D52" s="47">
        <f>IF(28182.65967="","-",28182.65967/2734888.97913*100)</f>
        <v>1.0304864250454961</v>
      </c>
      <c r="E52" s="47">
        <f>IF(22738.0202="","-",22738.0202/2807357.90586*100)</f>
        <v>0.8099437607345076</v>
      </c>
      <c r="F52" s="47">
        <f>IF(OR(2181405.29478="",15309.08871="",28182.65967=""),"-",(28182.65967-15309.08871)/2181405.29478*100)</f>
        <v>0.5901503489886014</v>
      </c>
      <c r="G52" s="47">
        <f>IF(OR(2734888.97913="",22738.0202="",28182.65967=""),"-",(22738.0202-28182.65967)/2734888.97913*100)</f>
        <v>-0.19908082234957872</v>
      </c>
    </row>
    <row r="53" spans="1:7" s="9" customFormat="1" ht="15.75">
      <c r="A53" s="39" t="s">
        <v>80</v>
      </c>
      <c r="B53" s="47">
        <f>IF(20992.05308="","-",20992.05308)</f>
        <v>20992.05308</v>
      </c>
      <c r="C53" s="47">
        <f>IF(OR(17103.4129="",20992.05308=""),"-",20992.05308/17103.4129*100)</f>
        <v>122.73604807845106</v>
      </c>
      <c r="D53" s="47">
        <f>IF(17103.4129="","-",17103.4129/2734888.97913*100)</f>
        <v>0.6253786910736243</v>
      </c>
      <c r="E53" s="47">
        <f>IF(20992.05308="","-",20992.05308/2807357.90586*100)</f>
        <v>0.7477512231761323</v>
      </c>
      <c r="F53" s="47">
        <f>IF(OR(2181405.29478="",14228.72543="",17103.4129=""),"-",(17103.4129-14228.72543)/2181405.29478*100)</f>
        <v>0.13178144734859637</v>
      </c>
      <c r="G53" s="47">
        <f>IF(OR(2734888.97913="",20992.05308="",17103.4129=""),"-",(20992.05308-17103.4129)/2734888.97913*100)</f>
        <v>0.1421863998748872</v>
      </c>
    </row>
    <row r="54" spans="1:7" s="9" customFormat="1" ht="15.75">
      <c r="A54" s="39" t="s">
        <v>77</v>
      </c>
      <c r="B54" s="47">
        <f>IF(18245.04948="","-",18245.04948)</f>
        <v>18245.04948</v>
      </c>
      <c r="C54" s="47">
        <f>IF(OR(14634.47554="",18245.04948=""),"-",18245.04948/14634.47554*100)</f>
        <v>124.67170026101257</v>
      </c>
      <c r="D54" s="47">
        <f>IF(14634.47554="","-",14634.47554/2734888.97913*100)</f>
        <v>0.5351030938248688</v>
      </c>
      <c r="E54" s="47">
        <f>IF(18245.04948="","-",18245.04948/2807357.90586*100)</f>
        <v>0.6499010846431728</v>
      </c>
      <c r="F54" s="47">
        <f>IF(OR(2181405.29478="",14042.21561="",14634.47554=""),"-",(14634.47554-14042.21561)/2181405.29478*100)</f>
        <v>0.02715038472755385</v>
      </c>
      <c r="G54" s="47">
        <f>IF(OR(2734888.97913="",18245.04948="",14634.47554=""),"-",(18245.04948-14634.47554)/2734888.97913*100)</f>
        <v>0.13201903139587653</v>
      </c>
    </row>
    <row r="55" spans="1:7" s="9" customFormat="1" ht="15.75">
      <c r="A55" s="39" t="s">
        <v>174</v>
      </c>
      <c r="B55" s="47">
        <f>IF(16994.86181="","-",16994.86181)</f>
        <v>16994.86181</v>
      </c>
      <c r="C55" s="47">
        <f>IF(OR(15819.31772="",16994.86181=""),"-",16994.86181/15819.31772*100)</f>
        <v>107.43106694490234</v>
      </c>
      <c r="D55" s="47">
        <f>IF(15819.31772="","-",15819.31772/2734888.97913*100)</f>
        <v>0.5784263215332531</v>
      </c>
      <c r="E55" s="47">
        <f>IF(16994.86181="","-",16994.86181/2807357.90586*100)</f>
        <v>0.6053685486458781</v>
      </c>
      <c r="F55" s="47">
        <f>IF(OR(2181405.29478="",16021.45758="",15819.31772=""),"-",(15819.31772-16021.45758)/2181405.29478*100)</f>
        <v>-0.009266497174262494</v>
      </c>
      <c r="G55" s="47">
        <f>IF(OR(2734888.97913="",16994.86181="",15819.31772=""),"-",(16994.86181-15819.31772)/2734888.97913*100)</f>
        <v>0.04298324718007214</v>
      </c>
    </row>
    <row r="56" spans="1:7" s="9" customFormat="1" ht="15.75">
      <c r="A56" s="39" t="s">
        <v>44</v>
      </c>
      <c r="B56" s="47">
        <f>IF(16392.52393="","-",16392.52393)</f>
        <v>16392.52393</v>
      </c>
      <c r="C56" s="47">
        <f>IF(OR(17482.61532="",16392.52393=""),"-",16392.52393/17482.61532*100)</f>
        <v>93.76471214376636</v>
      </c>
      <c r="D56" s="47">
        <f>IF(17482.61532="","-",17482.61532/2734888.97913*100)</f>
        <v>0.639244059024342</v>
      </c>
      <c r="E56" s="47">
        <f>IF(16392.52393="","-",16392.52393/2807357.90586*100)</f>
        <v>0.5839128632577523</v>
      </c>
      <c r="F56" s="47">
        <f>IF(OR(2181405.29478="",11202.55649="",17482.61532=""),"-",(17482.61532-11202.55649)/2181405.29478*100)</f>
        <v>0.28789051007751215</v>
      </c>
      <c r="G56" s="47">
        <f>IF(OR(2734888.97913="",16392.52393="",17482.61532=""),"-",(16392.52393-17482.61532)/2734888.97913*100)</f>
        <v>-0.03985870718403978</v>
      </c>
    </row>
    <row r="57" spans="1:7" s="9" customFormat="1" ht="15.75">
      <c r="A57" s="39" t="s">
        <v>78</v>
      </c>
      <c r="B57" s="47">
        <f>IF(10665.48966="","-",10665.48966)</f>
        <v>10665.48966</v>
      </c>
      <c r="C57" s="47">
        <f>IF(OR(9930.76783="",10665.48966=""),"-",10665.48966/9930.76783*100)</f>
        <v>107.39843930074034</v>
      </c>
      <c r="D57" s="47">
        <f>IF(9930.76783="","-",9930.76783/2734888.97913*100)</f>
        <v>0.363114111972439</v>
      </c>
      <c r="E57" s="47">
        <f>IF(10665.48966="","-",10665.48966/2807357.90586*100)</f>
        <v>0.37991200330165087</v>
      </c>
      <c r="F57" s="47">
        <f>IF(OR(2181405.29478="",8330.83104="",9930.76783=""),"-",(9930.76783-8330.83104)/2181405.29478*100)</f>
        <v>0.07334431587878579</v>
      </c>
      <c r="G57" s="47">
        <f>IF(OR(2734888.97913="",10665.48966="",9930.76783=""),"-",(10665.48966-9930.76783)/2734888.97913*100)</f>
        <v>0.026864777166703203</v>
      </c>
    </row>
    <row r="58" spans="1:7" s="9" customFormat="1" ht="15.75">
      <c r="A58" s="39" t="s">
        <v>74</v>
      </c>
      <c r="B58" s="47">
        <f>IF(9714.21669="","-",9714.21669)</f>
        <v>9714.21669</v>
      </c>
      <c r="C58" s="47">
        <f>IF(OR(12949.64967="",9714.21669=""),"-",9714.21669/12949.64967*100)</f>
        <v>75.01528564517528</v>
      </c>
      <c r="D58" s="47">
        <f>IF(12949.64967="","-",12949.64967/2734888.97913*100)</f>
        <v>0.47349818470947347</v>
      </c>
      <c r="E58" s="47">
        <f>IF(9714.21669="","-",9714.21669/2807357.90586*100)</f>
        <v>0.346027012434817</v>
      </c>
      <c r="F58" s="47">
        <f>IF(OR(2181405.29478="",7274.46996="",12949.64967=""),"-",(12949.64967-7274.46996)/2181405.29478*100)</f>
        <v>0.2601616363350927</v>
      </c>
      <c r="G58" s="47">
        <f>IF(OR(2734888.97913="",9714.21669="",12949.64967=""),"-",(9714.21669-12949.64967)/2734888.97913*100)</f>
        <v>-0.11830216892494225</v>
      </c>
    </row>
    <row r="59" spans="1:7" s="9" customFormat="1" ht="15.75">
      <c r="A59" s="39" t="s">
        <v>88</v>
      </c>
      <c r="B59" s="47">
        <f>IF(9158.24669="","-",9158.24669)</f>
        <v>9158.24669</v>
      </c>
      <c r="C59" s="47">
        <f>IF(OR(8213.35153="",9158.24669=""),"-",9158.24669/8213.35153*100)</f>
        <v>111.50437986915192</v>
      </c>
      <c r="D59" s="47">
        <f>IF(8213.35153="","-",8213.35153/2734888.97913*100)</f>
        <v>0.30031754826891593</v>
      </c>
      <c r="E59" s="47">
        <f>IF(9158.24669="","-",9158.24669/2807357.90586*100)</f>
        <v>0.32622298250192233</v>
      </c>
      <c r="F59" s="47">
        <f>IF(OR(2181405.29478="",6930.17435="",8213.35153=""),"-",(8213.35153-6930.17435)/2181405.29478*100)</f>
        <v>0.05882341915418387</v>
      </c>
      <c r="G59" s="47">
        <f>IF(OR(2734888.97913="",9158.24669="",8213.35153=""),"-",(9158.24669-8213.35153)/2734888.97913*100)</f>
        <v>0.034549671566579725</v>
      </c>
    </row>
    <row r="60" spans="1:7" s="9" customFormat="1" ht="15.75">
      <c r="A60" s="39" t="s">
        <v>70</v>
      </c>
      <c r="B60" s="47">
        <f>IF(6169.86558="","-",6169.86558)</f>
        <v>6169.86558</v>
      </c>
      <c r="C60" s="47">
        <f>IF(OR(8053.41511="",6169.86558=""),"-",6169.86558/8053.41511*100)</f>
        <v>76.61179134226946</v>
      </c>
      <c r="D60" s="47">
        <f>IF(8053.41511="","-",8053.41511/2734888.97913*100)</f>
        <v>0.29446954415538595</v>
      </c>
      <c r="E60" s="47">
        <f>IF(6169.86558="","-",6169.86558/2807357.90586*100)</f>
        <v>0.21977481272057245</v>
      </c>
      <c r="F60" s="47">
        <f>IF(OR(2181405.29478="",4876.21645="",8053.41511=""),"-",(8053.41511-4876.21645)/2181405.29478*100)</f>
        <v>0.14564916788287285</v>
      </c>
      <c r="G60" s="47">
        <f>IF(OR(2734888.97913="",6169.86558="",8053.41511=""),"-",(6169.86558-8053.41511)/2734888.97913*100)</f>
        <v>-0.06887115142052967</v>
      </c>
    </row>
    <row r="61" spans="1:7" s="9" customFormat="1" ht="15.75">
      <c r="A61" s="39" t="s">
        <v>69</v>
      </c>
      <c r="B61" s="47">
        <f>IF(5805.16866="","-",5805.16866)</f>
        <v>5805.16866</v>
      </c>
      <c r="C61" s="47">
        <f>IF(OR(4994.36137="",5805.16866=""),"-",5805.16866/4994.36137*100)</f>
        <v>116.23445381566373</v>
      </c>
      <c r="D61" s="47">
        <f>IF(4994.36137="","-",4994.36137/2734888.97913*100)</f>
        <v>0.18261660374925948</v>
      </c>
      <c r="E61" s="47">
        <f>IF(5805.16866="","-",5805.16866/2807357.90586*100)</f>
        <v>0.20678406012580208</v>
      </c>
      <c r="F61" s="47">
        <f>IF(OR(2181405.29478="",4135.48477="",4994.36137=""),"-",(4994.36137-4135.48477)/2181405.29478*100)</f>
        <v>0.03937262837196053</v>
      </c>
      <c r="G61" s="47">
        <f>IF(OR(2734888.97913="",5805.16866="",4994.36137=""),"-",(5805.16866-4994.36137)/2734888.97913*100)</f>
        <v>0.02964680819540718</v>
      </c>
    </row>
    <row r="62" spans="1:7" s="9" customFormat="1" ht="15.75">
      <c r="A62" s="39" t="s">
        <v>71</v>
      </c>
      <c r="B62" s="47">
        <f>IF(5009.73796="","-",5009.73796)</f>
        <v>5009.73796</v>
      </c>
      <c r="C62" s="47">
        <f>IF(OR(4673.11343="",5009.73796=""),"-",5009.73796/4673.11343*100)</f>
        <v>107.2034316102616</v>
      </c>
      <c r="D62" s="47">
        <f>IF(4673.11343="","-",4673.11343/2734888.97913*100)</f>
        <v>0.170870315601863</v>
      </c>
      <c r="E62" s="47">
        <f>IF(5009.73796="","-",5009.73796/2807357.90586*100)</f>
        <v>0.17845027702177962</v>
      </c>
      <c r="F62" s="47">
        <f>IF(OR(2181405.29478="",3364.153="",4673.11343=""),"-",(4673.11343-3364.153)/2181405.29478*100)</f>
        <v>0.06000537511907031</v>
      </c>
      <c r="G62" s="47">
        <f>IF(OR(2734888.97913="",5009.73796="",4673.11343=""),"-",(5009.73796-4673.11343)/2734888.97913*100)</f>
        <v>0.012308526326618356</v>
      </c>
    </row>
    <row r="63" spans="1:7" s="9" customFormat="1" ht="15.75">
      <c r="A63" s="39" t="s">
        <v>79</v>
      </c>
      <c r="B63" s="47">
        <f>IF(4913.33785="","-",4913.33785)</f>
        <v>4913.33785</v>
      </c>
      <c r="C63" s="47">
        <f>IF(OR(5583.12103="",4913.33785=""),"-",4913.33785/5583.12103*100)</f>
        <v>88.00342717986895</v>
      </c>
      <c r="D63" s="47">
        <f>IF(5583.12103="","-",5583.12103/2734888.97913*100)</f>
        <v>0.20414433904282492</v>
      </c>
      <c r="E63" s="47">
        <f>IF(4913.33785="","-",4913.33785/2807357.90586*100)</f>
        <v>0.17501643946943982</v>
      </c>
      <c r="F63" s="47">
        <f>IF(OR(2181405.29478="",4465.7532="",5583.12103=""),"-",(5583.12103-4465.7532)/2181405.29478*100)</f>
        <v>0.05122238552706407</v>
      </c>
      <c r="G63" s="47">
        <f>IF(OR(2734888.97913="",4913.33785="",5583.12103=""),"-",(4913.33785-5583.12103)/2734888.97913*100)</f>
        <v>-0.024490324291447697</v>
      </c>
    </row>
    <row r="64" spans="1:7" s="9" customFormat="1" ht="15.75">
      <c r="A64" s="39" t="s">
        <v>91</v>
      </c>
      <c r="B64" s="47">
        <f>IF(4893.74396="","-",4893.74396)</f>
        <v>4893.74396</v>
      </c>
      <c r="C64" s="47">
        <f>IF(OR(4509.16107="",4893.74396=""),"-",4893.74396/4509.16107*100)</f>
        <v>108.52892331921066</v>
      </c>
      <c r="D64" s="47">
        <f>IF(4509.16107="","-",4509.16107/2734888.97913*100)</f>
        <v>0.16487547042711828</v>
      </c>
      <c r="E64" s="47">
        <f>IF(4893.74396="","-",4893.74396/2807357.90586*100)</f>
        <v>0.17431849176711442</v>
      </c>
      <c r="F64" s="47">
        <f>IF(OR(2181405.29478="",3024.73978="",4509.16107=""),"-",(4509.16107-3024.73978)/2181405.29478*100)</f>
        <v>0.06804885334935926</v>
      </c>
      <c r="G64" s="47">
        <f>IF(OR(2734888.97913="",4893.74396="",4509.16107=""),"-",(4893.74396-4509.16107)/2734888.97913*100)</f>
        <v>0.014062102444916796</v>
      </c>
    </row>
    <row r="65" spans="1:7" s="9" customFormat="1" ht="15.75">
      <c r="A65" s="39" t="s">
        <v>92</v>
      </c>
      <c r="B65" s="47">
        <f>IF(4782.16544="","-",4782.16544)</f>
        <v>4782.16544</v>
      </c>
      <c r="C65" s="47">
        <f>IF(OR(5761.38937="",4782.16544=""),"-",4782.16544/5761.38937*100)</f>
        <v>83.00368423111803</v>
      </c>
      <c r="D65" s="47">
        <f>IF(5761.38937="","-",5761.38937/2734888.97913*100)</f>
        <v>0.21066264166352977</v>
      </c>
      <c r="E65" s="47">
        <f>IF(4782.16544="","-",4782.16544/2807357.90586*100)</f>
        <v>0.17034398891633457</v>
      </c>
      <c r="F65" s="47">
        <f>IF(OR(2181405.29478="",2579.42302="",5761.38937=""),"-",(5761.38937-2579.42302)/2181405.29478*100)</f>
        <v>0.1458677283682356</v>
      </c>
      <c r="G65" s="47">
        <f>IF(OR(2734888.97913="",4782.16544="",5761.38937=""),"-",(4782.16544-5761.38937)/2734888.97913*100)</f>
        <v>-0.03580488778420186</v>
      </c>
    </row>
    <row r="66" spans="1:7" s="9" customFormat="1" ht="15.75">
      <c r="A66" s="39" t="s">
        <v>94</v>
      </c>
      <c r="B66" s="47">
        <f>IF(4311.41864="","-",4311.41864)</f>
        <v>4311.41864</v>
      </c>
      <c r="C66" s="47" t="s">
        <v>115</v>
      </c>
      <c r="D66" s="47">
        <f>IF(2637.63222="","-",2637.63222/2734888.97913*100)</f>
        <v>0.09644384982819527</v>
      </c>
      <c r="E66" s="47">
        <f>IF(4311.41864="","-",4311.41864/2807357.90586*100)</f>
        <v>0.15357566739176598</v>
      </c>
      <c r="F66" s="47">
        <f>IF(OR(2181405.29478="",1896.76564="",2637.63222=""),"-",(2637.63222-1896.76564)/2181405.29478*100)</f>
        <v>0.03396281203556527</v>
      </c>
      <c r="G66" s="47">
        <f>IF(OR(2734888.97913="",4311.41864="",2637.63222=""),"-",(4311.41864-2637.63222)/2734888.97913*100)</f>
        <v>0.061201256532630845</v>
      </c>
    </row>
    <row r="67" spans="1:7" s="9" customFormat="1" ht="15.75">
      <c r="A67" s="39" t="s">
        <v>86</v>
      </c>
      <c r="B67" s="47">
        <f>IF(4169.73362="","-",4169.73362)</f>
        <v>4169.73362</v>
      </c>
      <c r="C67" s="47">
        <f>IF(OR(4081.3759="",4169.73362=""),"-",4169.73362/4081.3759*100)</f>
        <v>102.1649003219723</v>
      </c>
      <c r="D67" s="47">
        <f>IF(4081.3759="","-",4081.3759/2734888.97913*100)</f>
        <v>0.1492336958152624</v>
      </c>
      <c r="E67" s="47">
        <f>IF(4169.73362="","-",4169.73362/2807357.90586*100)</f>
        <v>0.14852875051293657</v>
      </c>
      <c r="F67" s="47">
        <f>IF(OR(2181405.29478="",3787.63259="",4081.3759=""),"-",(4081.3759-3787.63259)/2181405.29478*100)</f>
        <v>0.013465783305051734</v>
      </c>
      <c r="G67" s="47">
        <f>IF(OR(2734888.97913="",4169.73362="",4081.3759=""),"-",(4169.73362-4081.3759)/2734888.97913*100)</f>
        <v>0.003230760761195783</v>
      </c>
    </row>
    <row r="68" spans="1:7" s="9" customFormat="1" ht="15.75">
      <c r="A68" s="39" t="s">
        <v>82</v>
      </c>
      <c r="B68" s="47">
        <f>IF(3385.60121="","-",3385.60121)</f>
        <v>3385.60121</v>
      </c>
      <c r="C68" s="47">
        <f>IF(OR(2272.30284="",3385.60121=""),"-",3385.60121/2272.30284*100)</f>
        <v>148.99427798101067</v>
      </c>
      <c r="D68" s="47">
        <f>IF(2272.30284="","-",2272.30284/2734888.97913*100)</f>
        <v>0.08308574341920257</v>
      </c>
      <c r="E68" s="47">
        <f>IF(3385.60121="","-",3385.60121/2807357.90586*100)</f>
        <v>0.12059742019116947</v>
      </c>
      <c r="F68" s="47">
        <f>IF(OR(2181405.29478="",1240.9536="",2272.30284=""),"-",(2272.30284-1240.9536)/2181405.29478*100)</f>
        <v>0.04727912059569901</v>
      </c>
      <c r="G68" s="47">
        <f>IF(OR(2734888.97913="",3385.60121="",2272.30284=""),"-",(3385.60121-2272.30284)/2734888.97913*100)</f>
        <v>0.04070726009339338</v>
      </c>
    </row>
    <row r="69" spans="1:7" s="9" customFormat="1" ht="15.75">
      <c r="A69" s="39" t="s">
        <v>180</v>
      </c>
      <c r="B69" s="47">
        <f>IF(3246.10899="","-",3246.10899)</f>
        <v>3246.10899</v>
      </c>
      <c r="C69" s="47">
        <f>IF(OR(2946.70869="",3246.10899=""),"-",3246.10899/2946.70869*100)</f>
        <v>110.16049876311325</v>
      </c>
      <c r="D69" s="47">
        <f>IF(2946.70869="","-",2946.70869/2734888.97913*100)</f>
        <v>0.10774509358465374</v>
      </c>
      <c r="E69" s="47">
        <f>IF(3246.10899="","-",3246.10899/2807357.90586*100)</f>
        <v>0.11562861234131079</v>
      </c>
      <c r="F69" s="47">
        <f>IF(OR(2181405.29478="",5662.23323="",2946.70869=""),"-",(2946.70869-5662.23323)/2181405.29478*100)</f>
        <v>-0.12448509896341234</v>
      </c>
      <c r="G69" s="47">
        <f>IF(OR(2734888.97913="",3246.10899="",2946.70869=""),"-",(3246.10899-2946.70869)/2734888.97913*100)</f>
        <v>0.010947438900983942</v>
      </c>
    </row>
    <row r="70" spans="1:7" s="9" customFormat="1" ht="15.75">
      <c r="A70" s="39" t="s">
        <v>89</v>
      </c>
      <c r="B70" s="47">
        <f>IF(2727.89411="","-",2727.89411)</f>
        <v>2727.89411</v>
      </c>
      <c r="C70" s="47">
        <f>IF(OR(3570.93389="",2727.89411=""),"-",2727.89411/3570.93389*100)</f>
        <v>76.39161614386539</v>
      </c>
      <c r="D70" s="47">
        <f>IF(3570.93389="","-",3570.93389/2734888.97913*100)</f>
        <v>0.13056961058565367</v>
      </c>
      <c r="E70" s="47">
        <f>IF(2727.89411="","-",2727.89411/2807357.90586*100)</f>
        <v>0.09716944548843846</v>
      </c>
      <c r="F70" s="47">
        <f>IF(OR(2181405.29478="",3265.68337="",3570.93389=""),"-",(3570.93389-3265.68337)/2181405.29478*100)</f>
        <v>0.013993296923338807</v>
      </c>
      <c r="G70" s="47">
        <f>IF(OR(2734888.97913="",2727.89411="",3570.93389=""),"-",(2727.89411-3570.93389)/2734888.97913*100)</f>
        <v>-0.030825374866521288</v>
      </c>
    </row>
    <row r="71" spans="1:7" s="9" customFormat="1" ht="15.75">
      <c r="A71" s="39" t="s">
        <v>93</v>
      </c>
      <c r="B71" s="47">
        <f>IF(2673.7985="","-",2673.7985)</f>
        <v>2673.7985</v>
      </c>
      <c r="C71" s="47">
        <f>IF(OR(3101.30108="",2673.7985=""),"-",2673.7985/3101.30108*100)</f>
        <v>86.21537964317866</v>
      </c>
      <c r="D71" s="47">
        <f>IF(3101.30108="","-",3101.30108/2734888.97913*100)</f>
        <v>0.1133976956163888</v>
      </c>
      <c r="E71" s="47">
        <f>IF(2673.7985="","-",2673.7985/2807357.90586*100)</f>
        <v>0.09524252302917231</v>
      </c>
      <c r="F71" s="47">
        <f>IF(OR(2181405.29478="",1618.53799="",3101.30108=""),"-",(3101.30108-1618.53799)/2181405.29478*100)</f>
        <v>0.06797283813091415</v>
      </c>
      <c r="G71" s="47">
        <f>IF(OR(2734888.97913="",2673.7985="",3101.30108=""),"-",(2673.7985-3101.30108)/2734888.97913*100)</f>
        <v>-0.01563144183410304</v>
      </c>
    </row>
    <row r="72" spans="1:7" s="9" customFormat="1" ht="15.75">
      <c r="A72" s="39" t="s">
        <v>73</v>
      </c>
      <c r="B72" s="47">
        <f>IF(2533.35398="","-",2533.35398)</f>
        <v>2533.35398</v>
      </c>
      <c r="C72" s="47">
        <f>IF(OR(2562.50183="",2533.35398=""),"-",2533.35398/2562.50183*100)</f>
        <v>98.86252373915376</v>
      </c>
      <c r="D72" s="47">
        <f>IF(2562.50183="","-",2562.50183/2734888.97913*100)</f>
        <v>0.09369674050956035</v>
      </c>
      <c r="E72" s="47">
        <f>IF(2533.35398="","-",2533.35398/2807357.90586*100)</f>
        <v>0.09023979360493893</v>
      </c>
      <c r="F72" s="47">
        <f>IF(OR(2181405.29478="",2526.2539="",2562.50183=""),"-",(2562.50183-2526.2539)/2181405.29478*100)</f>
        <v>0.0016616779140831636</v>
      </c>
      <c r="G72" s="47">
        <f>IF(OR(2734888.97913="",2533.35398="",2562.50183=""),"-",(2533.35398-2562.50183)/2734888.97913*100)</f>
        <v>-0.0010657781804829446</v>
      </c>
    </row>
    <row r="73" spans="1:7" s="9" customFormat="1" ht="15.75">
      <c r="A73" s="39" t="s">
        <v>76</v>
      </c>
      <c r="B73" s="47">
        <f>IF(2417.41929="","-",2417.41929)</f>
        <v>2417.41929</v>
      </c>
      <c r="C73" s="47">
        <f>IF(OR(3501.6902="",2417.41929=""),"-",2417.41929/3501.6902*100)</f>
        <v>69.03578420501047</v>
      </c>
      <c r="D73" s="47">
        <f>IF(3501.6902="","-",3501.6902/2734888.97913*100)</f>
        <v>0.1280377458361739</v>
      </c>
      <c r="E73" s="47">
        <f>IF(2417.41929="","-",2417.41929/2807357.90586*100)</f>
        <v>0.08611012101285508</v>
      </c>
      <c r="F73" s="47">
        <f>IF(OR(2181405.29478="",2578.80792="",3501.6902=""),"-",(3501.6902-2578.80792)/2181405.29478*100)</f>
        <v>0.042306777296654295</v>
      </c>
      <c r="G73" s="47">
        <f>IF(OR(2734888.97913="",2417.41929="",3501.6902=""),"-",(2417.41929-3501.6902)/2734888.97913*100)</f>
        <v>-0.03964588391975309</v>
      </c>
    </row>
    <row r="74" spans="1:7" s="9" customFormat="1" ht="15.75">
      <c r="A74" s="39" t="s">
        <v>83</v>
      </c>
      <c r="B74" s="47">
        <f>IF(2047.67188="","-",2047.67188)</f>
        <v>2047.67188</v>
      </c>
      <c r="C74" s="47">
        <f>IF(OR(2709.84357="",2047.67188=""),"-",2047.67188/2709.84357*100)</f>
        <v>75.56420978204288</v>
      </c>
      <c r="D74" s="47">
        <f>IF(2709.84357="","-",2709.84357/2734888.97913*100)</f>
        <v>0.09908422574659806</v>
      </c>
      <c r="E74" s="47">
        <f>IF(2047.67188="","-",2047.67188/2807357.90586*100)</f>
        <v>0.07293946652565202</v>
      </c>
      <c r="F74" s="47">
        <f>IF(OR(2181405.29478="",779.4104="",2709.84357=""),"-",(2709.84357-779.4104)/2181405.29478*100)</f>
        <v>0.0884949337300792</v>
      </c>
      <c r="G74" s="47">
        <f>IF(OR(2734888.97913="",2047.67188="",2709.84357=""),"-",(2047.67188-2709.84357)/2734888.97913*100)</f>
        <v>-0.024212013542525754</v>
      </c>
    </row>
    <row r="75" spans="1:7" s="9" customFormat="1" ht="15.75">
      <c r="A75" s="39" t="s">
        <v>90</v>
      </c>
      <c r="B75" s="47">
        <f>IF(1747.01795="","-",1747.01795)</f>
        <v>1747.01795</v>
      </c>
      <c r="C75" s="47">
        <f>IF(OR(2157.39729="",1747.01795=""),"-",1747.01795/2157.39729*100)</f>
        <v>80.97803580721101</v>
      </c>
      <c r="D75" s="47">
        <f>IF(2157.39729="","-",2157.39729/2734888.97913*100)</f>
        <v>0.0788842730532445</v>
      </c>
      <c r="E75" s="47">
        <f>IF(1747.01795="","-",1747.01795/2807357.90586*100)</f>
        <v>0.06222996883843431</v>
      </c>
      <c r="F75" s="47">
        <f>IF(OR(2181405.29478="",2127.67128="",2157.39729=""),"-",(2157.39729-2127.67128)/2181405.29478*100)</f>
        <v>0.00136270000220192</v>
      </c>
      <c r="G75" s="47">
        <f>IF(OR(2734888.97913="",1747.01795="",2157.39729=""),"-",(1747.01795-2157.39729)/2734888.97913*100)</f>
        <v>-0.015005338173930058</v>
      </c>
    </row>
    <row r="76" spans="1:7" s="9" customFormat="1" ht="15.75">
      <c r="A76" s="39" t="s">
        <v>155</v>
      </c>
      <c r="B76" s="47">
        <f>IF(1733.5922="","-",1733.5922)</f>
        <v>1733.5922</v>
      </c>
      <c r="C76" s="47" t="s">
        <v>124</v>
      </c>
      <c r="D76" s="47">
        <f>IF(544.89659="","-",544.89659/2734888.97913*100)</f>
        <v>0.019923901633964607</v>
      </c>
      <c r="E76" s="47">
        <f>IF(1733.5922="","-",1733.5922/2807357.90586*100)</f>
        <v>0.06175173448249503</v>
      </c>
      <c r="F76" s="47">
        <f>IF(OR(2181405.29478="",410.92923="",544.89659=""),"-",(544.89659-410.92923)/2181405.29478*100)</f>
        <v>0.006141332851835352</v>
      </c>
      <c r="G76" s="47">
        <f>IF(OR(2734888.97913="",1733.5922="",544.89659=""),"-",(1733.5922-544.89659)/2734888.97913*100)</f>
        <v>0.043464126663676786</v>
      </c>
    </row>
    <row r="77" spans="1:7" s="9" customFormat="1" ht="15.75">
      <c r="A77" s="39" t="s">
        <v>47</v>
      </c>
      <c r="B77" s="47">
        <f>IF(1683.07679="","-",1683.07679)</f>
        <v>1683.07679</v>
      </c>
      <c r="C77" s="47">
        <f>IF(OR(2340.73138="",1683.07679=""),"-",1683.07679/2340.73138*100)</f>
        <v>71.90388458841441</v>
      </c>
      <c r="D77" s="47">
        <f>IF(2340.73138="","-",2340.73138/2734888.97913*100)</f>
        <v>0.08558780257122592</v>
      </c>
      <c r="E77" s="47">
        <f>IF(1683.07679="","-",1683.07679/2807357.90586*100)</f>
        <v>0.0599523411848127</v>
      </c>
      <c r="F77" s="47">
        <f>IF(OR(2181405.29478="",1019.72725="",2340.73138=""),"-",(2340.73138-1019.72725)/2181405.29478*100)</f>
        <v>0.06055748251648149</v>
      </c>
      <c r="G77" s="47">
        <f>IF(OR(2734888.97913="",1683.07679="",2340.73138=""),"-",(1683.07679-2340.73138)/2734888.97913*100)</f>
        <v>-0.02404684778865165</v>
      </c>
    </row>
    <row r="78" spans="1:7" s="9" customFormat="1" ht="15.75">
      <c r="A78" s="39" t="s">
        <v>97</v>
      </c>
      <c r="B78" s="47">
        <f>IF(1602.59373="","-",1602.59373)</f>
        <v>1602.59373</v>
      </c>
      <c r="C78" s="47">
        <f>IF(OR(1805.10254="",1602.59373=""),"-",1602.59373/1805.10254*100)</f>
        <v>88.78131266714632</v>
      </c>
      <c r="D78" s="47">
        <f>IF(1805.10254="","-",1805.10254/2734888.97913*100)</f>
        <v>0.06600277209695819</v>
      </c>
      <c r="E78" s="47">
        <f>IF(1602.59373="","-",1602.59373/2807357.90586*100)</f>
        <v>0.057085479790617046</v>
      </c>
      <c r="F78" s="47">
        <f>IF(OR(2181405.29478="",771.5261="",1805.10254=""),"-",(1805.10254-771.5261)/2181405.29478*100)</f>
        <v>0.047381219916963604</v>
      </c>
      <c r="G78" s="47">
        <f>IF(OR(2734888.97913="",1602.59373="",1805.10254=""),"-",(1602.59373-1805.10254)/2734888.97913*100)</f>
        <v>-0.0074046446325737305</v>
      </c>
    </row>
    <row r="79" spans="1:7" s="9" customFormat="1" ht="15.75">
      <c r="A79" s="39" t="s">
        <v>100</v>
      </c>
      <c r="B79" s="47">
        <f>IF(1424.43395="","-",1424.43395)</f>
        <v>1424.43395</v>
      </c>
      <c r="C79" s="47">
        <f>IF(OR(1006.8959="",1424.43395=""),"-",1424.43395/1006.8959*100)</f>
        <v>141.46784687473652</v>
      </c>
      <c r="D79" s="47">
        <f>IF(1006.8959="","-",1006.8959/2734888.97913*100)</f>
        <v>0.03681670106843991</v>
      </c>
      <c r="E79" s="47">
        <f>IF(1424.43395="","-",1424.43395/2807357.90586*100)</f>
        <v>0.05073930712670005</v>
      </c>
      <c r="F79" s="47">
        <f>IF(OR(2181405.29478="",849.05266="",1006.8959=""),"-",(1006.8959-849.05266)/2181405.29478*100)</f>
        <v>0.007235851145026166</v>
      </c>
      <c r="G79" s="47">
        <f>IF(OR(2734888.97913="",1424.43395="",1006.8959=""),"-",(1424.43395-1006.8959)/2734888.97913*100)</f>
        <v>0.015267093223390144</v>
      </c>
    </row>
    <row r="80" spans="1:7" s="9" customFormat="1" ht="15.75">
      <c r="A80" s="39" t="s">
        <v>66</v>
      </c>
      <c r="B80" s="47">
        <f>IF(1423.46346="","-",1423.46346)</f>
        <v>1423.46346</v>
      </c>
      <c r="C80" s="47">
        <f>IF(OR(1680.98079="",1423.46346=""),"-",1423.46346/1680.98079*100)</f>
        <v>84.68053106067916</v>
      </c>
      <c r="D80" s="47">
        <f>IF(1680.98079="","-",1680.98079/2734888.97913*100)</f>
        <v>0.061464315474141835</v>
      </c>
      <c r="E80" s="47">
        <f>IF(1423.46346="","-",1423.46346/2807357.90586*100)</f>
        <v>0.050704737612140664</v>
      </c>
      <c r="F80" s="47">
        <f>IF(OR(2181405.29478="",1183.34572="",1680.98079=""),"-",(1680.98079-1183.34572)/2181405.29478*100)</f>
        <v>0.022812591093952932</v>
      </c>
      <c r="G80" s="47">
        <f>IF(OR(2734888.97913="",1423.46346="",1680.98079=""),"-",(1423.46346-1680.98079)/2734888.97913*100)</f>
        <v>-0.009416006717827333</v>
      </c>
    </row>
    <row r="81" spans="1:7" s="9" customFormat="1" ht="15.75">
      <c r="A81" s="39" t="s">
        <v>46</v>
      </c>
      <c r="B81" s="47">
        <f>IF(1304.72071="","-",1304.72071)</f>
        <v>1304.72071</v>
      </c>
      <c r="C81" s="47">
        <f>IF(OR(1130.198="",1304.72071=""),"-",1304.72071/1130.198*100)</f>
        <v>115.44178188246661</v>
      </c>
      <c r="D81" s="47">
        <f>IF(1130.198="","-",1130.198/2734888.97913*100)</f>
        <v>0.04132518755329986</v>
      </c>
      <c r="E81" s="47">
        <f>IF(1304.72071="","-",1304.72071/2807357.90586*100)</f>
        <v>0.04647504001098552</v>
      </c>
      <c r="F81" s="47">
        <f>IF(OR(2181405.29478="",437.03194="",1130.198=""),"-",(1130.198-437.03194)/2181405.29478*100)</f>
        <v>0.03177612439369766</v>
      </c>
      <c r="G81" s="47">
        <f>IF(OR(2734888.97913="",1304.72071="",1130.198=""),"-",(1304.72071-1130.198)/2734888.97913*100)</f>
        <v>0.006381345324500802</v>
      </c>
    </row>
    <row r="82" spans="1:7" s="9" customFormat="1" ht="15.75">
      <c r="A82" s="39" t="s">
        <v>96</v>
      </c>
      <c r="B82" s="47">
        <f>IF(1293.70826="","-",1293.70826)</f>
        <v>1293.70826</v>
      </c>
      <c r="C82" s="47">
        <f>IF(OR(1399.76194="",1293.70826=""),"-",1293.70826/1399.76194*100)</f>
        <v>92.42344880444456</v>
      </c>
      <c r="D82" s="47">
        <f>IF(1399.76194="","-",1399.76194/2734888.97913*100)</f>
        <v>0.05118167321165924</v>
      </c>
      <c r="E82" s="47">
        <f>IF(1293.70826="","-",1293.70826/2807357.90586*100)</f>
        <v>0.04608276904414467</v>
      </c>
      <c r="F82" s="47">
        <f>IF(OR(2181405.29478="",1821.8344="",1399.76194=""),"-",(1399.76194-1821.8344)/2181405.29478*100)</f>
        <v>-0.019348649286310953</v>
      </c>
      <c r="G82" s="47">
        <f>IF(OR(2734888.97913="",1293.70826="",1399.76194=""),"-",(1293.70826-1399.76194)/2734888.97913*100)</f>
        <v>-0.003877805673623245</v>
      </c>
    </row>
    <row r="83" spans="1:7" s="9" customFormat="1" ht="15.75">
      <c r="A83" s="39" t="s">
        <v>95</v>
      </c>
      <c r="B83" s="47">
        <f>IF(1283.83797="","-",1283.83797)</f>
        <v>1283.83797</v>
      </c>
      <c r="C83" s="47" t="s">
        <v>146</v>
      </c>
      <c r="D83" s="47">
        <f>IF(831.04619="","-",831.04619/2734888.97913*100)</f>
        <v>0.030386834578724493</v>
      </c>
      <c r="E83" s="47">
        <f>IF(1283.83797="","-",1283.83797/2807357.90586*100)</f>
        <v>0.04573118259414494</v>
      </c>
      <c r="F83" s="47">
        <f>IF(OR(2181405.29478="",796.56069="",831.04619=""),"-",(831.04619-796.56069)/2181405.29478*100)</f>
        <v>0.0015808845830952265</v>
      </c>
      <c r="G83" s="47">
        <f>IF(OR(2734888.97913="",1283.83797="",831.04619=""),"-",(1283.83797-831.04619)/2734888.97913*100)</f>
        <v>0.016556130192313633</v>
      </c>
    </row>
    <row r="84" spans="1:7" s="9" customFormat="1" ht="15.75">
      <c r="A84" s="39" t="s">
        <v>45</v>
      </c>
      <c r="B84" s="47">
        <f>IF(1106.21585="","-",1106.21585)</f>
        <v>1106.21585</v>
      </c>
      <c r="C84" s="47">
        <f>IF(OR(910.93375="",1106.21585=""),"-",1106.21585/910.93375*100)</f>
        <v>121.4375743570814</v>
      </c>
      <c r="D84" s="47">
        <f>IF(910.93375="","-",910.93375/2734888.97913*100)</f>
        <v>0.03330788770408438</v>
      </c>
      <c r="E84" s="47">
        <f>IF(1106.21585="","-",1106.21585/2807357.90586*100)</f>
        <v>0.039404161745494444</v>
      </c>
      <c r="F84" s="47">
        <f>IF(OR(2181405.29478="",412.77043="",910.93375=""),"-",(910.93375-412.77043)/2181405.29478*100)</f>
        <v>0.022836807134927258</v>
      </c>
      <c r="G84" s="47">
        <f>IF(OR(2734888.97913="",1106.21585="",910.93375=""),"-",(1106.21585-910.93375)/2734888.97913*100)</f>
        <v>0.007140403193336262</v>
      </c>
    </row>
    <row r="85" spans="1:7" s="9" customFormat="1" ht="15.75">
      <c r="A85" s="39" t="s">
        <v>265</v>
      </c>
      <c r="B85" s="47">
        <f>IF(1099.28612="","-",1099.28612)</f>
        <v>1099.28612</v>
      </c>
      <c r="C85" s="47">
        <f>IF(OR(794.93649="",1099.28612=""),"-",1099.28612/794.93649*100)</f>
        <v>138.28603087524638</v>
      </c>
      <c r="D85" s="47">
        <f>IF(794.93649="","-",794.93649/2734888.97913*100)</f>
        <v>0.02906649944718702</v>
      </c>
      <c r="E85" s="47">
        <f>IF(1099.28612="","-",1099.28612/2807357.90586*100)</f>
        <v>0.039157320044778794</v>
      </c>
      <c r="F85" s="47">
        <f>IF(OR(2181405.29478="",452.61517="",794.93649=""),"-",(794.93649-452.61517)/2181405.29478*100)</f>
        <v>0.015692696850931775</v>
      </c>
      <c r="G85" s="47">
        <f>IF(OR(2734888.97913="",1099.28612="",794.93649=""),"-",(1099.28612-794.93649)/2734888.97913*100)</f>
        <v>0.011128408952703341</v>
      </c>
    </row>
    <row r="86" spans="1:7" s="9" customFormat="1" ht="15.75">
      <c r="A86" s="39" t="s">
        <v>75</v>
      </c>
      <c r="B86" s="47">
        <f>IF(976.35545="","-",976.35545)</f>
        <v>976.35545</v>
      </c>
      <c r="C86" s="47">
        <f>IF(OR(1010.02811="",976.35545=""),"-",976.35545/1010.02811*100)</f>
        <v>96.66616605353687</v>
      </c>
      <c r="D86" s="47">
        <f>IF(1010.02811="","-",1010.02811/2734888.97913*100)</f>
        <v>0.03693122893497862</v>
      </c>
      <c r="E86" s="47">
        <f>IF(976.35545="","-",976.35545/2807357.90586*100)</f>
        <v>0.034778445881872885</v>
      </c>
      <c r="F86" s="47">
        <f>IF(OR(2181405.29478="",1042.51005="",1010.02811=""),"-",(1010.02811-1042.51005)/2181405.29478*100)</f>
        <v>-0.0014890373686049022</v>
      </c>
      <c r="G86" s="47">
        <f>IF(OR(2734888.97913="",976.35545="",1010.02811=""),"-",(976.35545-1010.02811)/2734888.97913*100)</f>
        <v>-0.0012312258470803306</v>
      </c>
    </row>
    <row r="87" spans="1:7" s="9" customFormat="1" ht="15.75">
      <c r="A87" s="39" t="s">
        <v>81</v>
      </c>
      <c r="B87" s="47">
        <f>IF(856.96842="","-",856.96842)</f>
        <v>856.96842</v>
      </c>
      <c r="C87" s="47">
        <f>IF(OR(1049.80982="",856.96842=""),"-",856.96842/1049.80982*100)</f>
        <v>81.6308252860504</v>
      </c>
      <c r="D87" s="47">
        <f>IF(1049.80982="","-",1049.80982/2734888.97913*100)</f>
        <v>0.038385829480140604</v>
      </c>
      <c r="E87" s="47">
        <f>IF(856.96842="","-",856.96842/2807357.90586*100)</f>
        <v>0.03052579858845886</v>
      </c>
      <c r="F87" s="47">
        <f>IF(OR(2181405.29478="",1026.07731="",1049.80982=""),"-",(1049.80982-1026.07731)/2181405.29478*100)</f>
        <v>0.001087945924436455</v>
      </c>
      <c r="G87" s="47">
        <f>IF(OR(2734888.97913="",856.96842="",1049.80982=""),"-",(856.96842-1049.80982)/2734888.97913*100)</f>
        <v>-0.007051160082605803</v>
      </c>
    </row>
    <row r="88" spans="1:7" s="9" customFormat="1" ht="15.75">
      <c r="A88" s="39" t="s">
        <v>98</v>
      </c>
      <c r="B88" s="47">
        <f>IF(696.09093="","-",696.09093)</f>
        <v>696.09093</v>
      </c>
      <c r="C88" s="47">
        <f>IF(OR(813.88687="",696.09093=""),"-",696.09093/813.88687*100)</f>
        <v>85.52674280149033</v>
      </c>
      <c r="D88" s="47">
        <f>IF(813.88687="","-",813.88687/2734888.97913*100)</f>
        <v>0.029759411669387288</v>
      </c>
      <c r="E88" s="47">
        <f>IF(696.09093="","-",696.09093/2807357.90586*100)</f>
        <v>0.02479523286101139</v>
      </c>
      <c r="F88" s="47">
        <f>IF(OR(2181405.29478="",607.38611="",813.88687=""),"-",(813.88687-607.38611)/2181405.29478*100)</f>
        <v>0.00946640958899965</v>
      </c>
      <c r="G88" s="47">
        <f>IF(OR(2734888.97913="",696.09093="",813.88687=""),"-",(696.09093-813.88687)/2734888.97913*100)</f>
        <v>-0.004307156191673723</v>
      </c>
    </row>
    <row r="89" spans="1:7" s="9" customFormat="1" ht="15.75">
      <c r="A89" s="39" t="s">
        <v>87</v>
      </c>
      <c r="B89" s="47">
        <f>IF(583.91204="","-",583.91204)</f>
        <v>583.91204</v>
      </c>
      <c r="C89" s="47">
        <f>IF(OR(450.74613="",583.91204=""),"-",583.91204/450.74613*100)</f>
        <v>129.54343945226995</v>
      </c>
      <c r="D89" s="47">
        <f>IF(450.74613="","-",450.74613/2734888.97913*100)</f>
        <v>0.016481331909253136</v>
      </c>
      <c r="E89" s="47">
        <f>IF(583.91204="","-",583.91204/2807357.90586*100)</f>
        <v>0.020799344422068825</v>
      </c>
      <c r="F89" s="47">
        <f>IF(OR(2181405.29478="",332.22988="",450.74613=""),"-",(450.74613-332.22988)/2181405.29478*100)</f>
        <v>0.005433022936343091</v>
      </c>
      <c r="G89" s="47">
        <f>IF(OR(2734888.97913="",583.91204="",450.74613=""),"-",(583.91204-450.74613)/2734888.97913*100)</f>
        <v>0.004869152313537849</v>
      </c>
    </row>
    <row r="90" spans="1:7" s="9" customFormat="1" ht="15.75">
      <c r="A90" s="39" t="s">
        <v>106</v>
      </c>
      <c r="B90" s="47">
        <f>IF(566.28353="","-",566.28353)</f>
        <v>566.28353</v>
      </c>
      <c r="C90" s="47">
        <f>IF(OR(547.5778="",566.28353=""),"-",566.28353/547.5778*100)</f>
        <v>103.41608626208003</v>
      </c>
      <c r="D90" s="47">
        <f>IF(547.5778="","-",547.5778/2734888.97913*100)</f>
        <v>0.02002193888595035</v>
      </c>
      <c r="E90" s="47">
        <f>IF(566.28353="","-",566.28353/2807357.90586*100)</f>
        <v>0.020171404893474958</v>
      </c>
      <c r="F90" s="47">
        <f>IF(OR(2181405.29478="",343.95504="",547.5778=""),"-",(547.5778-343.95504)/2181405.29478*100)</f>
        <v>0.009334476288622736</v>
      </c>
      <c r="G90" s="47">
        <f>IF(OR(2734888.97913="",566.28353="",547.5778=""),"-",(566.28353-547.5778)/2734888.97913*100)</f>
        <v>0.0006839667036850077</v>
      </c>
    </row>
    <row r="91" spans="1:7" s="9" customFormat="1" ht="15.75">
      <c r="A91" s="39" t="s">
        <v>107</v>
      </c>
      <c r="B91" s="47">
        <f>IF(541.43486="","-",541.43486)</f>
        <v>541.43486</v>
      </c>
      <c r="C91" s="47">
        <f>IF(OR(490.573="",541.43486=""),"-",541.43486/490.573*100)</f>
        <v>110.36784739478121</v>
      </c>
      <c r="D91" s="47">
        <f>IF(490.573="","-",490.573/2734888.97913*100)</f>
        <v>0.01793758370974375</v>
      </c>
      <c r="E91" s="47">
        <f>IF(541.43486="","-",541.43486/2807357.90586*100)</f>
        <v>0.019286278349825794</v>
      </c>
      <c r="F91" s="47">
        <f>IF(OR(2181405.29478="",132.14255="",490.573=""),"-",(490.573-132.14255)/2181405.29478*100)</f>
        <v>0.01643117172483752</v>
      </c>
      <c r="G91" s="47">
        <f>IF(OR(2734888.97913="",541.43486="",490.573=""),"-",(541.43486-490.573)/2734888.97913*100)</f>
        <v>0.0018597413053373644</v>
      </c>
    </row>
    <row r="92" spans="1:7" s="9" customFormat="1" ht="15.75">
      <c r="A92" s="39" t="s">
        <v>110</v>
      </c>
      <c r="B92" s="47">
        <f>IF(529.84361="","-",529.84361)</f>
        <v>529.84361</v>
      </c>
      <c r="C92" s="47">
        <f>IF(OR(587.71691="",529.84361=""),"-",529.84361/587.71691*100)</f>
        <v>90.1528611793729</v>
      </c>
      <c r="D92" s="47">
        <f>IF(587.71691="","-",587.71691/2734888.97913*100)</f>
        <v>0.02148960760326584</v>
      </c>
      <c r="E92" s="47">
        <f>IF(529.84361="","-",529.84361/2807357.90586*100)</f>
        <v>0.01887339013290822</v>
      </c>
      <c r="F92" s="47">
        <f>IF(OR(2181405.29478="",26.41403="",587.71691=""),"-",(587.71691-26.41403)/2181405.29478*100)</f>
        <v>0.025731251379244896</v>
      </c>
      <c r="G92" s="47">
        <f>IF(OR(2734888.97913="",529.84361="",587.71691=""),"-",(529.84361-587.71691)/2734888.97913*100)</f>
        <v>-0.002116111492701621</v>
      </c>
    </row>
    <row r="93" spans="1:7" s="9" customFormat="1" ht="15.75">
      <c r="A93" s="39" t="s">
        <v>173</v>
      </c>
      <c r="B93" s="47">
        <f>IF(439.25026="","-",439.25026)</f>
        <v>439.25026</v>
      </c>
      <c r="C93" s="47" t="s">
        <v>146</v>
      </c>
      <c r="D93" s="47">
        <f>IF(288.22172="","-",288.22172/2734888.97913*100)</f>
        <v>0.010538699091605784</v>
      </c>
      <c r="E93" s="47">
        <f>IF(439.25026="","-",439.25026/2807357.90586*100)</f>
        <v>0.015646393325308518</v>
      </c>
      <c r="F93" s="47">
        <f>IF(OR(2181405.29478="",400.33474="",288.22172=""),"-",(288.22172-400.33474)/2181405.29478*100)</f>
        <v>-0.005139486012447168</v>
      </c>
      <c r="G93" s="47">
        <f>IF(OR(2734888.97913="",439.25026="",288.22172=""),"-",(439.25026-288.22172)/2734888.97913*100)</f>
        <v>0.005522291440438799</v>
      </c>
    </row>
    <row r="94" spans="1:7" ht="15.75">
      <c r="A94" s="39" t="s">
        <v>102</v>
      </c>
      <c r="B94" s="47">
        <f>IF(401.35061="","-",401.35061)</f>
        <v>401.35061</v>
      </c>
      <c r="C94" s="47">
        <f>IF(OR(325.17514="",401.35061=""),"-",401.35061/325.17514*100)</f>
        <v>123.42598207230726</v>
      </c>
      <c r="D94" s="47">
        <f>IF(325.17514="","-",325.17514/2734888.97913*100)</f>
        <v>0.011889884469951756</v>
      </c>
      <c r="E94" s="47">
        <f>IF(401.35061="","-",401.35061/2807357.90586*100)</f>
        <v>0.01429638198828272</v>
      </c>
      <c r="F94" s="47">
        <f>IF(OR(2181405.29478="",499.24792="",325.17514=""),"-",(325.17514-499.24792)/2181405.29478*100)</f>
        <v>-0.007979845855171799</v>
      </c>
      <c r="G94" s="47">
        <f>IF(OR(2734888.97913="",401.35061="",325.17514=""),"-",(401.35061-325.17514)/2734888.97913*100)</f>
        <v>0.002785322204348943</v>
      </c>
    </row>
    <row r="95" spans="1:7" ht="15.75">
      <c r="A95" s="39" t="s">
        <v>156</v>
      </c>
      <c r="B95" s="47">
        <f>IF(338.90206="","-",338.90206)</f>
        <v>338.90206</v>
      </c>
      <c r="C95" s="47">
        <f>IF(OR(665.95211="",338.90206=""),"-",338.90206/665.95211*100)</f>
        <v>50.88985452722719</v>
      </c>
      <c r="D95" s="47">
        <f>IF(665.95211="","-",665.95211/2734888.97913*100)</f>
        <v>0.024350242919617418</v>
      </c>
      <c r="E95" s="47">
        <f>IF(338.90206="","-",338.90206/2807357.90586*100)</f>
        <v>0.012071922119106559</v>
      </c>
      <c r="F95" s="47">
        <f>IF(OR(2181405.29478="",574.4631="",665.95211=""),"-",(665.95211-574.4631)/2181405.29478*100)</f>
        <v>0.004194039971339978</v>
      </c>
      <c r="G95" s="47">
        <f>IF(OR(2734888.97913="",338.90206="",665.95211=""),"-",(338.90206-665.95211)/2734888.97913*100)</f>
        <v>-0.011958439720797676</v>
      </c>
    </row>
    <row r="96" spans="1:7" ht="15.75">
      <c r="A96" s="39" t="s">
        <v>101</v>
      </c>
      <c r="B96" s="47">
        <f>IF(326.65833="","-",326.65833)</f>
        <v>326.65833</v>
      </c>
      <c r="C96" s="47">
        <f>IF(OR(753.97286="",326.65833=""),"-",326.65833/753.97286*100)</f>
        <v>43.324945409838755</v>
      </c>
      <c r="D96" s="47">
        <f>IF(753.97286="","-",753.97286/2734888.97913*100)</f>
        <v>0.02756868252252958</v>
      </c>
      <c r="E96" s="47">
        <f>IF(326.65833="","-",326.65833/2807357.90586*100)</f>
        <v>0.011635792120347127</v>
      </c>
      <c r="F96" s="47">
        <f>IF(OR(2181405.29478="",544.57518="",753.97286=""),"-",(753.97286-544.57518)/2181405.29478*100)</f>
        <v>0.009599210220176815</v>
      </c>
      <c r="G96" s="47">
        <f>IF(OR(2734888.97913="",326.65833="",753.97286=""),"-",(326.65833-753.97286)/2734888.97913*100)</f>
        <v>-0.015624565869431882</v>
      </c>
    </row>
    <row r="97" spans="1:7" ht="15.75">
      <c r="A97" s="39" t="s">
        <v>68</v>
      </c>
      <c r="B97" s="47">
        <f>IF(304.95103="","-",304.95103)</f>
        <v>304.95103</v>
      </c>
      <c r="C97" s="47">
        <f>IF(OR(271.24115="",304.95103=""),"-",304.95103/271.24115*100)</f>
        <v>112.42801101529028</v>
      </c>
      <c r="D97" s="47">
        <f>IF(271.24115="","-",271.24115/2734888.97913*100)</f>
        <v>0.009917812096573112</v>
      </c>
      <c r="E97" s="47">
        <f>IF(304.95103="","-",304.95103/2807357.90586*100)</f>
        <v>0.010862563314903803</v>
      </c>
      <c r="F97" s="47">
        <f>IF(OR(2181405.29478="",378.36426="",271.24115=""),"-",(271.24115-378.36426)/2181405.29478*100)</f>
        <v>-0.004910738515962189</v>
      </c>
      <c r="G97" s="47">
        <f>IF(OR(2734888.97913="",304.95103="",271.24115=""),"-",(304.95103-271.24115)/2734888.97913*100)</f>
        <v>0.0012325867798378969</v>
      </c>
    </row>
    <row r="98" spans="1:7" ht="15.75">
      <c r="A98" s="39" t="s">
        <v>99</v>
      </c>
      <c r="B98" s="47">
        <f>IF(299.40968="","-",299.40968)</f>
        <v>299.40968</v>
      </c>
      <c r="C98" s="47">
        <f>IF(OR(781.17079="",299.40968=""),"-",299.40968/781.17079*100)</f>
        <v>38.328325102888186</v>
      </c>
      <c r="D98" s="47">
        <f>IF(781.17079="","-",781.17079/2734888.97913*100)</f>
        <v>0.028563162744854802</v>
      </c>
      <c r="E98" s="47">
        <f>IF(299.40968="","-",299.40968/2807357.90586*100)</f>
        <v>0.010665176655068477</v>
      </c>
      <c r="F98" s="47">
        <f>IF(OR(2181405.29478="",343.6729="",781.17079=""),"-",(781.17079-343.6729)/2181405.29478*100)</f>
        <v>0.020055781979025713</v>
      </c>
      <c r="G98" s="47">
        <f>IF(OR(2734888.97913="",299.40968="",781.17079=""),"-",(299.40968-781.17079)/2734888.97913*100)</f>
        <v>-0.017615380868339813</v>
      </c>
    </row>
    <row r="99" spans="1:7" ht="15.75">
      <c r="A99" s="39" t="s">
        <v>123</v>
      </c>
      <c r="B99" s="47">
        <f>IF(271.0003="","-",271.0003)</f>
        <v>271.0003</v>
      </c>
      <c r="C99" s="47" t="s">
        <v>239</v>
      </c>
      <c r="D99" s="47">
        <f>IF(0.56135="","-",0.56135/2734888.97913*100)</f>
        <v>2.0525513257893635E-05</v>
      </c>
      <c r="E99" s="47">
        <f>IF(271.0003="","-",271.0003/2807357.90586*100)</f>
        <v>0.009653215196905303</v>
      </c>
      <c r="F99" s="47" t="str">
        <f>IF(OR(2181405.29478="",""="",0.56135=""),"-",(0.56135-"")/2181405.29478*100)</f>
        <v>-</v>
      </c>
      <c r="G99" s="47">
        <f>IF(OR(2734888.97913="",271.0003="",0.56135=""),"-",(271.0003-0.56135)/2734888.97913*100)</f>
        <v>0.009888480010111042</v>
      </c>
    </row>
    <row r="100" spans="1:7" ht="15.75">
      <c r="A100" s="39" t="s">
        <v>103</v>
      </c>
      <c r="B100" s="47">
        <f>IF(247.02959="","-",247.02959)</f>
        <v>247.02959</v>
      </c>
      <c r="C100" s="47">
        <f>IF(OR(322.29072="",247.02959=""),"-",247.02959/322.29072*100)</f>
        <v>76.64806172514058</v>
      </c>
      <c r="D100" s="47">
        <f>IF(322.29072="","-",322.29072/2734888.97913*100)</f>
        <v>0.011784416934632735</v>
      </c>
      <c r="E100" s="47">
        <f>IF(247.02959="","-",247.02959/2807357.90586*100)</f>
        <v>0.00879936218621635</v>
      </c>
      <c r="F100" s="47">
        <f>IF(OR(2181405.29478="",438.46898="",322.29072=""),"-",(322.29072-438.46898)/2181405.29478*100)</f>
        <v>-0.005325844778960107</v>
      </c>
      <c r="G100" s="47">
        <f>IF(OR(2734888.97913="",247.02959="",322.29072=""),"-",(247.02959-322.29072)/2734888.97913*100)</f>
        <v>-0.0027518897686275167</v>
      </c>
    </row>
    <row r="101" spans="1:7" ht="15.75">
      <c r="A101" s="39" t="s">
        <v>112</v>
      </c>
      <c r="B101" s="47">
        <f>IF(242.81974="","-",242.81974)</f>
        <v>242.81974</v>
      </c>
      <c r="C101" s="47">
        <f>IF(OR(399.98356="",242.81974=""),"-",242.81974/399.98356*100)</f>
        <v>60.70743007537609</v>
      </c>
      <c r="D101" s="47">
        <f>IF(399.98356="","-",399.98356/2734888.97913*100)</f>
        <v>0.014625221098636313</v>
      </c>
      <c r="E101" s="47">
        <f>IF(242.81974="","-",242.81974/2807357.90586*100)</f>
        <v>0.008649404462934523</v>
      </c>
      <c r="F101" s="47">
        <f>IF(OR(2181405.29478="",213.50759="",399.98356=""),"-",(399.98356-213.50759)/2181405.29478*100)</f>
        <v>0.008548432996207913</v>
      </c>
      <c r="G101" s="47">
        <f>IF(OR(2734888.97913="",242.81974="",399.98356=""),"-",(242.81974-399.98356)/2734888.97913*100)</f>
        <v>-0.005746625226812521</v>
      </c>
    </row>
    <row r="102" spans="1:7" ht="15.75">
      <c r="A102" s="39" t="s">
        <v>72</v>
      </c>
      <c r="B102" s="47">
        <f>IF(222.08877="","-",222.08877)</f>
        <v>222.08877</v>
      </c>
      <c r="C102" s="47">
        <f>IF(OR(162.03981="",222.08877=""),"-",222.08877/162.03981*100)</f>
        <v>137.05815256139834</v>
      </c>
      <c r="D102" s="47">
        <f>IF(162.03981="","-",162.03981/2734888.97913*100)</f>
        <v>0.005924913634027907</v>
      </c>
      <c r="E102" s="47">
        <f>IF(222.08877="","-",222.08877/2807357.90586*100)</f>
        <v>0.007910953196826744</v>
      </c>
      <c r="F102" s="47">
        <f>IF(OR(2181405.29478="",50.73901="",162.03981=""),"-",(162.03981-50.73901)/2181405.29478*100)</f>
        <v>0.005102252216327592</v>
      </c>
      <c r="G102" s="47">
        <f>IF(OR(2734888.97913="",222.08877="",162.03981=""),"-",(222.08877-162.03981)/2734888.97913*100)</f>
        <v>0.002195663533629153</v>
      </c>
    </row>
    <row r="103" spans="1:7" ht="15.75">
      <c r="A103" s="39" t="s">
        <v>117</v>
      </c>
      <c r="B103" s="47">
        <f>IF(136.49542="","-",136.49542)</f>
        <v>136.49542</v>
      </c>
      <c r="C103" s="47" t="s">
        <v>274</v>
      </c>
      <c r="D103" s="47">
        <f>IF(17.89008="","-",17.89008/2734888.97913*100)</f>
        <v>0.0006541428239507931</v>
      </c>
      <c r="E103" s="47">
        <f>IF(136.49542="","-",136.49542/2807357.90586*100)</f>
        <v>0.004862059793483521</v>
      </c>
      <c r="F103" s="47">
        <f>IF(OR(2181405.29478="",61.10502="",17.89008=""),"-",(17.89008-61.10502)/2181405.29478*100)</f>
        <v>-0.001981059645514353</v>
      </c>
      <c r="G103" s="47">
        <f>IF(OR(2734888.97913="",136.49542="",17.89008=""),"-",(136.49542-17.89008)/2734888.97913*100)</f>
        <v>0.004336751542935748</v>
      </c>
    </row>
    <row r="104" spans="1:7" ht="15.75">
      <c r="A104" s="39" t="s">
        <v>158</v>
      </c>
      <c r="B104" s="47">
        <f>IF(129.2512="","-",129.2512)</f>
        <v>129.2512</v>
      </c>
      <c r="C104" s="47">
        <f>IF(OR(89.03067="",129.2512=""),"-",129.2512/89.03067*100)</f>
        <v>145.17603877405395</v>
      </c>
      <c r="D104" s="47">
        <f>IF(89.03067="","-",89.03067/2734888.97913*100)</f>
        <v>0.0032553668788530385</v>
      </c>
      <c r="E104" s="47">
        <f>IF(129.2512="","-",129.2512/2807357.90586*100)</f>
        <v>0.00460401574484695</v>
      </c>
      <c r="F104" s="47">
        <f>IF(OR(2181405.29478="",42.34909="",89.03067=""),"-",(89.03067-42.34909)/2181405.29478*100)</f>
        <v>0.0021399773857571</v>
      </c>
      <c r="G104" s="47">
        <f>IF(OR(2734888.97913="",129.2512="",89.03067=""),"-",(129.2512-89.03067)/2734888.97913*100)</f>
        <v>0.0014706458034283584</v>
      </c>
    </row>
    <row r="105" spans="1:7" ht="15.75">
      <c r="A105" s="39" t="s">
        <v>167</v>
      </c>
      <c r="B105" s="47">
        <f>IF(126.26368="","-",126.26368)</f>
        <v>126.26368</v>
      </c>
      <c r="C105" s="47">
        <f>IF(OR(86.78529="",126.26368=""),"-",126.26368/86.78529*100)</f>
        <v>145.48972527487086</v>
      </c>
      <c r="D105" s="47">
        <f>IF(86.78529="","-",86.78529/2734888.97913*100)</f>
        <v>0.0031732655571125746</v>
      </c>
      <c r="E105" s="47">
        <f>IF(126.26368="","-",126.26368/2807357.90586*100)</f>
        <v>0.004497598248390088</v>
      </c>
      <c r="F105" s="47">
        <f>IF(OR(2181405.29478="",155.14175="",86.78529=""),"-",(86.78529-155.14175)/2181405.29478*100)</f>
        <v>-0.0031335974183052447</v>
      </c>
      <c r="G105" s="47">
        <f>IF(OR(2734888.97913="",126.26368="",86.78529=""),"-",(126.26368-86.78529)/2734888.97913*100)</f>
        <v>0.0014435097841726111</v>
      </c>
    </row>
    <row r="106" spans="1:7" ht="15.75">
      <c r="A106" s="40" t="s">
        <v>157</v>
      </c>
      <c r="B106" s="48">
        <f>IF(124.31549="","-",124.31549)</f>
        <v>124.31549</v>
      </c>
      <c r="C106" s="48" t="s">
        <v>275</v>
      </c>
      <c r="D106" s="48">
        <f>IF(17.03998="","-",17.03998/2734888.97913*100)</f>
        <v>0.0006230592952778879</v>
      </c>
      <c r="E106" s="48">
        <f>IF(124.31549="","-",124.31549/2807357.90586*100)</f>
        <v>0.004428202394162402</v>
      </c>
      <c r="F106" s="48">
        <f>IF(OR(2181405.29478="",3.34068="",17.03998=""),"-",(17.03998-3.34068)/2181405.29478*100)</f>
        <v>0.0006280034266342793</v>
      </c>
      <c r="G106" s="48">
        <f>IF(OR(2734888.97913="",124.31549="",17.03998=""),"-",(124.31549-17.03998)/2734888.97913*100)</f>
        <v>0.003922481344530687</v>
      </c>
    </row>
    <row r="107" ht="15.75">
      <c r="A107" s="27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4"/>
  <sheetViews>
    <sheetView zoomScale="93" zoomScaleNormal="93" zoomScalePageLayoutView="0" workbookViewId="0" topLeftCell="A1">
      <selection activeCell="F29" sqref="F29"/>
    </sheetView>
  </sheetViews>
  <sheetFormatPr defaultColWidth="9.00390625" defaultRowHeight="15.75"/>
  <cols>
    <col min="1" max="1" width="42.625" style="0" customWidth="1"/>
    <col min="2" max="2" width="13.75390625" style="0" customWidth="1"/>
    <col min="3" max="3" width="14.125" style="0" customWidth="1"/>
    <col min="4" max="4" width="17.125" style="0" customWidth="1"/>
  </cols>
  <sheetData>
    <row r="1" spans="1:4" ht="15.75">
      <c r="A1" s="72" t="s">
        <v>135</v>
      </c>
      <c r="B1" s="72"/>
      <c r="C1" s="72"/>
      <c r="D1" s="72"/>
    </row>
    <row r="2" ht="15.75">
      <c r="A2" s="4"/>
    </row>
    <row r="3" spans="1:5" ht="32.25" customHeight="1">
      <c r="A3" s="73"/>
      <c r="B3" s="71" t="s">
        <v>262</v>
      </c>
      <c r="C3" s="71"/>
      <c r="D3" s="75" t="s">
        <v>264</v>
      </c>
      <c r="E3" s="1"/>
    </row>
    <row r="4" spans="1:5" ht="21" customHeight="1">
      <c r="A4" s="74"/>
      <c r="B4" s="21">
        <v>2018</v>
      </c>
      <c r="C4" s="20">
        <v>2019</v>
      </c>
      <c r="D4" s="76"/>
      <c r="E4" s="1"/>
    </row>
    <row r="5" spans="1:4" ht="17.25" customHeight="1">
      <c r="A5" s="28" t="s">
        <v>291</v>
      </c>
      <c r="B5" s="45">
        <f>IF(-1420091.44209="","-",-1420091.44209)</f>
        <v>-1420091.44209</v>
      </c>
      <c r="C5" s="45">
        <f>IF(-1445995.85206="","-",-1445995.85206)</f>
        <v>-1445995.85206</v>
      </c>
      <c r="D5" s="45">
        <f>IF(-1420091.44209="","-",-1445995.85206/-1420091.44209*100)</f>
        <v>101.82413675642432</v>
      </c>
    </row>
    <row r="6" spans="1:4" ht="15.75">
      <c r="A6" s="29" t="s">
        <v>168</v>
      </c>
      <c r="B6" s="36"/>
      <c r="C6" s="36"/>
      <c r="D6" s="36"/>
    </row>
    <row r="7" spans="1:4" ht="15.75">
      <c r="A7" s="26" t="s">
        <v>292</v>
      </c>
      <c r="B7" s="46">
        <f>IF(-495283.02057="","-",-495283.02057)</f>
        <v>-495283.02057</v>
      </c>
      <c r="C7" s="46">
        <f>IF(-522615.97363="","-",-522615.97363)</f>
        <v>-522615.97363</v>
      </c>
      <c r="D7" s="46">
        <f>IF(-495283.02057="","-",-522615.97363/-495283.02057*100)</f>
        <v>105.51865336076808</v>
      </c>
    </row>
    <row r="8" spans="1:4" ht="15.75">
      <c r="A8" s="39" t="s">
        <v>4</v>
      </c>
      <c r="B8" s="47">
        <f>IF(-122688.70143="","-",-122688.70143)</f>
        <v>-122688.70143</v>
      </c>
      <c r="C8" s="47">
        <f>IF(-113438.72888="","-",-113438.72888)</f>
        <v>-113438.72888</v>
      </c>
      <c r="D8" s="47">
        <f>IF(OR(-122688.70143="",-113438.72888="",-122688.70143=0),"-",-113438.72888/-122688.70143*100)</f>
        <v>92.46061581695233</v>
      </c>
    </row>
    <row r="9" spans="1:4" ht="15.75">
      <c r="A9" s="39" t="s">
        <v>3</v>
      </c>
      <c r="B9" s="47">
        <f>IF(-48337.48426="","-",-48337.48426)</f>
        <v>-48337.48426</v>
      </c>
      <c r="C9" s="47">
        <f>IF(-64892.03574="","-",-64892.03574)</f>
        <v>-64892.03574</v>
      </c>
      <c r="D9" s="47">
        <f>IF(OR(-48337.48426="",-64892.03574="",-48337.48426=0),"-",-64892.03574/-48337.48426*100)</f>
        <v>134.24785491722238</v>
      </c>
    </row>
    <row r="10" spans="1:4" ht="15.75">
      <c r="A10" s="39" t="s">
        <v>169</v>
      </c>
      <c r="B10" s="47">
        <f>IF(-49464.32754="","-",-49464.32754)</f>
        <v>-49464.32754</v>
      </c>
      <c r="C10" s="47">
        <f>IF(-58519.7225="","-",-58519.7225)</f>
        <v>-58519.7225</v>
      </c>
      <c r="D10" s="47">
        <f>IF(OR(-49464.32754="",-58519.7225="",-49464.32754=0),"-",-58519.7225/-49464.32754*100)</f>
        <v>118.30692017934994</v>
      </c>
    </row>
    <row r="11" spans="1:4" ht="15.75">
      <c r="A11" s="39" t="s">
        <v>50</v>
      </c>
      <c r="B11" s="47">
        <f>IF(-57656.36086="","-",-57656.36086)</f>
        <v>-57656.36086</v>
      </c>
      <c r="C11" s="47">
        <f>IF(-52750.46681="","-",-52750.46681)</f>
        <v>-52750.46681</v>
      </c>
      <c r="D11" s="47">
        <f>IF(OR(-57656.36086="",-52750.46681="",-57656.36086=0),"-",-52750.46681/-57656.36086*100)</f>
        <v>91.49114863160997</v>
      </c>
    </row>
    <row r="12" spans="1:4" ht="15.75">
      <c r="A12" s="39" t="s">
        <v>5</v>
      </c>
      <c r="B12" s="47">
        <f>IF(-50052.01198="","-",-50052.01198)</f>
        <v>-50052.01198</v>
      </c>
      <c r="C12" s="47">
        <f>IF(-41861.10406="","-",-41861.10406)</f>
        <v>-41861.10406</v>
      </c>
      <c r="D12" s="47">
        <f>IF(OR(-50052.01198="",-41861.10406="",-50052.01198=0),"-",-41861.10406/-50052.01198*100)</f>
        <v>83.63520746524044</v>
      </c>
    </row>
    <row r="13" spans="1:4" ht="15.75">
      <c r="A13" s="39" t="s">
        <v>8</v>
      </c>
      <c r="B13" s="47">
        <f>IF(-33735.45586="","-",-33735.45586)</f>
        <v>-33735.45586</v>
      </c>
      <c r="C13" s="47">
        <f>IF(-32528.17094="","-",-32528.17094)</f>
        <v>-32528.17094</v>
      </c>
      <c r="D13" s="47">
        <f>IF(OR(-33735.45586="",-32528.17094="",-33735.45586=0),"-",-32528.17094/-33735.45586*100)</f>
        <v>96.42131730778989</v>
      </c>
    </row>
    <row r="14" spans="1:4" ht="15.75">
      <c r="A14" s="39" t="s">
        <v>7</v>
      </c>
      <c r="B14" s="47">
        <f>IF(-19690.07143="","-",-19690.07143)</f>
        <v>-19690.07143</v>
      </c>
      <c r="C14" s="47">
        <f>IF(-29085.79328="","-",-29085.79328)</f>
        <v>-29085.79328</v>
      </c>
      <c r="D14" s="47">
        <f>IF(OR(-19690.07143="",-29085.79328="",-19690.07143=0),"-",-29085.79328/-19690.07143*100)</f>
        <v>147.71806889275464</v>
      </c>
    </row>
    <row r="15" spans="1:4" ht="15.75">
      <c r="A15" s="39" t="s">
        <v>48</v>
      </c>
      <c r="B15" s="47">
        <f>IF(-22424.13164="","-",-22424.13164)</f>
        <v>-22424.13164</v>
      </c>
      <c r="C15" s="47">
        <f>IF(-21315.81696="","-",-21315.81696)</f>
        <v>-21315.81696</v>
      </c>
      <c r="D15" s="47">
        <f>IF(OR(-22424.13164="",-21315.81696="",-22424.13164=0),"-",-21315.81696/-22424.13164*100)</f>
        <v>95.0574911983526</v>
      </c>
    </row>
    <row r="16" spans="1:4" ht="15.75">
      <c r="A16" s="39" t="s">
        <v>2</v>
      </c>
      <c r="B16" s="47">
        <f>IF(-40301.11569="","-",-40301.11569)</f>
        <v>-40301.11569</v>
      </c>
      <c r="C16" s="47">
        <f>IF(-18203.01442="","-",-18203.01442)</f>
        <v>-18203.01442</v>
      </c>
      <c r="D16" s="47">
        <f>IF(OR(-40301.11569="",-18203.01442="",-40301.11569=0),"-",-18203.01442/-40301.11569*100)</f>
        <v>45.16751982753855</v>
      </c>
    </row>
    <row r="17" spans="1:4" ht="15.75">
      <c r="A17" s="39" t="s">
        <v>49</v>
      </c>
      <c r="B17" s="47">
        <f>IF(-15711.70963="","-",-15711.70963)</f>
        <v>-15711.70963</v>
      </c>
      <c r="C17" s="47">
        <f>IF(-13065.68573="","-",-13065.68573)</f>
        <v>-13065.68573</v>
      </c>
      <c r="D17" s="47">
        <f>IF(OR(-15711.70963="",-13065.68573="",-15711.70963=0),"-",-13065.68573/-15711.70963*100)</f>
        <v>83.15890528585335</v>
      </c>
    </row>
    <row r="18" spans="1:4" ht="15.75">
      <c r="A18" s="39" t="s">
        <v>52</v>
      </c>
      <c r="B18" s="47">
        <f>IF(-2608.17992="","-",-2608.17992)</f>
        <v>-2608.17992</v>
      </c>
      <c r="C18" s="47">
        <f>IF(-11776.8519="","-",-11776.8519)</f>
        <v>-11776.8519</v>
      </c>
      <c r="D18" s="47" t="s">
        <v>232</v>
      </c>
    </row>
    <row r="19" spans="1:4" ht="15.75">
      <c r="A19" s="39" t="s">
        <v>58</v>
      </c>
      <c r="B19" s="47">
        <f>IF(-11084.27671="","-",-11084.27671)</f>
        <v>-11084.27671</v>
      </c>
      <c r="C19" s="47">
        <f>IF(-11664.47061="","-",-11664.47061)</f>
        <v>-11664.47061</v>
      </c>
      <c r="D19" s="47">
        <f>IF(OR(-11084.27671="",-11664.47061="",-11084.27671=0),"-",-11664.47061/-11084.27671*100)</f>
        <v>105.23438664677653</v>
      </c>
    </row>
    <row r="20" spans="1:4" ht="15.75">
      <c r="A20" s="39" t="s">
        <v>10</v>
      </c>
      <c r="B20" s="47">
        <f>IF(-11445.62593="","-",-11445.62593)</f>
        <v>-11445.62593</v>
      </c>
      <c r="C20" s="47">
        <f>IF(-11126.25121="","-",-11126.25121)</f>
        <v>-11126.25121</v>
      </c>
      <c r="D20" s="47">
        <f>IF(OR(-11445.62593="",-11126.25121="",-11445.62593=0),"-",-11126.25121/-11445.62593*100)</f>
        <v>97.20963517457886</v>
      </c>
    </row>
    <row r="21" spans="1:4" ht="15.75">
      <c r="A21" s="39" t="s">
        <v>60</v>
      </c>
      <c r="B21" s="47">
        <f>IF(-10482.36584="","-",-10482.36584)</f>
        <v>-10482.36584</v>
      </c>
      <c r="C21" s="47">
        <f>IF(-10736.04435="","-",-10736.04435)</f>
        <v>-10736.04435</v>
      </c>
      <c r="D21" s="47">
        <f>IF(OR(-10482.36584="",-10736.04435="",-10482.36584=0),"-",-10736.04435/-10482.36584*100)</f>
        <v>102.4200501477632</v>
      </c>
    </row>
    <row r="22" spans="1:4" ht="15.75">
      <c r="A22" s="39" t="s">
        <v>59</v>
      </c>
      <c r="B22" s="47">
        <f>IF(1260.11975="","-",1260.11975)</f>
        <v>1260.11975</v>
      </c>
      <c r="C22" s="47">
        <f>IF(-8506.81033="","-",-8506.81033)</f>
        <v>-8506.81033</v>
      </c>
      <c r="D22" s="47" t="s">
        <v>296</v>
      </c>
    </row>
    <row r="23" spans="1:6" ht="15.75">
      <c r="A23" s="39" t="s">
        <v>57</v>
      </c>
      <c r="B23" s="47">
        <f>IF(-5852.7486="","-",-5852.7486)</f>
        <v>-5852.7486</v>
      </c>
      <c r="C23" s="47">
        <f>IF(-6081.84023="","-",-6081.84023)</f>
        <v>-6081.84023</v>
      </c>
      <c r="D23" s="47">
        <f>IF(OR(-5852.7486="",-6081.84023="",-5852.7486=0),"-",-6081.84023/-5852.7486*100)</f>
        <v>103.91425714065355</v>
      </c>
      <c r="F23" t="s">
        <v>118</v>
      </c>
    </row>
    <row r="24" spans="1:4" ht="15.75">
      <c r="A24" s="39" t="s">
        <v>56</v>
      </c>
      <c r="B24" s="47">
        <f>IF(-6861.0064="","-",-6861.0064)</f>
        <v>-6861.0064</v>
      </c>
      <c r="C24" s="47">
        <f>IF(-5725.30658="","-",-5725.30658)</f>
        <v>-5725.30658</v>
      </c>
      <c r="D24" s="47">
        <f>IF(OR(-6861.0064="",-5725.30658="",-6861.0064=0),"-",-5725.30658/-6861.0064*100)</f>
        <v>83.44703744919988</v>
      </c>
    </row>
    <row r="25" spans="1:4" ht="15.75">
      <c r="A25" s="39" t="s">
        <v>51</v>
      </c>
      <c r="B25" s="47">
        <f>IF(-1277.47311="","-",-1277.47311)</f>
        <v>-1277.47311</v>
      </c>
      <c r="C25" s="47">
        <f>IF(-3590.89823="","-",-3590.89823)</f>
        <v>-3590.89823</v>
      </c>
      <c r="D25" s="47" t="s">
        <v>297</v>
      </c>
    </row>
    <row r="26" spans="1:4" ht="15.75">
      <c r="A26" s="39" t="s">
        <v>6</v>
      </c>
      <c r="B26" s="47">
        <f>IF(-3533.69674="","-",-3533.69674)</f>
        <v>-3533.69674</v>
      </c>
      <c r="C26" s="47">
        <f>IF(-3451.55949="","-",-3451.55949)</f>
        <v>-3451.55949</v>
      </c>
      <c r="D26" s="47">
        <f>IF(OR(-3533.69674="",-3451.55949="",-3533.69674=0),"-",-3451.55949/-3533.69674*100)</f>
        <v>97.6755999157981</v>
      </c>
    </row>
    <row r="27" spans="1:4" ht="15.75">
      <c r="A27" s="39" t="s">
        <v>61</v>
      </c>
      <c r="B27" s="47">
        <f>IF(-2599.11593="","-",-2599.11593)</f>
        <v>-2599.11593</v>
      </c>
      <c r="C27" s="47">
        <f>IF(-2936.63187="","-",-2936.63187)</f>
        <v>-2936.63187</v>
      </c>
      <c r="D27" s="47">
        <f>IF(OR(-2599.11593="",-2936.63187="",-2599.11593=0),"-",-2936.63187/-2599.11593*100)</f>
        <v>112.98579782857165</v>
      </c>
    </row>
    <row r="28" spans="1:4" ht="15.75">
      <c r="A28" s="39" t="s">
        <v>171</v>
      </c>
      <c r="B28" s="47">
        <f>IF(-1386.65902="","-",-1386.65902)</f>
        <v>-1386.65902</v>
      </c>
      <c r="C28" s="47">
        <f>IF(-2403.3806="","-",-2403.3806)</f>
        <v>-2403.3806</v>
      </c>
      <c r="D28" s="47" t="s">
        <v>114</v>
      </c>
    </row>
    <row r="29" spans="1:4" ht="15.75">
      <c r="A29" s="39" t="s">
        <v>170</v>
      </c>
      <c r="B29" s="47">
        <f>IF(13237.7651="","-",13237.7651)</f>
        <v>13237.7651</v>
      </c>
      <c r="C29" s="47">
        <f>IF(-1399.04975="","-",-1399.04975)</f>
        <v>-1399.04975</v>
      </c>
      <c r="D29" s="47" t="s">
        <v>22</v>
      </c>
    </row>
    <row r="30" spans="1:4" ht="15.75">
      <c r="A30" s="39" t="s">
        <v>53</v>
      </c>
      <c r="B30" s="47">
        <f>IF(-2339.87598="","-",-2339.87598)</f>
        <v>-2339.87598</v>
      </c>
      <c r="C30" s="47">
        <f>IF(-1164.02479="","-",-1164.02479)</f>
        <v>-1164.02479</v>
      </c>
      <c r="D30" s="47">
        <f>IF(OR(-2339.87598="",-1164.02479="",-2339.87598=0),"-",-1164.02479/-2339.87598*100)</f>
        <v>49.747285751443975</v>
      </c>
    </row>
    <row r="31" spans="1:4" ht="15.75">
      <c r="A31" s="39" t="s">
        <v>62</v>
      </c>
      <c r="B31" s="47">
        <f>IF(-492.13093="","-",-492.13093)</f>
        <v>-492.13093</v>
      </c>
      <c r="C31" s="47">
        <f>IF(-717.9419="","-",-717.9419)</f>
        <v>-717.9419</v>
      </c>
      <c r="D31" s="47">
        <f>IF(OR(-492.13093="",-717.9419="",-492.13093=0),"-",-717.9419/-492.13093*100)</f>
        <v>145.88432797751608</v>
      </c>
    </row>
    <row r="32" spans="1:4" ht="15.75">
      <c r="A32" s="39" t="s">
        <v>54</v>
      </c>
      <c r="B32" s="47">
        <f>IF(-617.12781="","-",-617.12781)</f>
        <v>-617.12781</v>
      </c>
      <c r="C32" s="47">
        <f>IF(-687.84346="","-",-687.84346)</f>
        <v>-687.84346</v>
      </c>
      <c r="D32" s="47">
        <f>IF(OR(-617.12781="",-687.84346="",-617.12781=0),"-",-687.84346/-617.12781*100)</f>
        <v>111.45883378679696</v>
      </c>
    </row>
    <row r="33" spans="1:4" ht="15.75">
      <c r="A33" s="39" t="s">
        <v>9</v>
      </c>
      <c r="B33" s="47">
        <f>IF(6086.77933="","-",6086.77933)</f>
        <v>6086.77933</v>
      </c>
      <c r="C33" s="47">
        <f>IF(170.42311="","-",170.42311)</f>
        <v>170.42311</v>
      </c>
      <c r="D33" s="47">
        <f>IF(OR(6086.77933="",170.42311="",6086.77933=0),"-",170.42311/6086.77933*100)</f>
        <v>2.79988974070463</v>
      </c>
    </row>
    <row r="34" spans="1:4" ht="15.75">
      <c r="A34" s="39" t="s">
        <v>63</v>
      </c>
      <c r="B34" s="47">
        <f>IF(515.36706="","-",515.36706)</f>
        <v>515.36706</v>
      </c>
      <c r="C34" s="47">
        <f>IF(412.60934="","-",412.60934)</f>
        <v>412.60934</v>
      </c>
      <c r="D34" s="47">
        <f>IF(OR(515.36706="",412.60934="",515.36706=0),"-",412.60934/515.36706*100)</f>
        <v>80.06125575817748</v>
      </c>
    </row>
    <row r="35" spans="1:4" ht="15.75">
      <c r="A35" s="39" t="s">
        <v>55</v>
      </c>
      <c r="B35" s="47">
        <f>IF(4258.60143="","-",4258.60143)</f>
        <v>4258.60143</v>
      </c>
      <c r="C35" s="47">
        <f>IF(4430.43854="","-",4430.43854)</f>
        <v>4430.43854</v>
      </c>
      <c r="D35" s="47">
        <f>IF(OR(4258.60143="",4430.43854="",4258.60143=0),"-",4430.43854/4258.60143*100)</f>
        <v>104.03505969799104</v>
      </c>
    </row>
    <row r="36" spans="1:4" ht="15.75">
      <c r="A36" s="26" t="s">
        <v>293</v>
      </c>
      <c r="B36" s="46">
        <f>IF(-429186.5109="","-",-429186.5109)</f>
        <v>-429186.5109</v>
      </c>
      <c r="C36" s="46">
        <f>IF(-493322.17399="","-",-493322.17399)</f>
        <v>-493322.17399</v>
      </c>
      <c r="D36" s="46">
        <f>IF(-429186.5109="","-",-493322.17399/-429186.5109*100)</f>
        <v>114.94354120205412</v>
      </c>
    </row>
    <row r="37" spans="1:4" ht="15.75">
      <c r="A37" s="39" t="s">
        <v>12</v>
      </c>
      <c r="B37" s="47">
        <f>IF(-217137.17767="","-",-217137.17767)</f>
        <v>-217137.17767</v>
      </c>
      <c r="C37" s="47">
        <f>IF(-235550.61892="","-",-235550.61892)</f>
        <v>-235550.61892</v>
      </c>
      <c r="D37" s="47">
        <f>IF(OR(-217137.17767="",-235550.61892="",-217137.17767=0),"-",-235550.61892/-217137.17767*100)</f>
        <v>108.48009606074199</v>
      </c>
    </row>
    <row r="38" spans="1:4" ht="15.75">
      <c r="A38" s="39" t="s">
        <v>172</v>
      </c>
      <c r="B38" s="47">
        <f>IF(-216104.6664="","-",-216104.6664)</f>
        <v>-216104.6664</v>
      </c>
      <c r="C38" s="47">
        <f>IF(-234008.68683="","-",-234008.68683)</f>
        <v>-234008.68683</v>
      </c>
      <c r="D38" s="47">
        <f>IF(OR(-216104.6664="",-234008.68683="",-216104.6664=0),"-",-234008.68683/-216104.6664*100)</f>
        <v>108.2848837687107</v>
      </c>
    </row>
    <row r="39" spans="1:4" ht="15.75">
      <c r="A39" s="39" t="s">
        <v>11</v>
      </c>
      <c r="B39" s="47">
        <f>IF(-911.89812="","-",-911.89812)</f>
        <v>-911.89812</v>
      </c>
      <c r="C39" s="47">
        <f>IF(-21507.28687="","-",-21507.28687)</f>
        <v>-21507.28687</v>
      </c>
      <c r="D39" s="47" t="s">
        <v>298</v>
      </c>
    </row>
    <row r="40" spans="1:4" ht="15.75">
      <c r="A40" s="39" t="s">
        <v>15</v>
      </c>
      <c r="B40" s="47">
        <f>IF(-511.0006="","-",-511.0006)</f>
        <v>-511.0006</v>
      </c>
      <c r="C40" s="47">
        <f>IF(-2987.72841="","-",-2987.72841)</f>
        <v>-2987.72841</v>
      </c>
      <c r="D40" s="47" t="s">
        <v>299</v>
      </c>
    </row>
    <row r="41" spans="1:4" ht="15.75">
      <c r="A41" s="39" t="s">
        <v>16</v>
      </c>
      <c r="B41" s="47">
        <f>IF(-3421.82148="","-",-3421.82148)</f>
        <v>-3421.82148</v>
      </c>
      <c r="C41" s="47">
        <f>IF(-1723.06574="","-",-1723.06574)</f>
        <v>-1723.06574</v>
      </c>
      <c r="D41" s="47">
        <f>IF(OR(-3421.82148="",-1723.06574="",-3421.82148=0),"-",-1723.06574/-3421.82148*100)</f>
        <v>50.355220167710215</v>
      </c>
    </row>
    <row r="42" spans="1:4" ht="15.75">
      <c r="A42" s="39" t="s">
        <v>13</v>
      </c>
      <c r="B42" s="47">
        <f>IF(6230.53599="","-",6230.53599)</f>
        <v>6230.53599</v>
      </c>
      <c r="C42" s="47">
        <f>IF(-169.58594="","-",-169.58594)</f>
        <v>-169.58594</v>
      </c>
      <c r="D42" s="47" t="s">
        <v>22</v>
      </c>
    </row>
    <row r="43" spans="1:4" ht="15.75">
      <c r="A43" s="39" t="s">
        <v>18</v>
      </c>
      <c r="B43" s="47">
        <f>IF(220.65192="","-",220.65192)</f>
        <v>220.65192</v>
      </c>
      <c r="C43" s="47">
        <f>IF(117.45469="","-",117.45469)</f>
        <v>117.45469</v>
      </c>
      <c r="D43" s="47">
        <f>IF(OR(220.65192="",117.45469="",220.65192=0),"-",117.45469/220.65192*100)</f>
        <v>53.23075820051781</v>
      </c>
    </row>
    <row r="44" spans="1:4" ht="15.75">
      <c r="A44" s="39" t="s">
        <v>17</v>
      </c>
      <c r="B44" s="47">
        <f>IF(224.82171="","-",224.82171)</f>
        <v>224.82171</v>
      </c>
      <c r="C44" s="47">
        <f>IF(134.33754="","-",134.33754)</f>
        <v>134.33754</v>
      </c>
      <c r="D44" s="47">
        <f>IF(OR(224.82171="",134.33754="",224.82171=0),"-",134.33754/224.82171*100)</f>
        <v>59.752921548368256</v>
      </c>
    </row>
    <row r="45" spans="1:4" ht="15.75">
      <c r="A45" s="39" t="s">
        <v>147</v>
      </c>
      <c r="B45" s="47">
        <f>IF(488.28051="","-",488.28051)</f>
        <v>488.28051</v>
      </c>
      <c r="C45" s="47">
        <f>IF(410.26783="","-",410.26783)</f>
        <v>410.26783</v>
      </c>
      <c r="D45" s="47">
        <f>IF(OR(488.28051="",410.26783="",488.28051=0),"-",410.26783/488.28051*100)</f>
        <v>84.02297892250502</v>
      </c>
    </row>
    <row r="46" spans="1:4" ht="15.75">
      <c r="A46" s="39" t="s">
        <v>14</v>
      </c>
      <c r="B46" s="47">
        <f>IF(1735.76324="","-",1735.76324)</f>
        <v>1735.76324</v>
      </c>
      <c r="C46" s="47">
        <f>IF(1962.73866="","-",1962.73866)</f>
        <v>1962.73866</v>
      </c>
      <c r="D46" s="47">
        <f>IF(OR(1735.76324="",1962.73866="",1735.76324=0),"-",1962.73866/1735.76324*100)</f>
        <v>113.07640436030894</v>
      </c>
    </row>
    <row r="47" spans="1:4" ht="15.75">
      <c r="A47" s="26" t="s">
        <v>245</v>
      </c>
      <c r="B47" s="46">
        <f>IF(-495621.91062="","-",-495621.91062)</f>
        <v>-495621.91062</v>
      </c>
      <c r="C47" s="46">
        <f>IF(-430057.70444="","-",-430057.70444)</f>
        <v>-430057.70444</v>
      </c>
      <c r="D47" s="46">
        <f>IF(-495621.91062="","-",-430057.70444/-495621.91062*100)</f>
        <v>86.77132613084393</v>
      </c>
    </row>
    <row r="48" spans="1:4" ht="15.75">
      <c r="A48" s="39" t="s">
        <v>67</v>
      </c>
      <c r="B48" s="47">
        <f>IF(-277376.34254="","-",-277376.34254)</f>
        <v>-277376.34254</v>
      </c>
      <c r="C48" s="47">
        <f>IF(-269874.54203="","-",-269874.54203)</f>
        <v>-269874.54203</v>
      </c>
      <c r="D48" s="47">
        <f>IF(OR(-277376.34254="",-269874.54203="",-277376.34254=0),"-",-269874.54203/-277376.34254*100)</f>
        <v>97.29544328066906</v>
      </c>
    </row>
    <row r="49" spans="1:4" ht="15.75">
      <c r="A49" s="39" t="s">
        <v>64</v>
      </c>
      <c r="B49" s="47">
        <f>IF(-110809.5302="","-",-110809.5302)</f>
        <v>-110809.5302</v>
      </c>
      <c r="C49" s="47">
        <f>IF(-60115.7734="","-",-60115.7734)</f>
        <v>-60115.7734</v>
      </c>
      <c r="D49" s="47">
        <f>IF(OR(-110809.5302="",-60115.7734="",-110809.5302=0),"-",-60115.7734/-110809.5302*100)</f>
        <v>54.25144686697715</v>
      </c>
    </row>
    <row r="50" spans="1:4" ht="15.75">
      <c r="A50" s="39" t="s">
        <v>19</v>
      </c>
      <c r="B50" s="47">
        <f>IF(-26642.28614="","-",-26642.28614)</f>
        <v>-26642.28614</v>
      </c>
      <c r="C50" s="47">
        <f>IF(-24799.1628="","-",-24799.1628)</f>
        <v>-24799.1628</v>
      </c>
      <c r="D50" s="47">
        <f>IF(OR(-26642.28614="",-24799.1628="",-26642.28614=0),"-",-24799.1628/-26642.28614*100)</f>
        <v>93.08196252260504</v>
      </c>
    </row>
    <row r="51" spans="1:4" ht="15.75">
      <c r="A51" s="39" t="s">
        <v>84</v>
      </c>
      <c r="B51" s="47">
        <f>IF(-27548.80783="","-",-27548.80783)</f>
        <v>-27548.80783</v>
      </c>
      <c r="C51" s="47">
        <f>IF(-22062.35938="","-",-22062.35938)</f>
        <v>-22062.35938</v>
      </c>
      <c r="D51" s="47">
        <f>IF(OR(-27548.80783="",-22062.35938="",-27548.80783=0),"-",-22062.35938/-27548.80783*100)</f>
        <v>80.08462477267206</v>
      </c>
    </row>
    <row r="52" spans="1:4" ht="15.75">
      <c r="A52" s="39" t="s">
        <v>80</v>
      </c>
      <c r="B52" s="47">
        <f>IF(-16669.44205="","-",-16669.44205)</f>
        <v>-16669.44205</v>
      </c>
      <c r="C52" s="47">
        <f>IF(-20217.04985="","-",-20217.04985)</f>
        <v>-20217.04985</v>
      </c>
      <c r="D52" s="47">
        <f>IF(OR(-16669.44205="",-20217.04985="",-16669.44205=0),"-",-20217.04985/-16669.44205*100)</f>
        <v>121.28210284038869</v>
      </c>
    </row>
    <row r="53" spans="1:4" ht="15.75">
      <c r="A53" s="39" t="s">
        <v>77</v>
      </c>
      <c r="B53" s="47">
        <f>IF(-14592.38252="","-",-14592.38252)</f>
        <v>-14592.38252</v>
      </c>
      <c r="C53" s="47">
        <f>IF(-18057.06531="","-",-18057.06531)</f>
        <v>-18057.06531</v>
      </c>
      <c r="D53" s="47">
        <f>IF(OR(-14592.38252="",-18057.06531="",-14592.38252=0),"-",-18057.06531/-14592.38252*100)</f>
        <v>123.74309188545041</v>
      </c>
    </row>
    <row r="54" spans="1:4" ht="15.75">
      <c r="A54" s="39" t="s">
        <v>44</v>
      </c>
      <c r="B54" s="47">
        <f>IF(-17303.99825="","-",-17303.99825)</f>
        <v>-17303.99825</v>
      </c>
      <c r="C54" s="47">
        <f>IF(-16215.27102="","-",-16215.27102)</f>
        <v>-16215.27102</v>
      </c>
      <c r="D54" s="47">
        <f>IF(OR(-17303.99825="",-16215.27102="",-17303.99825=0),"-",-16215.27102/-17303.99825*100)</f>
        <v>93.70823312467684</v>
      </c>
    </row>
    <row r="55" spans="1:4" ht="15.75">
      <c r="A55" s="39" t="s">
        <v>78</v>
      </c>
      <c r="B55" s="47">
        <f>IF(-9343.61376="","-",-9343.61376)</f>
        <v>-9343.61376</v>
      </c>
      <c r="C55" s="47">
        <f>IF(-10562.09049="","-",-10562.09049)</f>
        <v>-10562.09049</v>
      </c>
      <c r="D55" s="47">
        <f>IF(OR(-9343.61376="",-10562.09049="",-9343.61376=0),"-",-10562.09049/-9343.61376*100)</f>
        <v>113.04074377749107</v>
      </c>
    </row>
    <row r="56" spans="1:4" ht="15.75">
      <c r="A56" s="39" t="s">
        <v>88</v>
      </c>
      <c r="B56" s="47">
        <f>IF(-8213.35153="","-",-8213.35153)</f>
        <v>-8213.35153</v>
      </c>
      <c r="C56" s="47">
        <f>IF(-9158.24669="","-",-9158.24669)</f>
        <v>-9158.24669</v>
      </c>
      <c r="D56" s="47">
        <f>IF(OR(-8213.35153="",-9158.24669="",-8213.35153=0),"-",-9158.24669/-8213.35153*100)</f>
        <v>111.50437986915192</v>
      </c>
    </row>
    <row r="57" spans="1:4" ht="15.75">
      <c r="A57" s="39" t="s">
        <v>91</v>
      </c>
      <c r="B57" s="47">
        <f>IF(-3629.39193="","-",-3629.39193)</f>
        <v>-3629.39193</v>
      </c>
      <c r="C57" s="47">
        <f>IF(-4891.82136="","-",-4891.82136)</f>
        <v>-4891.82136</v>
      </c>
      <c r="D57" s="47">
        <f>IF(OR(-3629.39193="",-4891.82136="",-3629.39193=0),"-",-4891.82136/-3629.39193*100)</f>
        <v>134.7834969148675</v>
      </c>
    </row>
    <row r="58" spans="1:4" ht="15.75">
      <c r="A58" s="39" t="s">
        <v>74</v>
      </c>
      <c r="B58" s="47">
        <f>IF(945.4287="","-",945.4287)</f>
        <v>945.4287</v>
      </c>
      <c r="C58" s="47">
        <f>IF(-4553.36914="","-",-4553.36914)</f>
        <v>-4553.36914</v>
      </c>
      <c r="D58" s="47" t="s">
        <v>22</v>
      </c>
    </row>
    <row r="59" spans="1:4" ht="15.75">
      <c r="A59" s="39" t="s">
        <v>79</v>
      </c>
      <c r="B59" s="47">
        <f>IF(-5583.12103="","-",-5583.12103)</f>
        <v>-5583.12103</v>
      </c>
      <c r="C59" s="47">
        <f>IF(-4368.38236="","-",-4368.38236)</f>
        <v>-4368.38236</v>
      </c>
      <c r="D59" s="47">
        <f>IF(OR(-5583.12103="",-4368.38236="",-5583.12103=0),"-",-4368.38236/-5583.12103*100)</f>
        <v>78.24265919594437</v>
      </c>
    </row>
    <row r="60" spans="1:4" ht="15.75">
      <c r="A60" s="39" t="s">
        <v>92</v>
      </c>
      <c r="B60" s="47">
        <f>IF(-5761.19929="","-",-5761.19929)</f>
        <v>-5761.19929</v>
      </c>
      <c r="C60" s="47">
        <f>IF(-4125.34933="","-",-4125.34933)</f>
        <v>-4125.34933</v>
      </c>
      <c r="D60" s="47">
        <f>IF(OR(-5761.19929="",-4125.34933="",-5761.19929=0),"-",-4125.34933/-5761.19929*100)</f>
        <v>71.60573905437666</v>
      </c>
    </row>
    <row r="61" spans="1:4" ht="15.75">
      <c r="A61" s="39" t="s">
        <v>86</v>
      </c>
      <c r="B61" s="47">
        <f>IF(-3799.53383="","-",-3799.53383)</f>
        <v>-3799.53383</v>
      </c>
      <c r="C61" s="47">
        <f>IF(-4102.0775="","-",-4102.0775)</f>
        <v>-4102.0775</v>
      </c>
      <c r="D61" s="47">
        <f>IF(OR(-3799.53383="",-4102.0775="",-3799.53383=0),"-",-4102.0775/-3799.53383*100)</f>
        <v>107.96265235517065</v>
      </c>
    </row>
    <row r="62" spans="1:4" ht="15.75">
      <c r="A62" s="39" t="s">
        <v>69</v>
      </c>
      <c r="B62" s="47">
        <f>IF(-2019.53721="","-",-2019.53721)</f>
        <v>-2019.53721</v>
      </c>
      <c r="C62" s="47">
        <f>IF(-3753.37989="","-",-3753.37989)</f>
        <v>-3753.37989</v>
      </c>
      <c r="D62" s="47" t="s">
        <v>300</v>
      </c>
    </row>
    <row r="63" spans="1:4" ht="15.75">
      <c r="A63" s="39" t="s">
        <v>71</v>
      </c>
      <c r="B63" s="47">
        <f>IF(-4413.29058="","-",-4413.29058)</f>
        <v>-4413.29058</v>
      </c>
      <c r="C63" s="47">
        <f>IF(-3201.43681="","-",-3201.43681)</f>
        <v>-3201.43681</v>
      </c>
      <c r="D63" s="47">
        <f>IF(OR(-4413.29058="",-3201.43681="",-4413.29058=0),"-",-3201.43681/-4413.29058*100)</f>
        <v>72.54081171333159</v>
      </c>
    </row>
    <row r="64" spans="1:7" ht="15.75">
      <c r="A64" s="39" t="s">
        <v>82</v>
      </c>
      <c r="B64" s="47">
        <f>IF(-1992.6235="","-",-1992.6235)</f>
        <v>-1992.6235</v>
      </c>
      <c r="C64" s="47">
        <f>IF(-2908.12157="","-",-2908.12157)</f>
        <v>-2908.12157</v>
      </c>
      <c r="D64" s="47">
        <f>IF(OR(-1992.6235="",-2908.12157="",-1992.6235=0),"-",-2908.12157/-1992.6235*100)</f>
        <v>145.94435777757312</v>
      </c>
      <c r="E64" s="1"/>
      <c r="F64" s="1"/>
      <c r="G64" s="1"/>
    </row>
    <row r="65" spans="1:4" ht="15.75">
      <c r="A65" s="39" t="s">
        <v>89</v>
      </c>
      <c r="B65" s="47">
        <f>IF(-3565.3961="","-",-3565.3961)</f>
        <v>-3565.3961</v>
      </c>
      <c r="C65" s="47">
        <f>IF(-2727.89411="","-",-2727.89411)</f>
        <v>-2727.89411</v>
      </c>
      <c r="D65" s="47">
        <f>IF(OR(-3565.3961="",-2727.89411="",-3565.3961=0),"-",-2727.89411/-3565.3961*100)</f>
        <v>76.51026796153168</v>
      </c>
    </row>
    <row r="66" spans="1:4" ht="15.75">
      <c r="A66" s="39" t="s">
        <v>180</v>
      </c>
      <c r="B66" s="47">
        <f>IF(-1769.87579="","-",-1769.87579)</f>
        <v>-1769.87579</v>
      </c>
      <c r="C66" s="47">
        <f>IF(-2695.27628="","-",-2695.27628)</f>
        <v>-2695.27628</v>
      </c>
      <c r="D66" s="47" t="s">
        <v>146</v>
      </c>
    </row>
    <row r="67" spans="1:4" ht="15.75">
      <c r="A67" s="39" t="s">
        <v>93</v>
      </c>
      <c r="B67" s="47">
        <f>IF(-2782.60825="","-",-2782.60825)</f>
        <v>-2782.60825</v>
      </c>
      <c r="C67" s="47">
        <f>IF(-2672.12198="","-",-2672.12198)</f>
        <v>-2672.12198</v>
      </c>
      <c r="D67" s="47">
        <f>IF(OR(-2782.60825="",-2672.12198="",-2782.60825=0),"-",-2672.12198/-2782.60825*100)</f>
        <v>96.02939903595843</v>
      </c>
    </row>
    <row r="68" spans="1:4" ht="15.75">
      <c r="A68" s="39" t="s">
        <v>94</v>
      </c>
      <c r="B68" s="47">
        <f>IF(-1546.9262="","-",-1546.9262)</f>
        <v>-1546.9262</v>
      </c>
      <c r="C68" s="47">
        <f>IF(-2667.09592="","-",-2667.09592)</f>
        <v>-2667.09592</v>
      </c>
      <c r="D68" s="47" t="s">
        <v>114</v>
      </c>
    </row>
    <row r="69" spans="1:4" ht="15.75">
      <c r="A69" s="39" t="s">
        <v>90</v>
      </c>
      <c r="B69" s="47">
        <f>IF(-2157.39729="","-",-2157.39729)</f>
        <v>-2157.39729</v>
      </c>
      <c r="C69" s="47">
        <f>IF(-1747.01795="","-",-1747.01795)</f>
        <v>-1747.01795</v>
      </c>
      <c r="D69" s="47">
        <f>IF(OR(-2157.39729="",-1747.01795="",-2157.39729=0),"-",-1747.01795/-2157.39729*100)</f>
        <v>80.97803580721101</v>
      </c>
    </row>
    <row r="70" spans="1:4" ht="15.75">
      <c r="A70" s="39" t="s">
        <v>155</v>
      </c>
      <c r="B70" s="47">
        <f>IF(-544.89659="","-",-544.89659)</f>
        <v>-544.89659</v>
      </c>
      <c r="C70" s="47">
        <f>IF(-1733.5922="","-",-1733.5922)</f>
        <v>-1733.5922</v>
      </c>
      <c r="D70" s="47" t="s">
        <v>124</v>
      </c>
    </row>
    <row r="71" spans="1:7" ht="15.75">
      <c r="A71" s="39" t="s">
        <v>70</v>
      </c>
      <c r="B71" s="47">
        <f>IF(-6367.43002="","-",-6367.43002)</f>
        <v>-6367.43002</v>
      </c>
      <c r="C71" s="47">
        <f>IF(-1671.74384="","-",-1671.74384)</f>
        <v>-1671.74384</v>
      </c>
      <c r="D71" s="47">
        <f>IF(OR(-6367.43002="",-1671.74384="",-6367.43002=0),"-",-1671.74384/-6367.43002*100)</f>
        <v>26.254608762861597</v>
      </c>
      <c r="E71" s="1"/>
      <c r="F71" s="1"/>
      <c r="G71" s="1"/>
    </row>
    <row r="72" spans="1:4" ht="15.75">
      <c r="A72" s="39" t="s">
        <v>97</v>
      </c>
      <c r="B72" s="47">
        <f>IF(-1803.57554="","-",-1803.57554)</f>
        <v>-1803.57554</v>
      </c>
      <c r="C72" s="47">
        <f>IF(-1602.59373="","-",-1602.59373)</f>
        <v>-1602.59373</v>
      </c>
      <c r="D72" s="47">
        <f>IF(OR(-1803.57554="",-1602.59373="",-1803.57554=0),"-",-1602.59373/-1803.57554*100)</f>
        <v>88.85647950182336</v>
      </c>
    </row>
    <row r="73" spans="1:4" ht="15.75">
      <c r="A73" s="39" t="s">
        <v>95</v>
      </c>
      <c r="B73" s="47">
        <f>IF(-764.40621="","-",-764.40621)</f>
        <v>-764.40621</v>
      </c>
      <c r="C73" s="47">
        <f>IF(-1212.02583="","-",-1212.02583)</f>
        <v>-1212.02583</v>
      </c>
      <c r="D73" s="47" t="s">
        <v>115</v>
      </c>
    </row>
    <row r="74" spans="1:4" ht="15.75">
      <c r="A74" s="39" t="s">
        <v>96</v>
      </c>
      <c r="B74" s="47">
        <f>IF(-1344.88684="","-",-1344.88684)</f>
        <v>-1344.88684</v>
      </c>
      <c r="C74" s="47">
        <f>IF(-1200.37852="","-",-1200.37852)</f>
        <v>-1200.37852</v>
      </c>
      <c r="D74" s="47">
        <f>IF(OR(-1344.88684="",-1200.37852="",-1344.88684=0),"-",-1200.37852/-1344.88684*100)</f>
        <v>89.25498296942219</v>
      </c>
    </row>
    <row r="75" spans="1:4" ht="15.75">
      <c r="A75" s="39" t="s">
        <v>75</v>
      </c>
      <c r="B75" s="47">
        <f>IF(-998.68931="","-",-998.68931)</f>
        <v>-998.68931</v>
      </c>
      <c r="C75" s="47">
        <f>IF(-954.08673="","-",-954.08673)</f>
        <v>-954.08673</v>
      </c>
      <c r="D75" s="47">
        <f>IF(OR(-998.68931="",-954.08673="",-998.68931=0),"-",-954.08673/-998.68931*100)</f>
        <v>95.53388831207175</v>
      </c>
    </row>
    <row r="76" spans="1:4" ht="15.75">
      <c r="A76" s="39" t="s">
        <v>81</v>
      </c>
      <c r="B76" s="47">
        <f>IF(-861.38331="","-",-861.38331)</f>
        <v>-861.38331</v>
      </c>
      <c r="C76" s="47">
        <f>IF(-856.96842="","-",-856.96842)</f>
        <v>-856.96842</v>
      </c>
      <c r="D76" s="47">
        <f>IF(OR(-861.38331="",-856.96842="",-861.38331=0),"-",-856.96842/-861.38331*100)</f>
        <v>99.48746511004491</v>
      </c>
    </row>
    <row r="77" spans="1:4" ht="15.75">
      <c r="A77" s="39" t="s">
        <v>83</v>
      </c>
      <c r="B77" s="47">
        <f>IF(5639.26557="","-",5639.26557)</f>
        <v>5639.26557</v>
      </c>
      <c r="C77" s="47">
        <f>IF(-773.899="","-",-773.899)</f>
        <v>-773.899</v>
      </c>
      <c r="D77" s="47" t="s">
        <v>22</v>
      </c>
    </row>
    <row r="78" spans="1:4" ht="15.75">
      <c r="A78" s="39" t="s">
        <v>46</v>
      </c>
      <c r="B78" s="47">
        <f>IF(-1000.19015="","-",-1000.19015)</f>
        <v>-1000.19015</v>
      </c>
      <c r="C78" s="47">
        <f>IF(-735.90665="","-",-735.90665)</f>
        <v>-735.90665</v>
      </c>
      <c r="D78" s="47">
        <f>IF(OR(-1000.19015="",-735.90665="",-1000.19015=0),"-",-735.90665/-1000.19015*100)</f>
        <v>73.57667439536371</v>
      </c>
    </row>
    <row r="79" spans="1:7" ht="15.75">
      <c r="A79" s="39" t="s">
        <v>98</v>
      </c>
      <c r="B79" s="47">
        <f>IF(-813.88687="","-",-813.88687)</f>
        <v>-813.88687</v>
      </c>
      <c r="C79" s="47">
        <f>IF(-694.99329="","-",-694.99329)</f>
        <v>-694.99329</v>
      </c>
      <c r="D79" s="47">
        <f>IF(OR(-813.88687="",-694.99329="",-813.88687=0),"-",-694.99329/-813.88687*100)</f>
        <v>85.39187884920663</v>
      </c>
      <c r="E79" s="12"/>
      <c r="F79" s="12"/>
      <c r="G79" s="12"/>
    </row>
    <row r="80" spans="1:4" ht="15.75">
      <c r="A80" s="39" t="s">
        <v>87</v>
      </c>
      <c r="B80" s="47">
        <f>IF(-450.74613="","-",-450.74613)</f>
        <v>-450.74613</v>
      </c>
      <c r="C80" s="47">
        <f>IF(-583.91204="","-",-583.91204)</f>
        <v>-583.91204</v>
      </c>
      <c r="D80" s="47">
        <f>IF(OR(-450.74613="",-583.91204="",-450.74613=0),"-",-583.91204/-450.74613*100)</f>
        <v>129.54343945226995</v>
      </c>
    </row>
    <row r="81" spans="1:4" ht="15.75">
      <c r="A81" s="39" t="s">
        <v>106</v>
      </c>
      <c r="B81" s="47">
        <f>IF(-547.5778="","-",-547.5778)</f>
        <v>-547.5778</v>
      </c>
      <c r="C81" s="47">
        <f>IF(-566.28353="","-",-566.28353)</f>
        <v>-566.28353</v>
      </c>
      <c r="D81" s="47">
        <f>IF(OR(-547.5778="",-566.28353="",-547.5778=0),"-",-566.28353/-547.5778*100)</f>
        <v>103.41608626208003</v>
      </c>
    </row>
    <row r="82" spans="1:4" ht="15.75">
      <c r="A82" s="39" t="s">
        <v>47</v>
      </c>
      <c r="B82" s="47">
        <f>IF(-1900.29143="","-",-1900.29143)</f>
        <v>-1900.29143</v>
      </c>
      <c r="C82" s="47">
        <f>IF(-532.24214="","-",-532.24214)</f>
        <v>-532.24214</v>
      </c>
      <c r="D82" s="47">
        <f>IF(OR(-1900.29143="",-532.24214="",-1900.29143=0),"-",-532.24214/-1900.29143*100)</f>
        <v>28.00844815681771</v>
      </c>
    </row>
    <row r="83" spans="1:4" ht="15.75">
      <c r="A83" s="39" t="s">
        <v>107</v>
      </c>
      <c r="B83" s="47">
        <f>IF(-438.36876="","-",-438.36876)</f>
        <v>-438.36876</v>
      </c>
      <c r="C83" s="47">
        <f>IF(-510.72987="","-",-510.72987)</f>
        <v>-510.72987</v>
      </c>
      <c r="D83" s="47">
        <f>IF(OR(-438.36876="",-510.72987="",-438.36876=0),"-",-510.72987/-438.36876*100)</f>
        <v>116.50690391349967</v>
      </c>
    </row>
    <row r="84" spans="1:4" ht="15.75">
      <c r="A84" s="39" t="s">
        <v>173</v>
      </c>
      <c r="B84" s="47">
        <f>IF(-288.22172="","-",-288.22172)</f>
        <v>-288.22172</v>
      </c>
      <c r="C84" s="47">
        <f>IF(-439.25026="","-",-439.25026)</f>
        <v>-439.25026</v>
      </c>
      <c r="D84" s="47" t="s">
        <v>146</v>
      </c>
    </row>
    <row r="85" spans="1:4" ht="15.75">
      <c r="A85" s="39" t="s">
        <v>176</v>
      </c>
      <c r="B85" s="47">
        <f>IF(-96.38025="","-",-96.38025)</f>
        <v>-96.38025</v>
      </c>
      <c r="C85" s="47">
        <f>IF(-359.2748="","-",-359.2748)</f>
        <v>-359.2748</v>
      </c>
      <c r="D85" s="47" t="s">
        <v>301</v>
      </c>
    </row>
    <row r="86" spans="1:4" ht="15.75">
      <c r="A86" s="39" t="s">
        <v>102</v>
      </c>
      <c r="B86" s="47">
        <f>IF(-223.22843="","-",-223.22843)</f>
        <v>-223.22843</v>
      </c>
      <c r="C86" s="47">
        <f>IF(-351.95448="","-",-351.95448)</f>
        <v>-351.95448</v>
      </c>
      <c r="D86" s="47" t="s">
        <v>115</v>
      </c>
    </row>
    <row r="87" spans="1:4" ht="15.75">
      <c r="A87" s="39" t="s">
        <v>156</v>
      </c>
      <c r="B87" s="47">
        <f>IF(-665.95211="","-",-665.95211)</f>
        <v>-665.95211</v>
      </c>
      <c r="C87" s="47">
        <f>IF(-338.90206="","-",-338.90206)</f>
        <v>-338.90206</v>
      </c>
      <c r="D87" s="47">
        <f>IF(OR(-665.95211="",-338.90206="",-665.95211=0),"-",-338.90206/-665.95211*100)</f>
        <v>50.88985452722719</v>
      </c>
    </row>
    <row r="88" spans="1:4" ht="15.75">
      <c r="A88" s="39" t="s">
        <v>101</v>
      </c>
      <c r="B88" s="47">
        <f>IF(-753.97286="","-",-753.97286)</f>
        <v>-753.97286</v>
      </c>
      <c r="C88" s="47">
        <f>IF(-326.65833="","-",-326.65833)</f>
        <v>-326.65833</v>
      </c>
      <c r="D88" s="47">
        <f>IF(OR(-753.97286="",-326.65833="",-753.97286=0),"-",-326.65833/-753.97286*100)</f>
        <v>43.324945409838755</v>
      </c>
    </row>
    <row r="89" spans="1:4" ht="15.75">
      <c r="A89" s="39" t="s">
        <v>110</v>
      </c>
      <c r="B89" s="47">
        <f>IF(-374.30411="","-",-374.30411)</f>
        <v>-374.30411</v>
      </c>
      <c r="C89" s="47">
        <f>IF(-302.05294="","-",-302.05294)</f>
        <v>-302.05294</v>
      </c>
      <c r="D89" s="47">
        <f>IF(OR(-374.30411="",-302.05294="",-374.30411=0),"-",-302.05294/-374.30411*100)</f>
        <v>80.69720100054471</v>
      </c>
    </row>
    <row r="90" spans="1:4" ht="15.75">
      <c r="A90" s="39" t="s">
        <v>100</v>
      </c>
      <c r="B90" s="47">
        <f>IF(-976.37745="","-",-976.37745)</f>
        <v>-976.37745</v>
      </c>
      <c r="C90" s="47">
        <f>IF(-248.89719="","-",-248.89719)</f>
        <v>-248.89719</v>
      </c>
      <c r="D90" s="47">
        <f>IF(OR(-976.37745="",-248.89719="",-976.37745=0),"-",-248.89719/-976.37745*100)</f>
        <v>25.491902747241856</v>
      </c>
    </row>
    <row r="91" spans="1:4" ht="15.75">
      <c r="A91" s="39" t="s">
        <v>99</v>
      </c>
      <c r="B91" s="47">
        <f>IF(-704.5472="","-",-704.5472)</f>
        <v>-704.5472</v>
      </c>
      <c r="C91" s="47">
        <f>IF(-239.29048="","-",-239.29048)</f>
        <v>-239.29048</v>
      </c>
      <c r="D91" s="47">
        <f>IF(OR(-704.5472="",-239.29048="",-704.5472=0),"-",-239.29048/-704.5472*100)</f>
        <v>33.96372592212417</v>
      </c>
    </row>
    <row r="92" spans="1:4" ht="15.75">
      <c r="A92" s="39" t="s">
        <v>103</v>
      </c>
      <c r="B92" s="47">
        <f>IF(-298.64072="","-",-298.64072)</f>
        <v>-298.64072</v>
      </c>
      <c r="C92" s="47">
        <f>IF(-165.14985="","-",-165.14985)</f>
        <v>-165.14985</v>
      </c>
      <c r="D92" s="47">
        <f>IF(OR(-298.64072="",-165.14985="",-298.64072=0),"-",-165.14985/-298.64072*100)</f>
        <v>55.300512937418574</v>
      </c>
    </row>
    <row r="93" spans="1:4" ht="15.75">
      <c r="A93" s="39" t="s">
        <v>112</v>
      </c>
      <c r="B93" s="47">
        <f>IF(-306.40511="","-",-306.40511)</f>
        <v>-306.40511</v>
      </c>
      <c r="C93" s="47">
        <f>IF(-141.83515="","-",-141.83515)</f>
        <v>-141.83515</v>
      </c>
      <c r="D93" s="47">
        <f>IF(OR(-306.40511="",-141.83515="",-306.40511=0),"-",-141.83515/-306.40511*100)</f>
        <v>46.29007329544863</v>
      </c>
    </row>
    <row r="94" spans="1:4" ht="15.75">
      <c r="A94" s="39" t="s">
        <v>158</v>
      </c>
      <c r="B94" s="47">
        <f>IF(909.94065="","-",909.94065)</f>
        <v>909.94065</v>
      </c>
      <c r="C94" s="47">
        <f>IF(-129.2512="","-",-129.2512)</f>
        <v>-129.2512</v>
      </c>
      <c r="D94" s="47" t="s">
        <v>22</v>
      </c>
    </row>
    <row r="95" spans="1:4" ht="15.75">
      <c r="A95" s="39" t="s">
        <v>167</v>
      </c>
      <c r="B95" s="47">
        <f>IF(-86.78529="","-",-86.78529)</f>
        <v>-86.78529</v>
      </c>
      <c r="C95" s="47">
        <f>IF(-126.26368="","-",-126.26368)</f>
        <v>-126.26368</v>
      </c>
      <c r="D95" s="47">
        <f>IF(OR(-86.78529="",-126.26368="",-86.78529=0),"-",-126.26368/-86.78529*100)</f>
        <v>145.48972527487086</v>
      </c>
    </row>
    <row r="96" spans="1:4" ht="15.75">
      <c r="A96" s="39" t="s">
        <v>157</v>
      </c>
      <c r="B96" s="47">
        <f>IF(-17.03998="","-",-17.03998)</f>
        <v>-17.03998</v>
      </c>
      <c r="C96" s="47">
        <f>IF(-124.31549="","-",-124.31549)</f>
        <v>-124.31549</v>
      </c>
      <c r="D96" s="47" t="s">
        <v>275</v>
      </c>
    </row>
    <row r="97" spans="1:4" ht="15.75">
      <c r="A97" s="39" t="s">
        <v>247</v>
      </c>
      <c r="B97" s="47">
        <f>IF(-226.56263="","-",-226.56263)</f>
        <v>-226.56263</v>
      </c>
      <c r="C97" s="47">
        <f>IF(-81.60976="","-",-81.60976)</f>
        <v>-81.60976</v>
      </c>
      <c r="D97" s="47">
        <f>IF(OR(-226.56263="",-81.60976="",-226.56263=0),"-",-81.60976/-226.56263*100)</f>
        <v>36.02083891769794</v>
      </c>
    </row>
    <row r="98" spans="1:4" ht="15.75">
      <c r="A98" s="39" t="s">
        <v>294</v>
      </c>
      <c r="B98" s="47">
        <f>IF(-42.8352="","-",-42.8352)</f>
        <v>-42.8352</v>
      </c>
      <c r="C98" s="47">
        <f>IF(-81.34831="","-",-81.34831)</f>
        <v>-81.34831</v>
      </c>
      <c r="D98" s="47" t="s">
        <v>300</v>
      </c>
    </row>
    <row r="99" spans="1:7" ht="15.75">
      <c r="A99" s="39" t="s">
        <v>295</v>
      </c>
      <c r="B99" s="47">
        <f>IF(-56.23374="","-",-56.23374)</f>
        <v>-56.23374</v>
      </c>
      <c r="C99" s="47">
        <f>IF(-63.26887="","-",-63.26887)</f>
        <v>-63.26887</v>
      </c>
      <c r="D99" s="47">
        <f>IF(OR(-56.23374="",-63.26887="",-56.23374=0),"-",-63.26887/-56.23374*100)</f>
        <v>112.51051415040152</v>
      </c>
      <c r="E99" s="12"/>
      <c r="F99" s="12"/>
      <c r="G99" s="12"/>
    </row>
    <row r="100" spans="1:7" ht="15.75">
      <c r="A100" s="39" t="s">
        <v>248</v>
      </c>
      <c r="B100" s="47">
        <f>IF(965.38917="","-",965.38917)</f>
        <v>965.38917</v>
      </c>
      <c r="C100" s="47">
        <f>IF(-12.18796="","-",-12.18796)</f>
        <v>-12.18796</v>
      </c>
      <c r="D100" s="47" t="s">
        <v>22</v>
      </c>
      <c r="E100" s="12"/>
      <c r="F100" s="12"/>
      <c r="G100" s="12"/>
    </row>
    <row r="101" spans="1:7" ht="15.75">
      <c r="A101" s="39" t="s">
        <v>249</v>
      </c>
      <c r="B101" s="47">
        <f>IF(134.90109="","-",134.90109)</f>
        <v>134.90109</v>
      </c>
      <c r="C101" s="47">
        <f>IF(43.23246="","-",43.23246)</f>
        <v>43.23246</v>
      </c>
      <c r="D101" s="47">
        <f>IF(OR(134.90109="",43.23246="",134.90109=0),"-",43.23246/134.90109*100)</f>
        <v>32.047524597466186</v>
      </c>
      <c r="E101" s="11"/>
      <c r="F101" s="11"/>
      <c r="G101" s="11"/>
    </row>
    <row r="102" spans="1:4" ht="15.75">
      <c r="A102" s="39" t="s">
        <v>266</v>
      </c>
      <c r="B102" s="47">
        <f>IF(65.856="","-",65.856)</f>
        <v>65.856</v>
      </c>
      <c r="C102" s="47">
        <f>IF(71.9935="","-",71.9935)</f>
        <v>71.9935</v>
      </c>
      <c r="D102" s="47">
        <f>IF(OR(65.856="",71.9935="",65.856=0),"-",71.9935/65.856*100)</f>
        <v>109.3195760447036</v>
      </c>
    </row>
    <row r="103" spans="1:7" ht="15.75">
      <c r="A103" s="39" t="s">
        <v>153</v>
      </c>
      <c r="B103" s="47">
        <f>IF(95.45752="","-",95.45752)</f>
        <v>95.45752</v>
      </c>
      <c r="C103" s="47">
        <f>IF(133.82131="","-",133.82131)</f>
        <v>133.82131</v>
      </c>
      <c r="D103" s="47">
        <f>IF(OR(95.45752="",133.82131="",95.45752=0),"-",133.82131/95.45752*100)</f>
        <v>140.18938476507665</v>
      </c>
      <c r="E103" s="11"/>
      <c r="F103" s="11"/>
      <c r="G103" s="11"/>
    </row>
    <row r="104" spans="1:7" ht="15.75">
      <c r="A104" s="39" t="s">
        <v>177</v>
      </c>
      <c r="B104" s="47">
        <f>IF(165.8725="","-",165.8725)</f>
        <v>165.8725</v>
      </c>
      <c r="C104" s="47">
        <f>IF(149.53541="","-",149.53541)</f>
        <v>149.53541</v>
      </c>
      <c r="D104" s="47">
        <f>IF(OR(165.8725="",149.53541="",165.8725=0),"-",149.53541/165.8725*100)</f>
        <v>90.15081463172015</v>
      </c>
      <c r="E104" s="1"/>
      <c r="F104" s="1"/>
      <c r="G104" s="1"/>
    </row>
    <row r="105" spans="1:4" ht="15.75">
      <c r="A105" s="39" t="s">
        <v>159</v>
      </c>
      <c r="B105" s="47">
        <f>IF(7.147="","-",7.147)</f>
        <v>7.147</v>
      </c>
      <c r="C105" s="47">
        <f>IF(180.89096="","-",180.89096)</f>
        <v>180.89096</v>
      </c>
      <c r="D105" s="47" t="s">
        <v>302</v>
      </c>
    </row>
    <row r="106" spans="1:4" ht="15.75">
      <c r="A106" s="39" t="s">
        <v>150</v>
      </c>
      <c r="B106" s="47">
        <f>IF(19.15="","-",19.15)</f>
        <v>19.15</v>
      </c>
      <c r="C106" s="47">
        <f>IF(241.74735="","-",241.74735)</f>
        <v>241.74735</v>
      </c>
      <c r="D106" s="47" t="s">
        <v>303</v>
      </c>
    </row>
    <row r="107" spans="1:4" ht="15.75">
      <c r="A107" s="39" t="s">
        <v>152</v>
      </c>
      <c r="B107" s="47">
        <f>IF(12.57317="","-",12.57317)</f>
        <v>12.57317</v>
      </c>
      <c r="C107" s="47">
        <f>IF(252.88678="","-",252.88678)</f>
        <v>252.88678</v>
      </c>
      <c r="D107" s="47" t="s">
        <v>304</v>
      </c>
    </row>
    <row r="108" spans="1:7" ht="15.75">
      <c r="A108" s="39" t="s">
        <v>160</v>
      </c>
      <c r="B108" s="47">
        <f>IF(245.61657="","-",245.61657)</f>
        <v>245.61657</v>
      </c>
      <c r="C108" s="47">
        <f>IF(263.49739="","-",263.49739)</f>
        <v>263.49739</v>
      </c>
      <c r="D108" s="47">
        <f>IF(OR(245.61657="",263.49739="",245.61657=0),"-",263.49739/245.61657*100)</f>
        <v>107.27997300833572</v>
      </c>
      <c r="E108" s="12"/>
      <c r="F108" s="12"/>
      <c r="G108" s="12"/>
    </row>
    <row r="109" spans="1:7" ht="15.75">
      <c r="A109" s="39" t="s">
        <v>111</v>
      </c>
      <c r="B109" s="47">
        <f>IF(-254.4922="","-",-254.4922)</f>
        <v>-254.4922</v>
      </c>
      <c r="C109" s="47">
        <f>IF(298.96757="","-",298.96757)</f>
        <v>298.96757</v>
      </c>
      <c r="D109" s="47" t="s">
        <v>22</v>
      </c>
      <c r="E109" s="10"/>
      <c r="F109" s="10"/>
      <c r="G109" s="10"/>
    </row>
    <row r="110" spans="1:4" ht="15.75">
      <c r="A110" s="39" t="s">
        <v>105</v>
      </c>
      <c r="B110" s="47">
        <f>IF(304.58737="","-",304.58737)</f>
        <v>304.58737</v>
      </c>
      <c r="C110" s="47">
        <f>IF(323.47451="","-",323.47451)</f>
        <v>323.47451</v>
      </c>
      <c r="D110" s="47">
        <f>IF(OR(304.58737="",323.47451="",304.58737=0),"-",323.47451/304.58737*100)</f>
        <v>106.2008940160585</v>
      </c>
    </row>
    <row r="111" spans="1:7" ht="15.75">
      <c r="A111" s="39" t="s">
        <v>72</v>
      </c>
      <c r="B111" s="47">
        <f>IF(1644.38008="","-",1644.38008)</f>
        <v>1644.38008</v>
      </c>
      <c r="C111" s="47">
        <f>IF(478.9888="","-",478.9888)</f>
        <v>478.9888</v>
      </c>
      <c r="D111" s="47">
        <f>IF(OR(1644.38008="",478.9888="",1644.38008=0),"-",478.9888/1644.38008*100)</f>
        <v>29.128837415739074</v>
      </c>
      <c r="E111" s="12"/>
      <c r="F111" s="12"/>
      <c r="G111" s="12"/>
    </row>
    <row r="112" spans="1:4" ht="15.75">
      <c r="A112" s="39" t="s">
        <v>45</v>
      </c>
      <c r="B112" s="47">
        <f>IF(2010.36745="","-",2010.36745)</f>
        <v>2010.36745</v>
      </c>
      <c r="C112" s="47">
        <f>IF(537.93676="","-",537.93676)</f>
        <v>537.93676</v>
      </c>
      <c r="D112" s="47">
        <f>IF(OR(2010.36745="",537.93676="",2010.36745=0),"-",537.93676/2010.36745*100)</f>
        <v>26.758131206312562</v>
      </c>
    </row>
    <row r="113" spans="1:4" ht="15.75">
      <c r="A113" s="39" t="s">
        <v>85</v>
      </c>
      <c r="B113" s="47">
        <f>IF(819.59118="","-",819.59118)</f>
        <v>819.59118</v>
      </c>
      <c r="C113" s="47">
        <f>IF(673.02298="","-",673.02298)</f>
        <v>673.02298</v>
      </c>
      <c r="D113" s="47">
        <f>IF(OR(819.59118="",673.02298="",819.59118=0),"-",673.02298/819.59118*100)</f>
        <v>82.11691345922</v>
      </c>
    </row>
    <row r="114" spans="1:7" ht="15.75">
      <c r="A114" s="39" t="s">
        <v>120</v>
      </c>
      <c r="B114" s="47">
        <f>IF(417.22868="","-",417.22868)</f>
        <v>417.22868</v>
      </c>
      <c r="C114" s="47">
        <f>IF(828.75624="","-",828.75624)</f>
        <v>828.75624</v>
      </c>
      <c r="D114" s="47" t="s">
        <v>20</v>
      </c>
      <c r="E114" s="12"/>
      <c r="F114" s="12"/>
      <c r="G114" s="12"/>
    </row>
    <row r="115" spans="1:4" ht="15.75">
      <c r="A115" s="39" t="s">
        <v>175</v>
      </c>
      <c r="B115" s="47">
        <f>IF(69.65623="","-",69.65623)</f>
        <v>69.65623</v>
      </c>
      <c r="C115" s="47">
        <f>IF(1001.23142="","-",1001.23142)</f>
        <v>1001.23142</v>
      </c>
      <c r="D115" s="47" t="s">
        <v>250</v>
      </c>
    </row>
    <row r="116" spans="1:4" ht="15.75">
      <c r="A116" s="39" t="s">
        <v>76</v>
      </c>
      <c r="B116" s="47">
        <f>IF(-1324.45258="","-",-1324.45258)</f>
        <v>-1324.45258</v>
      </c>
      <c r="C116" s="47">
        <f>IF(2505.16298="","-",2505.16298)</f>
        <v>2505.16298</v>
      </c>
      <c r="D116" s="47" t="s">
        <v>22</v>
      </c>
    </row>
    <row r="117" spans="1:4" ht="15.75">
      <c r="A117" s="39" t="s">
        <v>73</v>
      </c>
      <c r="B117" s="47">
        <f>IF(-105.60823="","-",-105.60823)</f>
        <v>-105.60823</v>
      </c>
      <c r="C117" s="47">
        <f>IF(2896.32781="","-",2896.32781)</f>
        <v>2896.32781</v>
      </c>
      <c r="D117" s="47" t="s">
        <v>22</v>
      </c>
    </row>
    <row r="118" spans="1:4" ht="15.75">
      <c r="A118" s="39" t="s">
        <v>149</v>
      </c>
      <c r="B118" s="47">
        <f>IF(0.61196="","-",0.61196)</f>
        <v>0.61196</v>
      </c>
      <c r="C118" s="47">
        <f>IF(2995.41757="","-",2995.41757)</f>
        <v>2995.41757</v>
      </c>
      <c r="D118" s="47" t="s">
        <v>305</v>
      </c>
    </row>
    <row r="119" spans="1:4" ht="15.75">
      <c r="A119" s="39" t="s">
        <v>65</v>
      </c>
      <c r="B119" s="47">
        <f>IF(7114.90611="","-",7114.90611)</f>
        <v>7114.90611</v>
      </c>
      <c r="C119" s="47">
        <f>IF(6056.02068="","-",6056.02068)</f>
        <v>6056.02068</v>
      </c>
      <c r="D119" s="47">
        <f>IF(OR(7114.90611="",6056.02068="",7114.90611=0),"-",6056.02068/7114.90611*100)</f>
        <v>85.11736608144783</v>
      </c>
    </row>
    <row r="120" spans="1:4" ht="15.75">
      <c r="A120" s="39" t="s">
        <v>148</v>
      </c>
      <c r="B120" s="47">
        <f>IF(1773.16878="","-",1773.16878)</f>
        <v>1773.16878</v>
      </c>
      <c r="C120" s="47">
        <f>IF(7033.0836="","-",7033.0836)</f>
        <v>7033.0836</v>
      </c>
      <c r="D120" s="47" t="s">
        <v>246</v>
      </c>
    </row>
    <row r="121" spans="1:4" ht="15.75">
      <c r="A121" s="39" t="s">
        <v>68</v>
      </c>
      <c r="B121" s="47">
        <f>IF(8221.259="","-",8221.259)</f>
        <v>8221.259</v>
      </c>
      <c r="C121" s="47">
        <f>IF(7491.02651="","-",7491.02651)</f>
        <v>7491.02651</v>
      </c>
      <c r="D121" s="47">
        <f>IF(OR(8221.259="",7491.02651="",8221.259=0),"-",7491.02651/8221.259*100)</f>
        <v>91.1177534973658</v>
      </c>
    </row>
    <row r="122" spans="1:4" ht="15.75">
      <c r="A122" s="39" t="s">
        <v>66</v>
      </c>
      <c r="B122" s="47">
        <f>IF(9468.38277="","-",9468.38277)</f>
        <v>9468.38277</v>
      </c>
      <c r="C122" s="47">
        <f>IF(7650.68126="","-",7650.68126)</f>
        <v>7650.68126</v>
      </c>
      <c r="D122" s="47">
        <f>IF(OR(9468.38277="",7650.68126="",9468.38277=0),"-",7650.68126/9468.38277*100)</f>
        <v>80.80240782238675</v>
      </c>
    </row>
    <row r="123" spans="1:4" ht="15.75">
      <c r="A123" s="40" t="s">
        <v>174</v>
      </c>
      <c r="B123" s="48">
        <f>IF(13269.02133="","-",13269.02133)</f>
        <v>13269.02133</v>
      </c>
      <c r="C123" s="48">
        <f>IF(16587.03262="","-",16587.03262)</f>
        <v>16587.03262</v>
      </c>
      <c r="D123" s="48">
        <f>IF(OR(13269.02133="",16587.03262="",13269.02133=0),"-",16587.03262/13269.02133*100)</f>
        <v>125.0056971609375</v>
      </c>
    </row>
    <row r="124" ht="15.75">
      <c r="A124" s="27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J23" sqref="J23"/>
    </sheetView>
  </sheetViews>
  <sheetFormatPr defaultColWidth="9.00390625" defaultRowHeight="15.75"/>
  <cols>
    <col min="1" max="1" width="32.625" style="0" customWidth="1"/>
    <col min="2" max="2" width="13.00390625" style="0" customWidth="1"/>
    <col min="3" max="3" width="15.00390625" style="0" customWidth="1"/>
    <col min="4" max="5" width="10.50390625" style="0" customWidth="1"/>
  </cols>
  <sheetData>
    <row r="1" spans="1:5" ht="15.75">
      <c r="A1" s="59" t="s">
        <v>136</v>
      </c>
      <c r="B1" s="59"/>
      <c r="C1" s="59"/>
      <c r="D1" s="59"/>
      <c r="E1" s="59"/>
    </row>
    <row r="2" spans="1:5" ht="15.75">
      <c r="A2" s="9"/>
      <c r="B2" s="9"/>
      <c r="C2" s="9"/>
      <c r="D2" s="9"/>
      <c r="E2" s="9"/>
    </row>
    <row r="3" spans="1:6" ht="15.75" customHeight="1">
      <c r="A3" s="60"/>
      <c r="B3" s="71" t="s">
        <v>259</v>
      </c>
      <c r="C3" s="71"/>
      <c r="D3" s="63" t="s">
        <v>119</v>
      </c>
      <c r="E3" s="77"/>
      <c r="F3" s="1"/>
    </row>
    <row r="4" spans="1:6" ht="18" customHeight="1">
      <c r="A4" s="61"/>
      <c r="B4" s="67" t="s">
        <v>145</v>
      </c>
      <c r="C4" s="69" t="s">
        <v>260</v>
      </c>
      <c r="D4" s="71" t="s">
        <v>261</v>
      </c>
      <c r="E4" s="63"/>
      <c r="F4" s="1"/>
    </row>
    <row r="5" spans="1:6" ht="18" customHeight="1">
      <c r="A5" s="62"/>
      <c r="B5" s="68"/>
      <c r="C5" s="70"/>
      <c r="D5" s="23">
        <v>2018</v>
      </c>
      <c r="E5" s="22">
        <v>2019</v>
      </c>
      <c r="F5" s="1"/>
    </row>
    <row r="6" spans="1:5" ht="15.75" customHeight="1">
      <c r="A6" s="28" t="s">
        <v>163</v>
      </c>
      <c r="B6" s="52">
        <f>IF(1361362.0538="","-",1361362.0538)</f>
        <v>1361362.0538</v>
      </c>
      <c r="C6" s="45">
        <f>IF(1314797.53704="","-",1361362.0538/1314797.53704*100)</f>
        <v>103.54157316607319</v>
      </c>
      <c r="D6" s="45">
        <v>100</v>
      </c>
      <c r="E6" s="45">
        <v>100</v>
      </c>
    </row>
    <row r="7" spans="1:5" ht="15.75" customHeight="1">
      <c r="A7" s="29" t="s">
        <v>161</v>
      </c>
      <c r="B7" s="37"/>
      <c r="C7" s="38"/>
      <c r="D7" s="37"/>
      <c r="E7" s="37"/>
    </row>
    <row r="8" spans="1:5" ht="15.75">
      <c r="A8" s="30" t="s">
        <v>126</v>
      </c>
      <c r="B8" s="47">
        <f>IF(101473.75575="","-",101473.75575)</f>
        <v>101473.75575</v>
      </c>
      <c r="C8" s="53">
        <v>99</v>
      </c>
      <c r="D8" s="47">
        <f>IF(102503.38615="","-",102503.38615/1314797.53704*100)</f>
        <v>7.796134633836141</v>
      </c>
      <c r="E8" s="47">
        <f>IF(101473.75575="","-",101473.75575/1361362.0538*100)</f>
        <v>7.453840472984688</v>
      </c>
    </row>
    <row r="9" spans="1:5" ht="15.75">
      <c r="A9" s="30" t="s">
        <v>127</v>
      </c>
      <c r="B9" s="47">
        <f>IF(58347.54068="","-",58347.54068)</f>
        <v>58347.54068</v>
      </c>
      <c r="C9" s="53" t="s">
        <v>146</v>
      </c>
      <c r="D9" s="47">
        <f>IF(38726.88829="","-",38726.88829/1314797.53704*100)</f>
        <v>2.945464012442991</v>
      </c>
      <c r="E9" s="47">
        <f>IF(58347.54068="","-",58347.54068/1361362.0538*100)</f>
        <v>4.28596790377205</v>
      </c>
    </row>
    <row r="10" spans="1:5" ht="15.75">
      <c r="A10" s="30" t="s">
        <v>128</v>
      </c>
      <c r="B10" s="47">
        <f>IF(1178771.86835="","-",1178771.86835)</f>
        <v>1178771.86835</v>
      </c>
      <c r="C10" s="53">
        <v>103.07</v>
      </c>
      <c r="D10" s="47">
        <f>IF(1143686.24286="","-",1143686.24286/1314797.53704*100)</f>
        <v>86.98573055093924</v>
      </c>
      <c r="E10" s="47">
        <f>IF(1178771.86835="","-",1178771.86835/1361362.0538*100)</f>
        <v>86.58768364078225</v>
      </c>
    </row>
    <row r="11" spans="1:5" ht="15.75">
      <c r="A11" s="30" t="s">
        <v>129</v>
      </c>
      <c r="B11" s="47">
        <f>IF(21730.78825="","-",21730.78825)</f>
        <v>21730.78825</v>
      </c>
      <c r="C11" s="53">
        <v>74.57</v>
      </c>
      <c r="D11" s="47">
        <f>IF(29141.94401="","-",29141.94401/1314797.53704*100)</f>
        <v>2.2164586705575346</v>
      </c>
      <c r="E11" s="47">
        <f>IF(21730.78825="","-",21730.78825/1361362.0538*100)</f>
        <v>1.59625341321527</v>
      </c>
    </row>
    <row r="12" spans="1:5" ht="15.75">
      <c r="A12" s="30" t="s">
        <v>130</v>
      </c>
      <c r="B12" s="47">
        <f>IF(710.0538="","-",710.0538)</f>
        <v>710.0538</v>
      </c>
      <c r="C12" s="53">
        <v>99.57</v>
      </c>
      <c r="D12" s="47">
        <f>IF(713.11906="","-",713.11906/1314797.53704*100)</f>
        <v>0.05423793701389514</v>
      </c>
      <c r="E12" s="47">
        <f>IF(710.0538="","-",710.0538/1361362.0538*100)</f>
        <v>0.05215760186777728</v>
      </c>
    </row>
    <row r="13" spans="1:5" ht="15.75">
      <c r="A13" s="30" t="s">
        <v>131</v>
      </c>
      <c r="B13" s="47">
        <f>IF(3.60065="","-",3.60065)</f>
        <v>3.60065</v>
      </c>
      <c r="C13" s="53">
        <v>85.71</v>
      </c>
      <c r="D13" s="47">
        <f>IF(4.1982="","-",4.1982/1314797.53704*100)</f>
        <v>0.0003193039142324069</v>
      </c>
      <c r="E13" s="47">
        <f>IF(3.60065="","-",3.60065/1361362.0538*100)</f>
        <v>0.0002644887882653572</v>
      </c>
    </row>
    <row r="14" spans="1:5" ht="15.75">
      <c r="A14" s="30" t="s">
        <v>132</v>
      </c>
      <c r="B14" s="47">
        <f>IF(324.44632="","-",324.44632)</f>
        <v>324.44632</v>
      </c>
      <c r="C14" s="53" t="s">
        <v>286</v>
      </c>
      <c r="D14" s="47">
        <f>IF(21.75847="","-",21.75847/1314797.53704*100)</f>
        <v>0.001654891295962174</v>
      </c>
      <c r="E14" s="47">
        <f>IF(324.44632="","-",324.44632/1361362.0538*100)</f>
        <v>0.023832478589686398</v>
      </c>
    </row>
    <row r="15" spans="1:5" ht="15.75">
      <c r="A15" s="26" t="s">
        <v>256</v>
      </c>
      <c r="B15" s="46">
        <f>IF(880196.67195="","-",880196.67195)</f>
        <v>880196.67195</v>
      </c>
      <c r="C15" s="46">
        <f>IF(900379.06534="","-",880196.67195/900379.06534*100)</f>
        <v>97.75845594739825</v>
      </c>
      <c r="D15" s="46">
        <f>IF(900379.06534="","-",900379.06534/1314797.53704*100)</f>
        <v>68.48043443761088</v>
      </c>
      <c r="E15" s="46">
        <f>IF(880196.67195="","-",880196.67195/1361362.0538*100)</f>
        <v>64.65559029598977</v>
      </c>
    </row>
    <row r="16" spans="1:5" ht="15.75">
      <c r="A16" s="30" t="s">
        <v>126</v>
      </c>
      <c r="B16" s="47">
        <f>IF(37679.48084="","-",37679.48084)</f>
        <v>37679.48084</v>
      </c>
      <c r="C16" s="53">
        <v>59.92</v>
      </c>
      <c r="D16" s="47">
        <f>IF(62880.04523="","-",62880.04523/1314797.53704*100)</f>
        <v>4.78248882117331</v>
      </c>
      <c r="E16" s="47">
        <f>IF(37679.48084="","-",37679.48084/1361362.0538*100)</f>
        <v>2.7677781039088334</v>
      </c>
    </row>
    <row r="17" spans="1:5" ht="15.75">
      <c r="A17" s="30" t="s">
        <v>127</v>
      </c>
      <c r="B17" s="47">
        <f>IF(15240.42298="","-",15240.42298)</f>
        <v>15240.42298</v>
      </c>
      <c r="C17" s="53">
        <v>101.15</v>
      </c>
      <c r="D17" s="47">
        <f>IF(15067.46275="","-",15067.46275/1314797.53704*100)</f>
        <v>1.1459910994297524</v>
      </c>
      <c r="E17" s="47">
        <f>IF(15240.42298="","-",15240.42298/1361362.0538*100)</f>
        <v>1.1194981480098602</v>
      </c>
    </row>
    <row r="18" spans="1:11" ht="15.75">
      <c r="A18" s="30" t="s">
        <v>128</v>
      </c>
      <c r="B18" s="47">
        <f>IF(824285.71927="","-",824285.71927)</f>
        <v>824285.71927</v>
      </c>
      <c r="C18" s="53">
        <v>101.1</v>
      </c>
      <c r="D18" s="47">
        <f>IF(815329.35182="","-",815329.35182/1314797.53704*100)</f>
        <v>62.011779673359335</v>
      </c>
      <c r="E18" s="47">
        <f>IF(824285.71927="","-",824285.71927/1361362.0538*100)</f>
        <v>60.54860402265165</v>
      </c>
      <c r="K18" s="25"/>
    </row>
    <row r="19" spans="1:5" ht="15.75">
      <c r="A19" s="30" t="s">
        <v>129</v>
      </c>
      <c r="B19" s="47">
        <f>IF(2520.98717="","-",2520.98717)</f>
        <v>2520.98717</v>
      </c>
      <c r="C19" s="53">
        <v>37.61</v>
      </c>
      <c r="D19" s="47">
        <f>IF(6702.79087="","-",6702.79087/1314797.53704*100)</f>
        <v>0.5097964272955647</v>
      </c>
      <c r="E19" s="47">
        <f>IF(2520.98717="","-",2520.98717/1361362.0538*100)</f>
        <v>0.18518124278277864</v>
      </c>
    </row>
    <row r="20" spans="1:5" ht="15.75">
      <c r="A20" s="30" t="s">
        <v>130</v>
      </c>
      <c r="B20" s="47">
        <f>IF(273.45728="","-",273.45728)</f>
        <v>273.45728</v>
      </c>
      <c r="C20" s="54">
        <v>71.94</v>
      </c>
      <c r="D20" s="47">
        <f>IF(380.12369="","-",380.12369/1314797.53704*100)</f>
        <v>0.02891119577663428</v>
      </c>
      <c r="E20" s="47">
        <f>IF(273.45728="","-",273.45728/1361362.0538*100)</f>
        <v>0.020087035571227554</v>
      </c>
    </row>
    <row r="21" spans="1:5" ht="15.75">
      <c r="A21" s="30" t="s">
        <v>132</v>
      </c>
      <c r="B21" s="47">
        <f>IF(196.60441="","-",196.60441)</f>
        <v>196.60441</v>
      </c>
      <c r="C21" s="54" t="s">
        <v>287</v>
      </c>
      <c r="D21" s="47">
        <f>IF(19.29098="","-",19.29098/1314797.53704*100)</f>
        <v>0.0014672205762896187</v>
      </c>
      <c r="E21" s="47">
        <f>IF(196.60441="","-",196.60441/1361362.0538*100)</f>
        <v>0.014441743065425817</v>
      </c>
    </row>
    <row r="22" spans="1:5" ht="15.75">
      <c r="A22" s="26" t="s">
        <v>257</v>
      </c>
      <c r="B22" s="46">
        <f>IF(202440.70959="","-",202440.70959)</f>
        <v>202440.70959</v>
      </c>
      <c r="C22" s="46">
        <f>IF(208275.81019="","-",202440.70959/208275.81019*100)</f>
        <v>97.19837815314372</v>
      </c>
      <c r="D22" s="46">
        <f>IF(208275.81019="","-",208275.81019/1314797.53704*100)</f>
        <v>15.840903585725504</v>
      </c>
      <c r="E22" s="46">
        <f>IF(202440.70959="","-",202440.70959/1361362.0538*100)</f>
        <v>14.870453383427485</v>
      </c>
    </row>
    <row r="23" spans="1:5" ht="15.75">
      <c r="A23" s="30" t="s">
        <v>126</v>
      </c>
      <c r="B23" s="47">
        <f>IF(3629.90108="","-",3629.90108)</f>
        <v>3629.90108</v>
      </c>
      <c r="C23" s="53" t="s">
        <v>114</v>
      </c>
      <c r="D23" s="47">
        <f>IF(2189.21479="","-",2189.21479/1314797.53704*100)</f>
        <v>0.16650584811168515</v>
      </c>
      <c r="E23" s="47">
        <f>IF(3629.90108="","-",3629.90108/1361362.0538*100)</f>
        <v>0.2666374510636444</v>
      </c>
    </row>
    <row r="24" spans="1:5" ht="15.75">
      <c r="A24" s="30" t="s">
        <v>127</v>
      </c>
      <c r="B24" s="47">
        <f>IF(9182.87658="","-",9182.87658)</f>
        <v>9182.87658</v>
      </c>
      <c r="C24" s="53">
        <v>123.76</v>
      </c>
      <c r="D24" s="47">
        <f>IF(7420.03442="","-",7420.03442/1314797.53704*100)</f>
        <v>0.5643480620373462</v>
      </c>
      <c r="E24" s="47">
        <f>IF(9182.87658="","-",9182.87658/1361362.0538*100)</f>
        <v>0.6745359586281718</v>
      </c>
    </row>
    <row r="25" spans="1:5" ht="15.75">
      <c r="A25" s="30" t="s">
        <v>128</v>
      </c>
      <c r="B25" s="47">
        <f>IF(184825.00764="","-",184825.00764)</f>
        <v>184825.00764</v>
      </c>
      <c r="C25" s="55">
        <v>96.54</v>
      </c>
      <c r="D25" s="47">
        <f>IF(191444.55842="","-",191444.55842/1314797.53704*100)</f>
        <v>14.560763389548065</v>
      </c>
      <c r="E25" s="47">
        <f>IF(184825.00764="","-",184825.00764/1361362.0538*100)</f>
        <v>13.5764771115879</v>
      </c>
    </row>
    <row r="26" spans="1:5" ht="15.75">
      <c r="A26" s="30" t="s">
        <v>129</v>
      </c>
      <c r="B26" s="47">
        <f>IF(4408.62384="","-",4408.62384)</f>
        <v>4408.62384</v>
      </c>
      <c r="C26" s="55">
        <v>61.2</v>
      </c>
      <c r="D26" s="47">
        <f>IF(7203.80199="","-",7203.80199/1314797.53704*100)</f>
        <v>0.5479019991334863</v>
      </c>
      <c r="E26" s="47">
        <f>IF(4408.62384="","-",4408.62384/1361362.0538*100)</f>
        <v>0.32383918941284656</v>
      </c>
    </row>
    <row r="27" spans="1:5" ht="15.75">
      <c r="A27" s="30" t="s">
        <v>130</v>
      </c>
      <c r="B27" s="47">
        <f>IF(375.54236="","-",375.54236)</f>
        <v>375.54236</v>
      </c>
      <c r="C27" s="55" t="s">
        <v>288</v>
      </c>
      <c r="D27" s="47">
        <f>IF(11.53488="","-",11.53488/1314797.53704*100)</f>
        <v>0.0008773122610168895</v>
      </c>
      <c r="E27" s="47">
        <f>IF(375.54236="","-",375.54236/1361362.0538*100)</f>
        <v>0.027585781383559223</v>
      </c>
    </row>
    <row r="28" spans="1:7" ht="15.75">
      <c r="A28" s="30" t="s">
        <v>131</v>
      </c>
      <c r="B28" s="47">
        <f>IF(3.60065="","-",3.60065)</f>
        <v>3.60065</v>
      </c>
      <c r="C28" s="55">
        <v>85.71</v>
      </c>
      <c r="D28" s="47">
        <f>IF(4.1982="","-",4.1982/1314797.53704*100)</f>
        <v>0.0003193039142324069</v>
      </c>
      <c r="E28" s="47">
        <f>IF(3.60065="","-",3.60065/1361362.0538*100)</f>
        <v>0.0002644887882653572</v>
      </c>
      <c r="F28" s="1"/>
      <c r="G28" s="1"/>
    </row>
    <row r="29" spans="1:7" ht="15.75">
      <c r="A29" s="30" t="s">
        <v>132</v>
      </c>
      <c r="B29" s="47">
        <f>IF(15.15744="","-",15.15744)</f>
        <v>15.15744</v>
      </c>
      <c r="C29" s="55" t="s">
        <v>251</v>
      </c>
      <c r="D29" s="47">
        <f>IF(2.46749="","-",2.46749/1314797.53704*100)</f>
        <v>0.00018767071967255532</v>
      </c>
      <c r="E29" s="47">
        <f>IF(15.15744="","-",15.15744/1361362.0538*100)</f>
        <v>0.0011134025630941233</v>
      </c>
      <c r="F29" s="12"/>
      <c r="G29" s="12"/>
    </row>
    <row r="30" spans="1:5" ht="15.75">
      <c r="A30" s="26" t="s">
        <v>290</v>
      </c>
      <c r="B30" s="46">
        <f>IF(278724.67226="","-",278724.67226)</f>
        <v>278724.67226</v>
      </c>
      <c r="C30" s="46">
        <f>IF(206142.66151="","-",278724.67226/206142.66151*100)</f>
        <v>135.2096020388672</v>
      </c>
      <c r="D30" s="46">
        <f>IF(206142.66151="","-",206142.66151/1314797.53704*100)</f>
        <v>15.6786619766636</v>
      </c>
      <c r="E30" s="46">
        <f>IF(278724.67226="","-",278724.67226/1361362.0538*100)</f>
        <v>20.47395632058273</v>
      </c>
    </row>
    <row r="31" spans="1:5" ht="15.75">
      <c r="A31" s="30" t="s">
        <v>126</v>
      </c>
      <c r="B31" s="47">
        <f>IF(60164.37383="","-",60164.37383)</f>
        <v>60164.37383</v>
      </c>
      <c r="C31" s="53" t="s">
        <v>115</v>
      </c>
      <c r="D31" s="47">
        <f>IF(37434.12613="","-",37434.12613/1314797.53704*100)</f>
        <v>2.847139964551146</v>
      </c>
      <c r="E31" s="47">
        <f>IF(60164.37383="","-",60164.37383/1361362.0538*100)</f>
        <v>4.4194249180122105</v>
      </c>
    </row>
    <row r="32" spans="1:5" ht="15.75">
      <c r="A32" s="30" t="s">
        <v>127</v>
      </c>
      <c r="B32" s="47">
        <f>IF(33924.24112="","-",33924.24112)</f>
        <v>33924.24112</v>
      </c>
      <c r="C32" s="53" t="s">
        <v>104</v>
      </c>
      <c r="D32" s="47">
        <f>IF(16239.39112="","-",16239.39112/1314797.53704*100)</f>
        <v>1.235124850975892</v>
      </c>
      <c r="E32" s="47">
        <f>IF(33924.24112="","-",33924.24112/1361362.0538*100)</f>
        <v>2.4919337971340183</v>
      </c>
    </row>
    <row r="33" spans="1:5" ht="15.75">
      <c r="A33" s="30" t="s">
        <v>128</v>
      </c>
      <c r="B33" s="47">
        <f>IF(169661.14144="","-",169661.14144)</f>
        <v>169661.14144</v>
      </c>
      <c r="C33" s="53">
        <v>123.92</v>
      </c>
      <c r="D33" s="47">
        <f>IF(136912.33262="","-",136912.33262/1314797.53704*100)</f>
        <v>10.413187488031832</v>
      </c>
      <c r="E33" s="47">
        <f>IF(169661.14144="","-",169661.14144/1361362.0538*100)</f>
        <v>12.462602506542702</v>
      </c>
    </row>
    <row r="34" spans="1:5" ht="15.75">
      <c r="A34" s="30" t="s">
        <v>129</v>
      </c>
      <c r="B34" s="47">
        <f>IF(14801.17724="","-",14801.17724)</f>
        <v>14801.17724</v>
      </c>
      <c r="C34" s="54">
        <v>97.15</v>
      </c>
      <c r="D34" s="47">
        <f>IF(15235.35115="","-",15235.35115/1314797.53704*100)</f>
        <v>1.158760244128484</v>
      </c>
      <c r="E34" s="47">
        <f>IF(14801.17724="","-",14801.17724/1361362.0538*100)</f>
        <v>1.0872329810196448</v>
      </c>
    </row>
    <row r="35" spans="1:5" ht="15.75">
      <c r="A35" s="42" t="s">
        <v>130</v>
      </c>
      <c r="B35" s="51">
        <f>IF(61.05416="","-",61.05416)</f>
        <v>61.05416</v>
      </c>
      <c r="C35" s="54">
        <v>18.99</v>
      </c>
      <c r="D35" s="51">
        <f>IF(321.46049="","-",321.46049/1314797.53704*100)</f>
        <v>0.024449428976243984</v>
      </c>
      <c r="E35" s="51">
        <f>IF(61.05416="","-",61.05416/1361362.0538*100)</f>
        <v>0.004484784912990499</v>
      </c>
    </row>
    <row r="36" spans="1:5" ht="15.75">
      <c r="A36" s="31" t="s">
        <v>132</v>
      </c>
      <c r="B36" s="48">
        <f>IF(112.68447="","-",112.68447)</f>
        <v>112.68447</v>
      </c>
      <c r="C36" s="56" t="s">
        <v>22</v>
      </c>
      <c r="D36" s="57" t="s">
        <v>125</v>
      </c>
      <c r="E36" s="48">
        <f>IF(112.68447="","-",112.68447/1361362.0538*100)</f>
        <v>0.008277332961166454</v>
      </c>
    </row>
    <row r="37" spans="1:5" ht="15.75">
      <c r="A37" s="34" t="s">
        <v>21</v>
      </c>
      <c r="B37" s="58"/>
      <c r="C37" s="58"/>
      <c r="D37" s="58"/>
      <c r="E37" s="58"/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="95" zoomScaleNormal="95" zoomScalePageLayoutView="0" workbookViewId="0" topLeftCell="A1">
      <selection activeCell="G24" sqref="G24"/>
    </sheetView>
  </sheetViews>
  <sheetFormatPr defaultColWidth="9.00390625" defaultRowHeight="15.75"/>
  <cols>
    <col min="1" max="1" width="32.125" style="0" customWidth="1"/>
    <col min="2" max="2" width="12.375" style="0" customWidth="1"/>
    <col min="3" max="3" width="14.875" style="0" customWidth="1"/>
    <col min="4" max="5" width="11.25390625" style="0" customWidth="1"/>
  </cols>
  <sheetData>
    <row r="1" spans="1:5" ht="15.75">
      <c r="A1" s="59" t="s">
        <v>137</v>
      </c>
      <c r="B1" s="59"/>
      <c r="C1" s="59"/>
      <c r="D1" s="59"/>
      <c r="E1" s="59"/>
    </row>
    <row r="2" spans="1:5" ht="15.75">
      <c r="A2" s="9"/>
      <c r="B2" s="9"/>
      <c r="C2" s="9"/>
      <c r="D2" s="9"/>
      <c r="E2" s="9"/>
    </row>
    <row r="3" spans="1:6" ht="15.75" customHeight="1">
      <c r="A3" s="60"/>
      <c r="B3" s="71" t="s">
        <v>259</v>
      </c>
      <c r="C3" s="71"/>
      <c r="D3" s="63" t="s">
        <v>119</v>
      </c>
      <c r="E3" s="77"/>
      <c r="F3" s="1"/>
    </row>
    <row r="4" spans="1:6" ht="18" customHeight="1">
      <c r="A4" s="61"/>
      <c r="B4" s="67" t="s">
        <v>108</v>
      </c>
      <c r="C4" s="69" t="s">
        <v>260</v>
      </c>
      <c r="D4" s="71" t="s">
        <v>261</v>
      </c>
      <c r="E4" s="63"/>
      <c r="F4" s="1"/>
    </row>
    <row r="5" spans="1:6" ht="18" customHeight="1">
      <c r="A5" s="62"/>
      <c r="B5" s="68"/>
      <c r="C5" s="70"/>
      <c r="D5" s="23">
        <v>2018</v>
      </c>
      <c r="E5" s="22">
        <v>2019</v>
      </c>
      <c r="F5" s="1"/>
    </row>
    <row r="6" spans="1:5" ht="15.75" customHeight="1">
      <c r="A6" s="28" t="s">
        <v>162</v>
      </c>
      <c r="B6" s="52">
        <f>IF(2807357.90586="","-",2807357.90586)</f>
        <v>2807357.90586</v>
      </c>
      <c r="C6" s="45">
        <f>IF(2734888.97913="","-",2807357.90586/2734888.97913*100)</f>
        <v>102.64979409705519</v>
      </c>
      <c r="D6" s="45">
        <v>100</v>
      </c>
      <c r="E6" s="45">
        <v>100</v>
      </c>
    </row>
    <row r="7" spans="1:5" ht="15.75" customHeight="1">
      <c r="A7" s="29" t="s">
        <v>161</v>
      </c>
      <c r="B7" s="37"/>
      <c r="C7" s="38"/>
      <c r="D7" s="37"/>
      <c r="E7" s="37"/>
    </row>
    <row r="8" spans="1:5" ht="15.75">
      <c r="A8" s="30" t="s">
        <v>126</v>
      </c>
      <c r="B8" s="47">
        <f>IF(59242.92594="","-",59242.92594)</f>
        <v>59242.92594</v>
      </c>
      <c r="C8" s="53">
        <v>80.68</v>
      </c>
      <c r="D8" s="47">
        <f>IF(73426.20159="","-",73426.20159/2734888.97913*100)</f>
        <v>2.6847964268501214</v>
      </c>
      <c r="E8" s="47">
        <f>IF(59242.92594="","-",59242.92594/2807357.90586*100)</f>
        <v>2.1102733576056685</v>
      </c>
    </row>
    <row r="9" spans="1:5" ht="15.75">
      <c r="A9" s="30" t="s">
        <v>127</v>
      </c>
      <c r="B9" s="47">
        <f>IF(129067.59456="","-",129067.59456)</f>
        <v>129067.59456</v>
      </c>
      <c r="C9" s="53">
        <v>89.85</v>
      </c>
      <c r="D9" s="47">
        <f>IF(143644.14331="","-",143644.14331/2734888.97913*100)</f>
        <v>5.252284257465358</v>
      </c>
      <c r="E9" s="47">
        <f>IF(129067.59456="","-",129067.59456/2807357.90586*100)</f>
        <v>4.597475594066148</v>
      </c>
    </row>
    <row r="10" spans="1:5" ht="15.75">
      <c r="A10" s="30" t="s">
        <v>128</v>
      </c>
      <c r="B10" s="47">
        <f>IF(2353982.7259="","-",2353982.7259)</f>
        <v>2353982.7259</v>
      </c>
      <c r="C10" s="53">
        <v>103.23</v>
      </c>
      <c r="D10" s="47">
        <f>IF(2280348.331="","-",2280348.331/2734888.97913*100)</f>
        <v>83.37992322179765</v>
      </c>
      <c r="E10" s="47">
        <f>IF(2353982.7259="","-",2353982.7259/2807357.90586*100)</f>
        <v>83.85046740874623</v>
      </c>
    </row>
    <row r="11" spans="1:5" ht="15.75">
      <c r="A11" s="30" t="s">
        <v>129</v>
      </c>
      <c r="B11" s="47">
        <f>IF(73259.26573="","-",73259.26573)</f>
        <v>73259.26573</v>
      </c>
      <c r="C11" s="53">
        <v>104.3</v>
      </c>
      <c r="D11" s="47">
        <f>IF(70237.06755="","-",70237.06755/2734888.97913*100)</f>
        <v>2.5681871580887075</v>
      </c>
      <c r="E11" s="47">
        <f>IF(73259.26573="","-",73259.26573/2807357.90586*100)</f>
        <v>2.6095449239685706</v>
      </c>
    </row>
    <row r="12" spans="1:5" ht="15.75">
      <c r="A12" s="30" t="s">
        <v>130</v>
      </c>
      <c r="B12" s="47">
        <f>IF(5257.22351="","-",5257.22351)</f>
        <v>5257.22351</v>
      </c>
      <c r="C12" s="53">
        <v>75.86</v>
      </c>
      <c r="D12" s="47">
        <f>IF(6930.1849="","-",6930.1849/2734888.97913*100)</f>
        <v>0.25339913074660064</v>
      </c>
      <c r="E12" s="47">
        <f>IF(5257.22351="","-",5257.22351/2807357.90586*100)</f>
        <v>0.1872658808136369</v>
      </c>
    </row>
    <row r="13" spans="1:5" ht="15.75">
      <c r="A13" s="30" t="s">
        <v>131</v>
      </c>
      <c r="B13" s="47">
        <f>IF(167764.64493="","-",167764.64493)</f>
        <v>167764.64493</v>
      </c>
      <c r="C13" s="53">
        <v>117.21</v>
      </c>
      <c r="D13" s="47">
        <f>IF(143134.36402="","-",143134.36402/2734888.97913*100)</f>
        <v>5.233644404298002</v>
      </c>
      <c r="E13" s="47">
        <f>IF(167764.64493="","-",167764.64493/2807357.90586*100)</f>
        <v>5.97589087518242</v>
      </c>
    </row>
    <row r="14" spans="1:5" ht="15.75">
      <c r="A14" s="30" t="s">
        <v>132</v>
      </c>
      <c r="B14" s="47">
        <f>IF(18783.52529="","-",18783.52529)</f>
        <v>18783.52529</v>
      </c>
      <c r="C14" s="53">
        <v>109.41</v>
      </c>
      <c r="D14" s="47">
        <f>IF(17168.68676="","-",17168.68676/2734888.97913*100)</f>
        <v>0.6277654007535458</v>
      </c>
      <c r="E14" s="47">
        <f>IF(18783.52529="","-",18783.52529/2807357.90586*100)</f>
        <v>0.6690819596173255</v>
      </c>
    </row>
    <row r="15" spans="1:5" ht="15.75">
      <c r="A15" s="26" t="s">
        <v>256</v>
      </c>
      <c r="B15" s="46">
        <f>IF(1402812.64558="","-",1402812.64558)</f>
        <v>1402812.64558</v>
      </c>
      <c r="C15" s="46">
        <f>IF(1395662.08591="","-",1402812.64558/1395662.08591*100)</f>
        <v>100.51234175823711</v>
      </c>
      <c r="D15" s="46">
        <f>IF(1395662.08591="","-",1395662.08591/2734888.97913*100)</f>
        <v>51.03176386903926</v>
      </c>
      <c r="E15" s="46">
        <f>IF(1402812.64558="","-",1402812.64558/2807357.90586*100)</f>
        <v>49.96914154236652</v>
      </c>
    </row>
    <row r="16" spans="1:5" ht="15.75">
      <c r="A16" s="30" t="s">
        <v>126</v>
      </c>
      <c r="B16" s="47">
        <f>IF(43187.24298="","-",43187.24298)</f>
        <v>43187.24298</v>
      </c>
      <c r="C16" s="53">
        <v>107.27</v>
      </c>
      <c r="D16" s="47">
        <f>IF(40260.80414="","-",40260.80414/2734888.97913*100)</f>
        <v>1.4721184094576092</v>
      </c>
      <c r="E16" s="47">
        <f>IF(43187.24298="","-",43187.24298/2807357.90586*100)</f>
        <v>1.538358999037927</v>
      </c>
    </row>
    <row r="17" spans="1:5" ht="15.75">
      <c r="A17" s="30" t="s">
        <v>127</v>
      </c>
      <c r="B17" s="47">
        <f>IF(18589.07296="","-",18589.07296)</f>
        <v>18589.07296</v>
      </c>
      <c r="C17" s="53">
        <v>79.86</v>
      </c>
      <c r="D17" s="47">
        <f>IF(23276.86814="","-",23276.86814/2734888.97913*100)</f>
        <v>0.8511083381309557</v>
      </c>
      <c r="E17" s="47">
        <f>IF(18589.07296="","-",18589.07296/2807357.90586*100)</f>
        <v>0.6621554352296048</v>
      </c>
    </row>
    <row r="18" spans="1:5" ht="15.75">
      <c r="A18" s="30" t="s">
        <v>128</v>
      </c>
      <c r="B18" s="47">
        <f>IF(1300943.11804="","-",1300943.11804)</f>
        <v>1300943.11804</v>
      </c>
      <c r="C18" s="53">
        <v>100.49</v>
      </c>
      <c r="D18" s="47">
        <f>IF(1294554.89878="","-",1294554.89878/2734888.97913*100)</f>
        <v>47.33482450873794</v>
      </c>
      <c r="E18" s="47">
        <f>IF(1300943.11804="","-",1300943.11804/2807357.90586*100)</f>
        <v>46.340479613391935</v>
      </c>
    </row>
    <row r="19" spans="1:5" ht="15.75">
      <c r="A19" s="30" t="s">
        <v>129</v>
      </c>
      <c r="B19" s="47">
        <f>IF(22365.58933="","-",22365.58933)</f>
        <v>22365.58933</v>
      </c>
      <c r="C19" s="53">
        <v>117.39</v>
      </c>
      <c r="D19" s="47">
        <f>IF(19052.77512="","-",19052.77512/2734888.97913*100)</f>
        <v>0.6966562542535423</v>
      </c>
      <c r="E19" s="47">
        <f>IF(22365.58933="","-",22365.58933/2807357.90586*100)</f>
        <v>0.7966775195750673</v>
      </c>
    </row>
    <row r="20" spans="1:5" ht="15.75">
      <c r="A20" s="30" t="s">
        <v>130</v>
      </c>
      <c r="B20" s="47">
        <f>IF(2253.48393="","-",2253.48393)</f>
        <v>2253.48393</v>
      </c>
      <c r="C20" s="53">
        <v>75.42</v>
      </c>
      <c r="D20" s="47">
        <f>IF(2988.07383="","-",2988.07383/2734888.97913*100)</f>
        <v>0.10925759154400999</v>
      </c>
      <c r="E20" s="47">
        <f>IF(2253.48393="","-",2253.48393/2807357.90586*100)</f>
        <v>0.08027063187405285</v>
      </c>
    </row>
    <row r="21" spans="1:5" ht="15.75">
      <c r="A21" s="30" t="s">
        <v>132</v>
      </c>
      <c r="B21" s="47">
        <f>IF(15474.13834="","-",15474.13834)</f>
        <v>15474.13834</v>
      </c>
      <c r="C21" s="53">
        <v>99.65</v>
      </c>
      <c r="D21" s="47">
        <f>IF(15528.6659="","-",15528.6659/2734888.97913*100)</f>
        <v>0.5677987669152058</v>
      </c>
      <c r="E21" s="47">
        <f>IF(15474.13834="","-",15474.13834/2807357.90586*100)</f>
        <v>0.5511993432579336</v>
      </c>
    </row>
    <row r="22" spans="1:5" ht="15.75">
      <c r="A22" s="26" t="s">
        <v>257</v>
      </c>
      <c r="B22" s="46">
        <f>IF(695762.88358="","-",695762.88358)</f>
        <v>695762.88358</v>
      </c>
      <c r="C22" s="46">
        <f>IF(637462.32109="","-",695762.88358/637462.32109*100)</f>
        <v>109.14572682355745</v>
      </c>
      <c r="D22" s="46">
        <f>IF(637462.32109="","-",637462.32109/2734888.97913*100)</f>
        <v>23.30852645041497</v>
      </c>
      <c r="E22" s="46">
        <f>IF(695762.88358="","-",695762.88358/2807357.90586*100)</f>
        <v>24.783547624180166</v>
      </c>
    </row>
    <row r="23" spans="1:5" ht="15.75">
      <c r="A23" s="30" t="s">
        <v>126</v>
      </c>
      <c r="B23" s="47">
        <f>IF(12655.77649="","-",12655.77649)</f>
        <v>12655.77649</v>
      </c>
      <c r="C23" s="53">
        <v>68.16</v>
      </c>
      <c r="D23" s="47">
        <f>IF(18567.96053="","-",18567.96053/2734888.97913*100)</f>
        <v>0.6789292242461222</v>
      </c>
      <c r="E23" s="47">
        <f>IF(12655.77649="","-",12655.77649/2807357.90586*100)</f>
        <v>0.4508073752756173</v>
      </c>
    </row>
    <row r="24" spans="1:5" ht="15.75">
      <c r="A24" s="30" t="s">
        <v>127</v>
      </c>
      <c r="B24" s="47">
        <f>IF(110184.89443="","-",110184.89443)</f>
        <v>110184.89443</v>
      </c>
      <c r="C24" s="53">
        <v>91.98</v>
      </c>
      <c r="D24" s="47">
        <f>IF(119796.33997="","-",119796.33997/2734888.97913*100)</f>
        <v>4.380299927498651</v>
      </c>
      <c r="E24" s="47">
        <f>IF(110184.89443="","-",110184.89443/2807357.90586*100)</f>
        <v>3.924860959124704</v>
      </c>
    </row>
    <row r="25" spans="1:5" ht="15.75">
      <c r="A25" s="30" t="s">
        <v>128</v>
      </c>
      <c r="B25" s="47">
        <f>IF(394669.57294="","-",394669.57294)</f>
        <v>394669.57294</v>
      </c>
      <c r="C25" s="53">
        <v>113.72</v>
      </c>
      <c r="D25" s="47">
        <f>IF(347047.09853="","-",347047.09853/2734888.97913*100)</f>
        <v>12.689622912605387</v>
      </c>
      <c r="E25" s="47">
        <f>IF(394669.57294="","-",394669.57294/2807357.90586*100)</f>
        <v>14.058398899412783</v>
      </c>
    </row>
    <row r="26" spans="1:5" ht="15.75">
      <c r="A26" s="30" t="s">
        <v>129</v>
      </c>
      <c r="B26" s="47">
        <f>IF(8128.43486="","-",8128.43486)</f>
        <v>8128.43486</v>
      </c>
      <c r="C26" s="53">
        <v>102.23</v>
      </c>
      <c r="D26" s="47">
        <f>IF(7951.33856="","-",7951.33856/2734888.97913*100)</f>
        <v>0.29073716047257664</v>
      </c>
      <c r="E26" s="47">
        <f>IF(8128.43486="","-",8128.43486/2807357.90586*100)</f>
        <v>0.2895403839686039</v>
      </c>
    </row>
    <row r="27" spans="1:5" ht="15.75">
      <c r="A27" s="30" t="s">
        <v>130</v>
      </c>
      <c r="B27" s="47">
        <f>IF(246.88577="","-",246.88577)</f>
        <v>246.88577</v>
      </c>
      <c r="C27" s="53">
        <v>85.13</v>
      </c>
      <c r="D27" s="47">
        <f>IF(290.02365="","-",290.02365/2734888.97913*100)</f>
        <v>0.010604585861187678</v>
      </c>
      <c r="E27" s="47">
        <f>IF(246.88577="","-",246.88577/2807357.90586*100)</f>
        <v>0.008794239219896315</v>
      </c>
    </row>
    <row r="28" spans="1:7" ht="15.75">
      <c r="A28" s="30" t="s">
        <v>131</v>
      </c>
      <c r="B28" s="47">
        <f>IF(167764.64493="","-",167764.64493)</f>
        <v>167764.64493</v>
      </c>
      <c r="C28" s="53">
        <v>117.21</v>
      </c>
      <c r="D28" s="47">
        <f>IF(143134.36402="","-",143134.36402/2734888.97913*100)</f>
        <v>5.233644404298002</v>
      </c>
      <c r="E28" s="47">
        <f>IF(167764.64493="","-",167764.64493/2807357.90586*100)</f>
        <v>5.97589087518242</v>
      </c>
      <c r="F28" s="1"/>
      <c r="G28" s="1"/>
    </row>
    <row r="29" spans="1:7" ht="15.75">
      <c r="A29" s="30" t="s">
        <v>132</v>
      </c>
      <c r="B29" s="47">
        <f>IF(2112.67416="","-",2112.67416)</f>
        <v>2112.67416</v>
      </c>
      <c r="C29" s="53" t="s">
        <v>289</v>
      </c>
      <c r="D29" s="47">
        <f>IF(675.19583="","-",675.19583/2734888.97913*100)</f>
        <v>0.02468823543304444</v>
      </c>
      <c r="E29" s="47">
        <f>IF(2112.67416="","-",2112.67416/2807357.90586*100)</f>
        <v>0.07525489199613856</v>
      </c>
      <c r="F29" s="1"/>
      <c r="G29" s="1"/>
    </row>
    <row r="30" spans="1:7" ht="15.75">
      <c r="A30" s="26" t="s">
        <v>258</v>
      </c>
      <c r="B30" s="46">
        <f>IF(708782.3767="","-",708782.3767)</f>
        <v>708782.3767</v>
      </c>
      <c r="C30" s="46">
        <f>IF(701764.57213="","-",708782.3767/701764.57213*100)</f>
        <v>101.00002263561119</v>
      </c>
      <c r="D30" s="46">
        <f>IF(701764.57213="","-",701764.57213/2734888.97913*100)</f>
        <v>25.659709680545774</v>
      </c>
      <c r="E30" s="46">
        <f>IF(708782.3767="","-",708782.3767/2807357.90586*100)</f>
        <v>25.247310833453323</v>
      </c>
      <c r="F30" s="12"/>
      <c r="G30" s="12"/>
    </row>
    <row r="31" spans="1:5" ht="15.75">
      <c r="A31" s="30" t="s">
        <v>126</v>
      </c>
      <c r="B31" s="47">
        <f>IF(3399.90647="","-",3399.90647)</f>
        <v>3399.90647</v>
      </c>
      <c r="C31" s="53">
        <v>23.29</v>
      </c>
      <c r="D31" s="47">
        <f>IF(14597.43692="","-",14597.43692/2734888.97913*100)</f>
        <v>0.53374879314639</v>
      </c>
      <c r="E31" s="47">
        <f>IF(3399.90647="","-",3399.90647/2807357.90586*100)</f>
        <v>0.12110698329212427</v>
      </c>
    </row>
    <row r="32" spans="1:5" ht="15.75">
      <c r="A32" s="30" t="s">
        <v>127</v>
      </c>
      <c r="B32" s="47">
        <f>IF(293.62717="","-",293.62717)</f>
        <v>293.62717</v>
      </c>
      <c r="C32" s="53">
        <v>51.43</v>
      </c>
      <c r="D32" s="47">
        <f>IF(570.9352="","-",570.9352/2734888.97913*100)</f>
        <v>0.020875991835749806</v>
      </c>
      <c r="E32" s="47">
        <f>IF(293.62717="","-",293.62717/2807357.90586*100)</f>
        <v>0.010459199711839054</v>
      </c>
    </row>
    <row r="33" spans="1:5" ht="15.75">
      <c r="A33" s="30" t="s">
        <v>128</v>
      </c>
      <c r="B33" s="47">
        <f>IF(658370.03492="","-",658370.03492)</f>
        <v>658370.03492</v>
      </c>
      <c r="C33" s="53">
        <v>103.07</v>
      </c>
      <c r="D33" s="47">
        <f>IF(638746.33369="","-",638746.33369/2734888.97913*100)</f>
        <v>23.355475800454347</v>
      </c>
      <c r="E33" s="47">
        <f>IF(658370.03492="","-",658370.03492/2807357.90586*100)</f>
        <v>23.451588895941516</v>
      </c>
    </row>
    <row r="34" spans="1:5" ht="15.75">
      <c r="A34" s="30" t="s">
        <v>129</v>
      </c>
      <c r="B34" s="47">
        <f>IF(42765.24154="","-",42765.24154)</f>
        <v>42765.24154</v>
      </c>
      <c r="C34" s="53">
        <v>98.92</v>
      </c>
      <c r="D34" s="47">
        <f>IF(43232.95387="","-",43232.95387/2734888.97913*100)</f>
        <v>1.5807937433625883</v>
      </c>
      <c r="E34" s="47">
        <f>IF(42765.24154="","-",42765.24154/2807357.90586*100)</f>
        <v>1.5233270204249</v>
      </c>
    </row>
    <row r="35" spans="1:5" ht="15.75">
      <c r="A35" s="30" t="s">
        <v>130</v>
      </c>
      <c r="B35" s="47">
        <f>IF(2756.85381="","-",2756.85381)</f>
        <v>2756.85381</v>
      </c>
      <c r="C35" s="53">
        <v>75.49</v>
      </c>
      <c r="D35" s="47">
        <f>IF(3652.08742="","-",3652.08742/2734888.97913*100)</f>
        <v>0.13353695334140298</v>
      </c>
      <c r="E35" s="47">
        <f>IF(2756.85381="","-",2756.85381/2807357.90586*100)</f>
        <v>0.09820100971968772</v>
      </c>
    </row>
    <row r="36" spans="1:5" ht="15.75">
      <c r="A36" s="31" t="s">
        <v>132</v>
      </c>
      <c r="B36" s="48">
        <f>IF(1196.71279="","-",1196.71279)</f>
        <v>1196.71279</v>
      </c>
      <c r="C36" s="56">
        <v>124.03</v>
      </c>
      <c r="D36" s="48">
        <f>IF(964.82503="","-",964.82503/2734888.97913*100)</f>
        <v>0.035278398405295494</v>
      </c>
      <c r="E36" s="48">
        <f>IF(1196.71279="","-",1196.71279/2807357.90586*100)</f>
        <v>0.04262772436325327</v>
      </c>
    </row>
    <row r="37" ht="15.75">
      <c r="A37" s="35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6"/>
  <sheetViews>
    <sheetView zoomScale="96" zoomScaleNormal="96" zoomScalePageLayoutView="0" workbookViewId="0" topLeftCell="A1">
      <selection activeCell="A76" sqref="A76"/>
    </sheetView>
  </sheetViews>
  <sheetFormatPr defaultColWidth="9.00390625" defaultRowHeight="15.75"/>
  <cols>
    <col min="1" max="1" width="28.875" style="0" customWidth="1"/>
    <col min="2" max="2" width="10.875" style="0" customWidth="1"/>
    <col min="3" max="3" width="9.875" style="0" customWidth="1"/>
    <col min="4" max="4" width="8.625" style="0" customWidth="1"/>
    <col min="5" max="5" width="8.75390625" style="0" customWidth="1"/>
    <col min="6" max="6" width="9.375" style="0" customWidth="1"/>
    <col min="7" max="7" width="10.125" style="0" customWidth="1"/>
  </cols>
  <sheetData>
    <row r="1" spans="1:7" ht="15.75">
      <c r="A1" s="72" t="s">
        <v>138</v>
      </c>
      <c r="B1" s="72"/>
      <c r="C1" s="72"/>
      <c r="D1" s="72"/>
      <c r="E1" s="72"/>
      <c r="F1" s="72"/>
      <c r="G1" s="72"/>
    </row>
    <row r="2" spans="1:7" ht="15.75">
      <c r="A2" s="72" t="s">
        <v>23</v>
      </c>
      <c r="B2" s="72"/>
      <c r="C2" s="72"/>
      <c r="D2" s="72"/>
      <c r="E2" s="72"/>
      <c r="F2" s="72"/>
      <c r="G2" s="72"/>
    </row>
    <row r="3" ht="15.75">
      <c r="A3" s="6"/>
    </row>
    <row r="4" spans="1:7" ht="57" customHeight="1">
      <c r="A4" s="78"/>
      <c r="B4" s="63" t="s">
        <v>259</v>
      </c>
      <c r="C4" s="64"/>
      <c r="D4" s="81" t="s">
        <v>0</v>
      </c>
      <c r="E4" s="82"/>
      <c r="F4" s="75" t="s">
        <v>116</v>
      </c>
      <c r="G4" s="83"/>
    </row>
    <row r="5" spans="1:8" ht="26.25" customHeight="1">
      <c r="A5" s="79"/>
      <c r="B5" s="84" t="s">
        <v>122</v>
      </c>
      <c r="C5" s="69" t="s">
        <v>260</v>
      </c>
      <c r="D5" s="71" t="s">
        <v>261</v>
      </c>
      <c r="E5" s="71"/>
      <c r="F5" s="71" t="s">
        <v>261</v>
      </c>
      <c r="G5" s="63"/>
      <c r="H5" s="1"/>
    </row>
    <row r="6" spans="1:7" ht="21" customHeight="1">
      <c r="A6" s="80"/>
      <c r="B6" s="85"/>
      <c r="C6" s="70"/>
      <c r="D6" s="24">
        <v>2018</v>
      </c>
      <c r="E6" s="24">
        <v>2019</v>
      </c>
      <c r="F6" s="24" t="s">
        <v>121</v>
      </c>
      <c r="G6" s="20" t="s">
        <v>144</v>
      </c>
    </row>
    <row r="7" spans="1:7" ht="16.5" customHeight="1">
      <c r="A7" s="41" t="s">
        <v>109</v>
      </c>
      <c r="B7" s="45">
        <f>IF(1361362.0538="","-",1361362.0538)</f>
        <v>1361362.0538</v>
      </c>
      <c r="C7" s="45">
        <f>IF(1314797.53704="","-",1361362.0538/1314797.53704*100)</f>
        <v>103.54157316607319</v>
      </c>
      <c r="D7" s="45">
        <v>100</v>
      </c>
      <c r="E7" s="45">
        <v>100</v>
      </c>
      <c r="F7" s="45">
        <f>IF(1028187.45002="","-",(1314797.53704-1028187.45002)/1028187.45002*100)</f>
        <v>27.875275759728936</v>
      </c>
      <c r="G7" s="45">
        <f>IF(1314797.53704="","-",(1361362.0538-1314797.53704)/1314797.53704*100)</f>
        <v>3.541573166073203</v>
      </c>
    </row>
    <row r="8" spans="1:7" ht="16.5" customHeight="1">
      <c r="A8" s="42" t="s">
        <v>161</v>
      </c>
      <c r="B8" s="49"/>
      <c r="C8" s="49"/>
      <c r="D8" s="49"/>
      <c r="E8" s="49"/>
      <c r="F8" s="49"/>
      <c r="G8" s="49"/>
    </row>
    <row r="9" spans="1:7" ht="16.5" customHeight="1">
      <c r="A9" s="32" t="s">
        <v>182</v>
      </c>
      <c r="B9" s="46">
        <f>IF(285621.01489="","-",285621.01489)</f>
        <v>285621.01489</v>
      </c>
      <c r="C9" s="46">
        <f>IF(278286.49771="","-",285621.01489/278286.49771*100)</f>
        <v>102.63559936984194</v>
      </c>
      <c r="D9" s="46">
        <f>IF(278286.49771="","-",278286.49771/1314797.53704*100)</f>
        <v>21.16573007403905</v>
      </c>
      <c r="E9" s="46">
        <f>IF(285621.01489="","-",285621.01489/1361362.0538*100)</f>
        <v>20.980532995813988</v>
      </c>
      <c r="F9" s="46">
        <f>IF(1028187.45002="","-",(278286.49771-204600.6687)/1028187.45002*100)</f>
        <v>7.166575414684035</v>
      </c>
      <c r="G9" s="46">
        <f>IF(1314797.53704="","-",(285621.01489-278286.49771)/1314797.53704*100)</f>
        <v>0.5578438484538193</v>
      </c>
    </row>
    <row r="10" spans="1:7" ht="13.5" customHeight="1">
      <c r="A10" s="39" t="s">
        <v>24</v>
      </c>
      <c r="B10" s="47">
        <f>IF(4933.29278="","-",4933.29278)</f>
        <v>4933.29278</v>
      </c>
      <c r="C10" s="47">
        <f>IF(OR(7107.69188="",4933.29278=""),"-",4933.29278/7107.69188*100)</f>
        <v>69.4078030293007</v>
      </c>
      <c r="D10" s="47">
        <f>IF(7107.69188="","-",7107.69188/1314797.53704*100)</f>
        <v>0.5405921200614299</v>
      </c>
      <c r="E10" s="47">
        <f>IF(4933.29278="","-",4933.29278/1361362.0538*100)</f>
        <v>0.36237918974086214</v>
      </c>
      <c r="F10" s="47">
        <f>IF(OR(1028187.45002="",2746.0123="",7107.69188=""),"-",(7107.69188-2746.0123)/1028187.45002*100)</f>
        <v>0.42421054447952633</v>
      </c>
      <c r="G10" s="47">
        <f>IF(OR(1314797.53704="",4933.29278="",7107.69188=""),"-",(4933.29278-7107.69188)/1314797.53704*100)</f>
        <v>-0.1653790061772719</v>
      </c>
    </row>
    <row r="11" spans="1:10" ht="13.5" customHeight="1">
      <c r="A11" s="39" t="s">
        <v>183</v>
      </c>
      <c r="B11" s="47">
        <f>IF(3006.66836="","-",3006.66836)</f>
        <v>3006.66836</v>
      </c>
      <c r="C11" s="47">
        <f>IF(OR(2795.63901="",3006.66836=""),"-",3006.66836/2795.63901*100)</f>
        <v>107.54851929183803</v>
      </c>
      <c r="D11" s="47">
        <f>IF(2795.63901="","-",2795.63901/1314797.53704*100)</f>
        <v>0.21262885967171904</v>
      </c>
      <c r="E11" s="47">
        <f>IF(3006.66836="","-",3006.66836/1361362.0538*100)</f>
        <v>0.22085736499026248</v>
      </c>
      <c r="F11" s="47">
        <f>IF(OR(1028187.45002="",4280.01527="",2795.63901=""),"-",(2795.63901-4280.01527)/1028187.45002*100)</f>
        <v>-0.14436825308178253</v>
      </c>
      <c r="G11" s="47">
        <f>IF(OR(1314797.53704="",3006.66836="",2795.63901=""),"-",(3006.66836-2795.63901)/1314797.53704*100)</f>
        <v>0.016050330492334966</v>
      </c>
      <c r="J11" s="17"/>
    </row>
    <row r="12" spans="1:10" s="9" customFormat="1" ht="13.5" customHeight="1">
      <c r="A12" s="39" t="s">
        <v>184</v>
      </c>
      <c r="B12" s="47">
        <f>IF(8427.07209="","-",8427.07209)</f>
        <v>8427.07209</v>
      </c>
      <c r="C12" s="47">
        <f>IF(OR(10814.90516="",8427.07209=""),"-",8427.07209/10814.90516*100)</f>
        <v>77.92090605813505</v>
      </c>
      <c r="D12" s="47">
        <f>IF(10814.90516="","-",10814.90516/1314797.53704*100)</f>
        <v>0.8225528916298068</v>
      </c>
      <c r="E12" s="47">
        <f>IF(8427.07209="","-",8427.07209/1361362.0538*100)</f>
        <v>0.6190177011675422</v>
      </c>
      <c r="F12" s="47">
        <f>IF(OR(1028187.45002="",12137.39464="",10814.90516=""),"-",(10814.90516-12137.39464)/1028187.45002*100)</f>
        <v>-0.12862338282521105</v>
      </c>
      <c r="G12" s="47">
        <f>IF(OR(1314797.53704="",8427.07209="",10814.90516=""),"-",(8427.07209-10814.90516)/1314797.53704*100)</f>
        <v>-0.1816122256644717</v>
      </c>
      <c r="J12" s="17"/>
    </row>
    <row r="13" spans="1:10" s="9" customFormat="1" ht="14.25" customHeight="1">
      <c r="A13" s="39" t="s">
        <v>185</v>
      </c>
      <c r="B13" s="47">
        <f>IF(18.84453="","-",18.84453)</f>
        <v>18.84453</v>
      </c>
      <c r="C13" s="47" t="s">
        <v>20</v>
      </c>
      <c r="D13" s="47">
        <f>IF(9.21148="","-",9.21148/1314797.53704*100)</f>
        <v>0.0007006006431026467</v>
      </c>
      <c r="E13" s="47">
        <f>IF(18.84453="","-",18.84453/1361362.0538*100)</f>
        <v>0.0013842408746004668</v>
      </c>
      <c r="F13" s="47">
        <f>IF(OR(1028187.45002="",8.02244="",9.21148=""),"-",(9.21148-8.02244)/1028187.45002*100)</f>
        <v>0.00011564428256509759</v>
      </c>
      <c r="G13" s="47">
        <f>IF(OR(1314797.53704="",18.84453="",9.21148=""),"-",(18.84453-9.21148)/1314797.53704*100)</f>
        <v>0.0007326641348664873</v>
      </c>
      <c r="J13" s="17"/>
    </row>
    <row r="14" spans="1:10" s="9" customFormat="1" ht="15.75">
      <c r="A14" s="39" t="s">
        <v>186</v>
      </c>
      <c r="B14" s="47">
        <f>IF(111876.26802="","-",111876.26802)</f>
        <v>111876.26802</v>
      </c>
      <c r="C14" s="47">
        <f>IF(OR(93378.28508="",111876.26802=""),"-",111876.26802/93378.28508*100)</f>
        <v>119.80972655918045</v>
      </c>
      <c r="D14" s="47">
        <f>IF(93378.28508="","-",93378.28508/1314797.53704*100)</f>
        <v>7.102103742164156</v>
      </c>
      <c r="E14" s="47">
        <f>IF(111876.26802="","-",111876.26802/1361362.0538*100)</f>
        <v>8.217965801802489</v>
      </c>
      <c r="F14" s="47">
        <f>IF(OR(1028187.45002="",60479.15714="",93378.28508=""),"-",(93378.28508-60479.15714)/1028187.45002*100)</f>
        <v>3.199720823217601</v>
      </c>
      <c r="G14" s="47">
        <f>IF(OR(1314797.53704="",111876.26802="",93378.28508=""),"-",(111876.26802-93378.28508)/1314797.53704*100)</f>
        <v>1.406907331272042</v>
      </c>
      <c r="J14" s="17"/>
    </row>
    <row r="15" spans="1:10" s="9" customFormat="1" ht="15.75">
      <c r="A15" s="39" t="s">
        <v>187</v>
      </c>
      <c r="B15" s="47">
        <f>IF(134576.47095="","-",134576.47095)</f>
        <v>134576.47095</v>
      </c>
      <c r="C15" s="47">
        <f>IF(OR(134376.24942="",134576.47095=""),"-",134576.47095/134376.24942*100)</f>
        <v>100.14900068342745</v>
      </c>
      <c r="D15" s="47">
        <f>IF(134376.24942="","-",134376.24942/1314797.53704*100)</f>
        <v>10.220299752197654</v>
      </c>
      <c r="E15" s="47">
        <f>IF(134576.47095="","-",134576.47095/1361362.0538*100)</f>
        <v>9.885428389483437</v>
      </c>
      <c r="F15" s="47">
        <f>IF(OR(1028187.45002="",92800.66604="",134376.24942=""),"-",(134376.24942-92800.66604)/1028187.45002*100)</f>
        <v>4.043580125315796</v>
      </c>
      <c r="G15" s="47">
        <f>IF(OR(1314797.53704="",134576.47095="",134376.24942=""),"-",(134576.47095-134376.24942)/1314797.53704*100)</f>
        <v>0.015228316479108932</v>
      </c>
      <c r="J15" s="17"/>
    </row>
    <row r="16" spans="1:10" s="9" customFormat="1" ht="15" customHeight="1">
      <c r="A16" s="39" t="s">
        <v>25</v>
      </c>
      <c r="B16" s="47">
        <f>IF(5408.24603="","-",5408.24603)</f>
        <v>5408.24603</v>
      </c>
      <c r="C16" s="47">
        <f>IF(OR(12313.32552="",5408.24603=""),"-",5408.24603/12313.32552*100)</f>
        <v>43.921896007830064</v>
      </c>
      <c r="D16" s="47">
        <f>IF(12313.32552="","-",12313.32552/1314797.53704*100)</f>
        <v>0.9365187546457497</v>
      </c>
      <c r="E16" s="47">
        <f>IF(5408.24603="","-",5408.24603/1361362.0538*100)</f>
        <v>0.39726728205063766</v>
      </c>
      <c r="F16" s="47">
        <f>IF(OR(1028187.45002="",19949.89321="",12313.32552=""),"-",(12313.32552-19949.89321)/1028187.45002*100)</f>
        <v>-0.7427213481210506</v>
      </c>
      <c r="G16" s="47">
        <f>IF(OR(1314797.53704="",5408.24603="",12313.32552=""),"-",(5408.24603-12313.32552)/1314797.53704*100)</f>
        <v>-0.5251819611364185</v>
      </c>
      <c r="J16" s="17"/>
    </row>
    <row r="17" spans="1:10" s="9" customFormat="1" ht="25.5">
      <c r="A17" s="39" t="s">
        <v>188</v>
      </c>
      <c r="B17" s="47">
        <f>IF(4817.76194="","-",4817.76194)</f>
        <v>4817.76194</v>
      </c>
      <c r="C17" s="47">
        <f>IF(OR(5281.16772="",4817.76194=""),"-",4817.76194/5281.16772*100)</f>
        <v>91.22531597992877</v>
      </c>
      <c r="D17" s="47">
        <f>IF(5281.16772="","-",5281.16772/1314797.53704*100)</f>
        <v>0.40167155559855083</v>
      </c>
      <c r="E17" s="47">
        <f>IF(4817.76194="","-",4817.76194/1361362.0538*100)</f>
        <v>0.35389277426618987</v>
      </c>
      <c r="F17" s="47">
        <f>IF(OR(1028187.45002="",4327.75394="",5281.16772=""),"-",(5281.16772-4327.75394)/1028187.45002*100)</f>
        <v>0.09272762276776042</v>
      </c>
      <c r="G17" s="47">
        <f>IF(OR(1314797.53704="",4817.76194="",5281.16772=""),"-",(4817.76194-5281.16772)/1314797.53704*100)</f>
        <v>-0.035245409802277555</v>
      </c>
      <c r="J17" s="17"/>
    </row>
    <row r="18" spans="1:10" s="9" customFormat="1" ht="25.5">
      <c r="A18" s="39" t="s">
        <v>26</v>
      </c>
      <c r="B18" s="47">
        <f>IF(11191.06671="","-",11191.06671)</f>
        <v>11191.06671</v>
      </c>
      <c r="C18" s="47">
        <f>IF(OR(11014.58688="",11191.06671=""),"-",11191.06671/11014.58688*100)</f>
        <v>101.60223739594308</v>
      </c>
      <c r="D18" s="47">
        <f>IF(11014.58688="","-",11014.58688/1314797.53704*100)</f>
        <v>0.8377401515975691</v>
      </c>
      <c r="E18" s="47">
        <f>IF(11191.06671="","-",11191.06671/1361362.0538*100)</f>
        <v>0.8220492615290786</v>
      </c>
      <c r="F18" s="47">
        <f>IF(OR(1028187.45002="",6465.62461="",11014.58688=""),"-",(11014.58688-6465.62461)/1028187.45002*100)</f>
        <v>0.4424253836118614</v>
      </c>
      <c r="G18" s="47">
        <f>IF(OR(1314797.53704="",11191.06671="",11014.58688=""),"-",(11191.06671-11014.58688)/1314797.53704*100)</f>
        <v>0.01342258598972637</v>
      </c>
      <c r="J18" s="17"/>
    </row>
    <row r="19" spans="1:10" s="9" customFormat="1" ht="15.75">
      <c r="A19" s="39" t="s">
        <v>189</v>
      </c>
      <c r="B19" s="47">
        <f>IF(1365.32348="","-",1365.32348)</f>
        <v>1365.32348</v>
      </c>
      <c r="C19" s="47">
        <f>IF(OR(1195.43556="",1365.32348=""),"-",1365.32348/1195.43556*100)</f>
        <v>114.21138250229063</v>
      </c>
      <c r="D19" s="47">
        <f>IF(1195.43556="","-",1195.43556/1314797.53704*100)</f>
        <v>0.09092164582931</v>
      </c>
      <c r="E19" s="47">
        <f>IF(1365.32348="","-",1365.32348/1361362.0538*100)</f>
        <v>0.10029098990888884</v>
      </c>
      <c r="F19" s="47">
        <f>IF(OR(1028187.45002="",1406.12911="",1195.43556=""),"-",(1195.43556-1406.12911)/1028187.45002*100)</f>
        <v>-0.020491744963031966</v>
      </c>
      <c r="G19" s="47">
        <f>IF(OR(1314797.53704="",1365.32348="",1195.43556=""),"-",(1365.32348-1195.43556)/1314797.53704*100)</f>
        <v>0.01292122286618123</v>
      </c>
      <c r="J19" s="17"/>
    </row>
    <row r="20" spans="1:10" s="9" customFormat="1" ht="15.75">
      <c r="A20" s="32" t="s">
        <v>190</v>
      </c>
      <c r="B20" s="46">
        <f>IF(103754.50703="","-",103754.50703)</f>
        <v>103754.50703</v>
      </c>
      <c r="C20" s="46">
        <f>IF(106287.88054="","-",103754.50703/106287.88054*100)</f>
        <v>97.61649823373173</v>
      </c>
      <c r="D20" s="46">
        <f>IF(106287.88054="","-",106287.88054/1314797.53704*100)</f>
        <v>8.083973200869057</v>
      </c>
      <c r="E20" s="46">
        <f>IF(103754.50703="","-",103754.50703/1361362.0538*100)</f>
        <v>7.621374985470451</v>
      </c>
      <c r="F20" s="46">
        <f>IF(1028187.45002="","-",(106287.88054-85783.24266)/1028187.45002*100)</f>
        <v>1.9942509393205632</v>
      </c>
      <c r="G20" s="46">
        <f>IF(1314797.53704="","-",(103754.50703-106287.88054)/1314797.53704*100)</f>
        <v>-0.19268164402736723</v>
      </c>
      <c r="J20" s="17"/>
    </row>
    <row r="21" spans="1:7" s="9" customFormat="1" ht="15.75">
      <c r="A21" s="39" t="s">
        <v>240</v>
      </c>
      <c r="B21" s="47">
        <f>IF(90042.26251="","-",90042.26251)</f>
        <v>90042.26251</v>
      </c>
      <c r="C21" s="47">
        <f>IF(OR(95583.93648="",90042.26251=""),"-",90042.26251/95583.93648*100)</f>
        <v>94.2022957265842</v>
      </c>
      <c r="D21" s="47">
        <f>IF(95583.93648="","-",95583.93648/1314797.53704*100)</f>
        <v>7.269859715069732</v>
      </c>
      <c r="E21" s="47">
        <f>IF(90042.26251="","-",90042.26251/1361362.0538*100)</f>
        <v>6.614130477536305</v>
      </c>
      <c r="F21" s="47">
        <f>IF(OR(1028187.45002="",78983.24895="",95583.93648=""),"-",(95583.93648-78983.24895)/1028187.45002*100)</f>
        <v>1.6145584669096182</v>
      </c>
      <c r="G21" s="47">
        <f>IF(OR(1314797.53704="",90042.26251="",95583.93648=""),"-",(90042.26251-95583.93648)/1314797.53704*100)</f>
        <v>-0.42148496737193153</v>
      </c>
    </row>
    <row r="22" spans="1:7" s="9" customFormat="1" ht="15.75">
      <c r="A22" s="39" t="s">
        <v>191</v>
      </c>
      <c r="B22" s="47">
        <f>IF(13712.24452="","-",13712.24452)</f>
        <v>13712.24452</v>
      </c>
      <c r="C22" s="47">
        <f>IF(OR(10703.94406="",13712.24452=""),"-",13712.24452/10703.94406*100)</f>
        <v>128.10459811016614</v>
      </c>
      <c r="D22" s="47">
        <f>IF(10703.94406="","-",10703.94406/1314797.53704*100)</f>
        <v>0.8141134857993239</v>
      </c>
      <c r="E22" s="47">
        <f>IF(13712.24452="","-",13712.24452/1361362.0538*100)</f>
        <v>1.0072445079341463</v>
      </c>
      <c r="F22" s="47">
        <f>IF(OR(1028187.45002="",6799.99371="",10703.94406=""),"-",(10703.94406-6799.99371)/1028187.45002*100)</f>
        <v>0.3796924724109462</v>
      </c>
      <c r="G22" s="47">
        <f>IF(OR(1314797.53704="",13712.24452="",10703.94406=""),"-",(13712.24452-10703.94406)/1314797.53704*100)</f>
        <v>0.2288033233445644</v>
      </c>
    </row>
    <row r="23" spans="1:7" s="9" customFormat="1" ht="25.5">
      <c r="A23" s="32" t="s">
        <v>27</v>
      </c>
      <c r="B23" s="46">
        <f>IF(147018.29733="","-",147018.29733)</f>
        <v>147018.29733</v>
      </c>
      <c r="C23" s="46">
        <f>IF(137842.83855="","-",147018.29733/137842.83855*100)</f>
        <v>106.65646389505523</v>
      </c>
      <c r="D23" s="46">
        <f>IF(137842.83855="","-",137842.83855/1314797.53704*100)</f>
        <v>10.483959291582275</v>
      </c>
      <c r="E23" s="46">
        <f>IF(147018.29733="","-",147018.29733/1361362.0538*100)</f>
        <v>10.799353259452515</v>
      </c>
      <c r="F23" s="46">
        <f>IF(1028187.45002="","-",(137842.83855-119914.3051)/1028187.45002*100)</f>
        <v>1.7437028092155034</v>
      </c>
      <c r="G23" s="46">
        <f>IF(1314797.53704="","-",(147018.29733-137842.83855)/1314797.53704*100)</f>
        <v>0.6978609650164618</v>
      </c>
    </row>
    <row r="24" spans="1:7" s="9" customFormat="1" ht="15.75">
      <c r="A24" s="39" t="s">
        <v>192</v>
      </c>
      <c r="B24" s="47">
        <f>IF(834.78578="","-",834.78578)</f>
        <v>834.78578</v>
      </c>
      <c r="C24" s="47">
        <f>IF(OR(1753.91481="",834.78578=""),"-",834.78578/1753.91481*100)</f>
        <v>47.59557164580873</v>
      </c>
      <c r="D24" s="47">
        <f>IF(1753.91481="","-",1753.91481/1314797.53704*100)</f>
        <v>0.1333980906253128</v>
      </c>
      <c r="E24" s="47">
        <f>IF(834.78578="","-",834.78578/1361362.0538*100)</f>
        <v>0.06131989485602628</v>
      </c>
      <c r="F24" s="47">
        <f>IF(OR(1028187.45002="",2088.02208="",1753.91481=""),"-",(1753.91481-2088.02208)/1028187.45002*100)</f>
        <v>-0.032494781957657745</v>
      </c>
      <c r="G24" s="47">
        <f>IF(OR(1314797.53704="",834.78578="",1753.91481=""),"-",(834.78578-1753.91481)/1314797.53704*100)</f>
        <v>-0.06990650682760119</v>
      </c>
    </row>
    <row r="25" spans="1:8" s="9" customFormat="1" ht="15.75">
      <c r="A25" s="39" t="s">
        <v>224</v>
      </c>
      <c r="B25" s="47">
        <f>IF(128245.1475="","-",128245.1475)</f>
        <v>128245.1475</v>
      </c>
      <c r="C25" s="47">
        <f>IF(OR(117863.85419="",128245.1475=""),"-",128245.1475/117863.85419*100)</f>
        <v>108.80786852028872</v>
      </c>
      <c r="D25" s="47">
        <f>IF(117863.85419="","-",117863.85419/1314797.53704*100)</f>
        <v>8.964410935492513</v>
      </c>
      <c r="E25" s="47">
        <f>IF(128245.1475="","-",128245.1475/1361362.0538*100)</f>
        <v>9.420355675554969</v>
      </c>
      <c r="F25" s="47">
        <f>IF(OR(1028187.45002="",102102.24332="",117863.85419=""),"-",(117863.85419-102102.24332)/1028187.45002*100)</f>
        <v>1.5329511043626738</v>
      </c>
      <c r="G25" s="47">
        <f>IF(OR(1314797.53704="",128245.1475="",117863.85419=""),"-",(128245.1475-117863.85419)/1314797.53704*100)</f>
        <v>0.7895735288165647</v>
      </c>
      <c r="H25" s="7"/>
    </row>
    <row r="26" spans="1:8" s="9" customFormat="1" ht="15.75">
      <c r="A26" s="39" t="s">
        <v>193</v>
      </c>
      <c r="B26" s="47">
        <f>IF(376.7645="","-",376.7645)</f>
        <v>376.7645</v>
      </c>
      <c r="C26" s="47">
        <f>IF(OR(398.99526="",376.7645=""),"-",376.7645/398.99526*100)</f>
        <v>94.42831476243603</v>
      </c>
      <c r="D26" s="47">
        <f>IF(398.99526="","-",398.99526/1314797.53704*100)</f>
        <v>0.030346517145009022</v>
      </c>
      <c r="E26" s="47">
        <f>IF(376.7645="","-",376.7645/1361362.0538*100)</f>
        <v>0.027675554709956026</v>
      </c>
      <c r="F26" s="47">
        <f>IF(OR(1028187.45002="",225.13625="",398.99526=""),"-",(398.99526-225.13625)/1028187.45002*100)</f>
        <v>0.01690927174773609</v>
      </c>
      <c r="G26" s="47">
        <f>IF(OR(1314797.53704="",376.7645="",398.99526=""),"-",(376.7645-398.99526)/1314797.53704*100)</f>
        <v>-0.0016908124158832864</v>
      </c>
      <c r="H26" s="8"/>
    </row>
    <row r="27" spans="1:8" s="9" customFormat="1" ht="15.75">
      <c r="A27" s="39" t="s">
        <v>241</v>
      </c>
      <c r="B27" s="47">
        <f>IF(1273.40441="","-",1273.40441)</f>
        <v>1273.40441</v>
      </c>
      <c r="C27" s="47">
        <f>IF(OR(1641.21116="",1273.40441=""),"-",1273.40441/1641.21116*100)</f>
        <v>77.58930971441846</v>
      </c>
      <c r="D27" s="47">
        <f>IF(1641.21116="","-",1641.21116/1314797.53704*100)</f>
        <v>0.12482615108139418</v>
      </c>
      <c r="E27" s="47">
        <f>IF(1273.40441="","-",1273.40441/1361362.0538*100)</f>
        <v>0.09353899695128993</v>
      </c>
      <c r="F27" s="47">
        <f>IF(OR(1028187.45002="",1332.49345="",1641.21116=""),"-",(1641.21116-1332.49345)/1028187.45002*100)</f>
        <v>0.030025430673560064</v>
      </c>
      <c r="G27" s="47">
        <f>IF(OR(1314797.53704="",1273.40441="",1641.21116=""),"-",(1273.40441-1641.21116)/1314797.53704*100)</f>
        <v>-0.027974402114263327</v>
      </c>
      <c r="H27" s="8"/>
    </row>
    <row r="28" spans="1:8" s="9" customFormat="1" ht="38.25">
      <c r="A28" s="39" t="s">
        <v>226</v>
      </c>
      <c r="B28" s="47">
        <f>IF(182.90454="","-",182.90454)</f>
        <v>182.90454</v>
      </c>
      <c r="C28" s="47">
        <f>IF(OR(225.7064="",182.90454=""),"-",182.90454/225.7064*100)</f>
        <v>81.03648811021752</v>
      </c>
      <c r="D28" s="47">
        <f>IF(225.7064="","-",225.7064/1314797.53704*100)</f>
        <v>0.017166627837479236</v>
      </c>
      <c r="E28" s="47">
        <f>IF(182.90454="","-",182.90454/1361362.0538*100)</f>
        <v>0.013435407538314622</v>
      </c>
      <c r="F28" s="47">
        <f>IF(OR(1028187.45002="",220.60081="",225.7064=""),"-",(225.7064-220.60081)/1028187.45002*100)</f>
        <v>0.00049656217841413</v>
      </c>
      <c r="G28" s="47">
        <f>IF(OR(1314797.53704="",182.90454="",225.7064=""),"-",(182.90454-225.7064)/1314797.53704*100)</f>
        <v>-0.003255395511035084</v>
      </c>
      <c r="H28" s="8"/>
    </row>
    <row r="29" spans="1:8" s="9" customFormat="1" ht="38.25">
      <c r="A29" s="39" t="s">
        <v>194</v>
      </c>
      <c r="B29" s="47">
        <f>IF(4925.76619="","-",4925.76619)</f>
        <v>4925.76619</v>
      </c>
      <c r="C29" s="47">
        <f>IF(OR(5504.5539="",4925.76619=""),"-",4925.76619/5504.5539*100)</f>
        <v>89.4852930770648</v>
      </c>
      <c r="D29" s="47">
        <f>IF(5504.5539="","-",5504.5539/1314797.53704*100)</f>
        <v>0.41866171368044897</v>
      </c>
      <c r="E29" s="47">
        <f>IF(4925.76619="","-",4925.76619/1361362.0538*100)</f>
        <v>0.36182631771251444</v>
      </c>
      <c r="F29" s="47">
        <f>IF(OR(1028187.45002="",5082.22438="",5504.5539=""),"-",(5504.5539-5082.22438)/1028187.45002*100)</f>
        <v>0.041075148309949246</v>
      </c>
      <c r="G29" s="47">
        <f>IF(OR(1314797.53704="",4925.76619="",5504.5539=""),"-",(4925.76619-5504.5539)/1314797.53704*100)</f>
        <v>-0.044021052192037315</v>
      </c>
      <c r="H29" s="8"/>
    </row>
    <row r="30" spans="1:8" s="9" customFormat="1" ht="15.75">
      <c r="A30" s="39" t="s">
        <v>195</v>
      </c>
      <c r="B30" s="47">
        <f>IF(8941.96347="","-",8941.96347)</f>
        <v>8941.96347</v>
      </c>
      <c r="C30" s="47">
        <f>IF(OR(8389.33095="",8941.96347=""),"-",8941.96347/8389.33095*100)</f>
        <v>106.58732529797268</v>
      </c>
      <c r="D30" s="47">
        <f>IF(8389.33095="","-",8389.33095/1314797.53704*100)</f>
        <v>0.6380701753432605</v>
      </c>
      <c r="E30" s="47">
        <f>IF(8941.96347="","-",8941.96347/1361362.0538*100)</f>
        <v>0.6568394825638116</v>
      </c>
      <c r="F30" s="47">
        <f>IF(OR(1028187.45002="",7760.29992="",8389.33095=""),"-",(8389.33095-7760.29992)/1028187.45002*100)</f>
        <v>0.06117863333069894</v>
      </c>
      <c r="G30" s="47">
        <f>IF(OR(1314797.53704="",8941.96347="",8389.33095=""),"-",(8941.96347-8389.33095)/1314797.53704*100)</f>
        <v>0.042031758079205186</v>
      </c>
      <c r="H30" s="8"/>
    </row>
    <row r="31" spans="1:8" s="9" customFormat="1" ht="27.75" customHeight="1">
      <c r="A31" s="39" t="s">
        <v>28</v>
      </c>
      <c r="B31" s="47">
        <f>IF(2237.32258="","-",2237.32258)</f>
        <v>2237.32258</v>
      </c>
      <c r="C31" s="47">
        <f>IF(OR(2064.48819="",2237.32258=""),"-",2237.32258/2064.48819*100)</f>
        <v>108.3717790606494</v>
      </c>
      <c r="D31" s="47">
        <f>IF(2064.48819="","-",2064.48819/1314797.53704*100)</f>
        <v>0.15701947500204302</v>
      </c>
      <c r="E31" s="47">
        <f>IF(2237.32258="","-",2237.32258/1361362.0538*100)</f>
        <v>0.16434442063042023</v>
      </c>
      <c r="F31" s="47">
        <f>IF(OR(1028187.45002="",1102.89045="",2064.48819=""),"-",(2064.48819-1102.89045)/1028187.45002*100)</f>
        <v>0.0935235826873101</v>
      </c>
      <c r="G31" s="47">
        <f>IF(OR(1314797.53704="",2237.32258="",2064.48819=""),"-",(2237.32258-2064.48819)/1314797.53704*100)</f>
        <v>0.013145323529362669</v>
      </c>
      <c r="H31" s="8"/>
    </row>
    <row r="32" spans="1:7" s="9" customFormat="1" ht="27" customHeight="1">
      <c r="A32" s="32" t="s">
        <v>196</v>
      </c>
      <c r="B32" s="46">
        <f>IF(6985.84533999999="","-",6985.84533999999)</f>
        <v>6985.84533999999</v>
      </c>
      <c r="C32" s="46">
        <f>IF(11020.08837="","-",6985.84533999999/11020.08837*100)</f>
        <v>63.391917609459156</v>
      </c>
      <c r="D32" s="46">
        <f>IF(11020.08837="","-",11020.08837/1314797.53704*100)</f>
        <v>0.8381585802791731</v>
      </c>
      <c r="E32" s="46">
        <f>IF(6985.84533999999="","-",6985.84533999999/1361362.0538*100)</f>
        <v>0.5131511724232539</v>
      </c>
      <c r="F32" s="46">
        <f>IF(1028187.45002="","-",(11020.08837-6725.04695)/1028187.45002*100)</f>
        <v>0.4177294149930009</v>
      </c>
      <c r="G32" s="46">
        <f>IF(1314797.53704="","-",(6985.84533999999-11020.08837)/1314797.53704*100)</f>
        <v>-0.30683378363198716</v>
      </c>
    </row>
    <row r="33" spans="1:7" s="9" customFormat="1" ht="25.5">
      <c r="A33" s="39" t="s">
        <v>197</v>
      </c>
      <c r="B33" s="47">
        <f>IF(6982.14738="","-",6982.14738)</f>
        <v>6982.14738</v>
      </c>
      <c r="C33" s="47">
        <f>IF(OR(10990.81154="",6982.14738=""),"-",6982.14738/10990.81154*100)</f>
        <v>63.527132228490565</v>
      </c>
      <c r="D33" s="47">
        <f>IF(10990.81154="","-",10990.81154/1314797.53704*100)</f>
        <v>0.8359318625393521</v>
      </c>
      <c r="E33" s="47">
        <f>IF(6982.14738="","-",6982.14738/1361362.0538*100)</f>
        <v>0.5128795356467133</v>
      </c>
      <c r="F33" s="47">
        <f>IF(OR(1028187.45002="",6721.6372="",10990.81154=""),"-",(10990.81154-6721.6372)/1028187.45002*100)</f>
        <v>0.41521362081563606</v>
      </c>
      <c r="G33" s="47">
        <f>IF(OR(1314797.53704="",6982.14738="",10990.81154=""),"-",(6982.14738-10990.81154)/1314797.53704*100)</f>
        <v>-0.3048883228838939</v>
      </c>
    </row>
    <row r="34" spans="1:7" s="9" customFormat="1" ht="15.75">
      <c r="A34" s="39" t="s">
        <v>29</v>
      </c>
      <c r="B34" s="47">
        <f>IF(3.60065="","-",3.60065)</f>
        <v>3.60065</v>
      </c>
      <c r="C34" s="47">
        <f>IF(OR(4.1982="",3.60065=""),"-",3.60065/4.1982*100)</f>
        <v>85.76651898432661</v>
      </c>
      <c r="D34" s="47">
        <f>IF(4.1982="","-",4.1982/1314797.53704*100)</f>
        <v>0.0003193039142324069</v>
      </c>
      <c r="E34" s="47">
        <f>IF(3.60065="","-",3.60065/1361362.0538*100)</f>
        <v>0.0002644887882653572</v>
      </c>
      <c r="F34" s="47">
        <f>IF(OR(1028187.45002="",3.40975="",4.1982=""),"-",(4.1982-3.40975)/1028187.45002*100)</f>
        <v>7.668348801423937E-05</v>
      </c>
      <c r="G34" s="47">
        <f>IF(OR(1314797.53704="",3.60065="",4.1982=""),"-",(3.60065-4.1982)/1314797.53704*100)</f>
        <v>-4.544806201457166E-05</v>
      </c>
    </row>
    <row r="35" spans="1:7" s="9" customFormat="1" ht="25.5">
      <c r="A35" s="32" t="s">
        <v>198</v>
      </c>
      <c r="B35" s="46">
        <f>IF(34286.23503="","-",34286.23503)</f>
        <v>34286.23503</v>
      </c>
      <c r="C35" s="46">
        <f>IF(48162.12107="","-",34286.23503/48162.12107*100)</f>
        <v>71.1892131581322</v>
      </c>
      <c r="D35" s="46">
        <f>IF(48162.12107="","-",48162.12107/1314797.53704*100)</f>
        <v>3.6630826962474576</v>
      </c>
      <c r="E35" s="46">
        <f>IF(34286.23503="","-",34286.23503/1361362.0538*100)</f>
        <v>2.518524365674515</v>
      </c>
      <c r="F35" s="46">
        <f>IF(1028187.45002="","-",(48162.12107-24823.33085)/1028187.45002*100)</f>
        <v>2.269896429833492</v>
      </c>
      <c r="G35" s="46">
        <f>IF(1314797.53704="","-",(34286.23503-48162.12107)/1314797.53704*100)</f>
        <v>-1.0553629474571986</v>
      </c>
    </row>
    <row r="36" spans="1:7" s="9" customFormat="1" ht="25.5">
      <c r="A36" s="39" t="s">
        <v>199</v>
      </c>
      <c r="B36" s="47">
        <f>IF(34283.1999="","-",34283.1999)</f>
        <v>34283.1999</v>
      </c>
      <c r="C36" s="47">
        <f>IF(OR(48024.53971="",34283.1999=""),"-",34283.1999/48024.53971*100)</f>
        <v>71.38683703586089</v>
      </c>
      <c r="D36" s="47">
        <f>IF(48024.53971="","-",48024.53971/1314797.53704*100)</f>
        <v>3.6526186243181975</v>
      </c>
      <c r="E36" s="47">
        <f>IF(34283.1999="","-",34283.1999/1361362.0538*100)</f>
        <v>2.5183014176357084</v>
      </c>
      <c r="F36" s="47">
        <f>IF(OR(1028187.45002="",24730.89894="",48024.53971=""),"-",(48024.53971-24730.89894)/1028187.45002*100)</f>
        <v>2.2655052606941366</v>
      </c>
      <c r="G36" s="47">
        <f>IF(OR(1314797.53704="",34283.1999="",48024.53971=""),"-",(34283.1999-48024.53971)/1314797.53704*100)</f>
        <v>-1.0451297194346618</v>
      </c>
    </row>
    <row r="37" spans="1:7" s="9" customFormat="1" ht="25.5">
      <c r="A37" s="32" t="s">
        <v>200</v>
      </c>
      <c r="B37" s="46">
        <f>IF(59695.81787="","-",59695.81787)</f>
        <v>59695.81787</v>
      </c>
      <c r="C37" s="46">
        <f>IF(62221.10183="","-",59695.81787/62221.10183*100)</f>
        <v>95.94143484167226</v>
      </c>
      <c r="D37" s="46">
        <f>IF(62221.10183="","-",62221.10183/1314797.53704*100)</f>
        <v>4.732371340615543</v>
      </c>
      <c r="E37" s="46">
        <f>IF(59695.81787="","-",59695.81787/1361362.0538*100)</f>
        <v>4.385006744045035</v>
      </c>
      <c r="F37" s="46">
        <f>IF(1028187.45002="","-",(62221.10183-58495.26238)/1028187.45002*100)</f>
        <v>0.3623696680918957</v>
      </c>
      <c r="G37" s="46">
        <f>IF(1314797.53704="","-",(59695.81787-62221.10183)/1314797.53704*100)</f>
        <v>-0.19206637439290958</v>
      </c>
    </row>
    <row r="38" spans="1:7" s="9" customFormat="1" ht="15.75">
      <c r="A38" s="39" t="s">
        <v>30</v>
      </c>
      <c r="B38" s="47">
        <f>IF(8573.4194="","-",8573.4194)</f>
        <v>8573.4194</v>
      </c>
      <c r="C38" s="47">
        <f>IF(OR(13370.38012="",8573.4194=""),"-",8573.4194/13370.38012*100)</f>
        <v>64.12248061052135</v>
      </c>
      <c r="D38" s="47">
        <f>IF(13370.38012="","-",13370.38012/1314797.53704*100)</f>
        <v>1.0169155130987466</v>
      </c>
      <c r="E38" s="47">
        <f>IF(8573.4194="","-",8573.4194/1361362.0538*100)</f>
        <v>0.6297677664856917</v>
      </c>
      <c r="F38" s="47">
        <f>IF(OR(1028187.45002="",12224.76808="",13370.38012=""),"-",(13370.38012-12224.76808)/1028187.45002*100)</f>
        <v>0.11142054301263023</v>
      </c>
      <c r="G38" s="47">
        <f>IF(OR(1314797.53704="",8573.4194="",13370.38012=""),"-",(8573.4194-13370.38012)/1314797.53704*100)</f>
        <v>-0.36484406038661915</v>
      </c>
    </row>
    <row r="39" spans="1:7" s="9" customFormat="1" ht="15.75">
      <c r="A39" s="39" t="s">
        <v>31</v>
      </c>
      <c r="B39" s="47">
        <f>IF(555.10443="","-",555.10443)</f>
        <v>555.10443</v>
      </c>
      <c r="C39" s="47" t="s">
        <v>114</v>
      </c>
      <c r="D39" s="47">
        <f>IF(320.65269="","-",320.65269/1314797.53704*100)</f>
        <v>0.02438798985902305</v>
      </c>
      <c r="E39" s="47">
        <f>IF(555.10443="","-",555.10443/1361362.0538*100)</f>
        <v>0.04077566496366816</v>
      </c>
      <c r="F39" s="47">
        <f>IF(OR(1028187.45002="",590.22883="",320.65269=""),"-",(320.65269-590.22883)/1028187.45002*100)</f>
        <v>-0.026218579111693716</v>
      </c>
      <c r="G39" s="47">
        <f>IF(OR(1314797.53704="",555.10443="",320.65269=""),"-",(555.10443-320.65269)/1314797.53704*100)</f>
        <v>0.0178317751132863</v>
      </c>
    </row>
    <row r="40" spans="1:7" s="9" customFormat="1" ht="15.75">
      <c r="A40" s="39" t="s">
        <v>201</v>
      </c>
      <c r="B40" s="47">
        <f>IF(476.00085="","-",476.00085)</f>
        <v>476.00085</v>
      </c>
      <c r="C40" s="47">
        <f>IF(OR(1787.82268="",476.00085=""),"-",476.00085/1787.82268*100)</f>
        <v>26.624611899430654</v>
      </c>
      <c r="D40" s="47">
        <f>IF(1787.82268="","-",1787.82268/1314797.53704*100)</f>
        <v>0.13597703293732358</v>
      </c>
      <c r="E40" s="47">
        <f>IF(476.00085="","-",476.00085/1361362.0538*100)</f>
        <v>0.034965044652987665</v>
      </c>
      <c r="F40" s="47">
        <f>IF(OR(1028187.45002="",412.5373="",1787.82268=""),"-",(1787.82268-412.5373)/1028187.45002*100)</f>
        <v>0.1337582344516312</v>
      </c>
      <c r="G40" s="47">
        <f>IF(OR(1314797.53704="",476.00085="",1787.82268=""),"-",(476.00085-1787.82268)/1314797.53704*100)</f>
        <v>-0.09977367564540018</v>
      </c>
    </row>
    <row r="41" spans="1:7" s="9" customFormat="1" ht="15.75">
      <c r="A41" s="39" t="s">
        <v>202</v>
      </c>
      <c r="B41" s="47">
        <f>IF(40304.34829="","-",40304.34829)</f>
        <v>40304.34829</v>
      </c>
      <c r="C41" s="47">
        <f>IF(OR(32430.29327="",40304.34829=""),"-",40304.34829/32430.29327*100)</f>
        <v>124.27993775586354</v>
      </c>
      <c r="D41" s="47">
        <f>IF(32430.29327="","-",32430.29327/1314797.53704*100)</f>
        <v>2.4665617599961607</v>
      </c>
      <c r="E41" s="47">
        <f>IF(40304.34829="","-",40304.34829/1361362.0538*100)</f>
        <v>2.960589960436871</v>
      </c>
      <c r="F41" s="47">
        <f>IF(OR(1028187.45002="",25955.94091="",32430.29327=""),"-",(32430.29327-25955.94091)/1028187.45002*100)</f>
        <v>0.6296859935291041</v>
      </c>
      <c r="G41" s="47">
        <f>IF(OR(1314797.53704="",40304.34829="",32430.29327=""),"-",(40304.34829-32430.29327)/1314797.53704*100)</f>
        <v>0.5988796600370001</v>
      </c>
    </row>
    <row r="42" spans="1:7" s="9" customFormat="1" ht="38.25">
      <c r="A42" s="39" t="s">
        <v>203</v>
      </c>
      <c r="B42" s="47">
        <f>IF(6376.31609="","-",6376.31609)</f>
        <v>6376.31609</v>
      </c>
      <c r="C42" s="47">
        <f>IF(OR(10602.66795="",6376.31609=""),"-",6376.31609/10602.66795*100)</f>
        <v>60.13878884135008</v>
      </c>
      <c r="D42" s="47">
        <f>IF(10602.66795="","-",10602.66795/1314797.53704*100)</f>
        <v>0.8064106945218162</v>
      </c>
      <c r="E42" s="47">
        <f>IF(6376.31609="","-",6376.31609/1361362.0538*100)</f>
        <v>0.46837768631802595</v>
      </c>
      <c r="F42" s="47">
        <f>IF(OR(1028187.45002="",14164.25375="",10602.66795=""),"-",(10602.66795-14164.25375)/1028187.45002*100)</f>
        <v>-0.34639459953831586</v>
      </c>
      <c r="G42" s="47">
        <f>IF(OR(1314797.53704="",6376.31609="",10602.66795=""),"-",(6376.31609-10602.66795)/1314797.53704*100)</f>
        <v>-0.3214450697492766</v>
      </c>
    </row>
    <row r="43" spans="1:7" s="9" customFormat="1" ht="14.25" customHeight="1">
      <c r="A43" s="39" t="s">
        <v>32</v>
      </c>
      <c r="B43" s="47">
        <f>IF(992.08345="","-",992.08345)</f>
        <v>992.08345</v>
      </c>
      <c r="C43" s="47">
        <f>IF(OR(1188.36441="",992.08345=""),"-",992.08345/1188.36441*100)</f>
        <v>83.48310010394876</v>
      </c>
      <c r="D43" s="47">
        <f>IF(1188.36441="","-",1188.36441/1314797.53704*100)</f>
        <v>0.0903838329873481</v>
      </c>
      <c r="E43" s="47">
        <f>IF(992.08345="","-",992.08345/1361362.0538*100)</f>
        <v>0.07287432812092678</v>
      </c>
      <c r="F43" s="47">
        <f>IF(OR(1028187.45002="",1719.34599="",1188.36441=""),"-",(1188.36441-1719.34599)/1028187.45002*100)</f>
        <v>-0.05164248795194608</v>
      </c>
      <c r="G43" s="47">
        <f>IF(OR(1314797.53704="",992.08345="",1188.36441=""),"-",(992.08345-1188.36441)/1314797.53704*100)</f>
        <v>-0.014928607216734426</v>
      </c>
    </row>
    <row r="44" spans="1:7" s="9" customFormat="1" ht="15.75">
      <c r="A44" s="39" t="s">
        <v>33</v>
      </c>
      <c r="B44" s="47">
        <f>IF(1305.22255="","-",1305.22255)</f>
        <v>1305.22255</v>
      </c>
      <c r="C44" s="47">
        <f>IF(OR(1055.13644="",1305.22255=""),"-",1305.22255/1055.13644*100)</f>
        <v>123.70177926941845</v>
      </c>
      <c r="D44" s="47">
        <f>IF(1055.13644="","-",1055.13644/1314797.53704*100)</f>
        <v>0.08025086831052526</v>
      </c>
      <c r="E44" s="47">
        <f>IF(1305.22255="","-",1305.22255/1361362.0538*100)</f>
        <v>0.09587622531101872</v>
      </c>
      <c r="F44" s="47">
        <f>IF(OR(1028187.45002="",1557.65665="",1055.13644=""),"-",(1055.13644-1557.65665)/1028187.45002*100)</f>
        <v>-0.04887437694266985</v>
      </c>
      <c r="G44" s="47">
        <f>IF(OR(1314797.53704="",1305.22255="",1055.13644=""),"-",(1305.22255-1055.13644)/1314797.53704*100)</f>
        <v>0.019020883668752386</v>
      </c>
    </row>
    <row r="45" spans="1:7" s="9" customFormat="1" ht="15.75">
      <c r="A45" s="39" t="s">
        <v>205</v>
      </c>
      <c r="B45" s="47">
        <f>IF(1093.14877="","-",1093.14877)</f>
        <v>1093.14877</v>
      </c>
      <c r="C45" s="47">
        <f>IF(OR(1465.78427="",1093.14877=""),"-",1093.14877/1465.78427*100)</f>
        <v>74.57773919213909</v>
      </c>
      <c r="D45" s="47">
        <f>IF(1465.78427="","-",1465.78427/1314797.53704*100)</f>
        <v>0.11148364890459987</v>
      </c>
      <c r="E45" s="47">
        <f>IF(1093.14877="","-",1093.14877/1361362.0538*100)</f>
        <v>0.08029816660077087</v>
      </c>
      <c r="F45" s="47">
        <f>IF(OR(1028187.45002="",1845.33087="",1465.78427=""),"-",(1465.78427-1845.33087)/1028187.45002*100)</f>
        <v>-0.03691414439970232</v>
      </c>
      <c r="G45" s="47">
        <f>IF(OR(1314797.53704="",1093.14877="",1465.78427=""),"-",(1093.14877-1465.78427)/1314797.53704*100)</f>
        <v>-0.02834166398264735</v>
      </c>
    </row>
    <row r="46" spans="1:7" s="9" customFormat="1" ht="25.5">
      <c r="A46" s="32" t="s">
        <v>34</v>
      </c>
      <c r="B46" s="46">
        <f>IF(85966.81297="","-",85966.81297)</f>
        <v>85966.81297</v>
      </c>
      <c r="C46" s="46">
        <f>IF(89917.96545="","-",85966.81297/89917.96545*100)</f>
        <v>95.60582530951828</v>
      </c>
      <c r="D46" s="46">
        <f>IF(89917.96545="","-",89917.96545/1314797.53704*100)</f>
        <v>6.838921044256901</v>
      </c>
      <c r="E46" s="46">
        <f>IF(85966.81297="","-",85966.81297/1361362.0538*100)</f>
        <v>6.3147648878591065</v>
      </c>
      <c r="F46" s="46">
        <f>IF(1028187.45002="","-",(89917.96545-82080.38499)/1028187.45002*100)</f>
        <v>0.7622715546515904</v>
      </c>
      <c r="G46" s="46">
        <f>IF(1314797.53704="","-",(85966.81297-89917.96545)/1314797.53704*100)</f>
        <v>-0.30051413762876544</v>
      </c>
    </row>
    <row r="47" spans="1:7" s="9" customFormat="1" ht="15.75">
      <c r="A47" s="39" t="s">
        <v>206</v>
      </c>
      <c r="B47" s="47">
        <f>IF(152.74604="","-",152.74604)</f>
        <v>152.74604</v>
      </c>
      <c r="C47" s="47">
        <f>IF(OR(841.71588="",152.74604=""),"-",152.74604/841.71588*100)</f>
        <v>18.14698327896582</v>
      </c>
      <c r="D47" s="47">
        <f>IF(841.71588="","-",841.71588/1314797.53704*100)</f>
        <v>0.06401866875222116</v>
      </c>
      <c r="E47" s="47">
        <f>IF(152.74604="","-",152.74604/1361362.0538*100)</f>
        <v>0.011220089437166004</v>
      </c>
      <c r="F47" s="47">
        <f>IF(OR(1028187.45002="",1269.53882="",841.71588=""),"-",(841.71588-1269.53882)/1028187.45002*100)</f>
        <v>-0.04160943026407083</v>
      </c>
      <c r="G47" s="47">
        <f>IF(OR(1314797.53704="",152.74604="",841.71588=""),"-",(152.74604-841.71588)/1314797.53704*100)</f>
        <v>-0.052401211638339065</v>
      </c>
    </row>
    <row r="48" spans="1:7" s="9" customFormat="1" ht="14.25" customHeight="1">
      <c r="A48" s="39" t="s">
        <v>35</v>
      </c>
      <c r="B48" s="47">
        <f>IF(807.7325="","-",807.7325)</f>
        <v>807.7325</v>
      </c>
      <c r="C48" s="47">
        <f>IF(OR(755.39503="",807.7325=""),"-",807.7325/755.39503*100)</f>
        <v>106.9284901172834</v>
      </c>
      <c r="D48" s="47">
        <f>IF(755.39503="","-",755.39503/1314797.53704*100)</f>
        <v>0.05745333473171989</v>
      </c>
      <c r="E48" s="47">
        <f>IF(807.7325="","-",807.7325/1361362.0538*100)</f>
        <v>0.05933267331385933</v>
      </c>
      <c r="F48" s="47">
        <f>IF(OR(1028187.45002="",962.04452="",755.39503=""),"-",(755.39503-962.04452)/1028187.45002*100)</f>
        <v>-0.02009842563201684</v>
      </c>
      <c r="G48" s="47">
        <f>IF(OR(1314797.53704="",807.7325="",755.39503=""),"-",(807.7325-755.39503)/1314797.53704*100)</f>
        <v>0.0039806486189369605</v>
      </c>
    </row>
    <row r="49" spans="1:7" s="9" customFormat="1" ht="15.75">
      <c r="A49" s="39" t="s">
        <v>36</v>
      </c>
      <c r="B49" s="47">
        <f>IF(10339.17694="","-",10339.17694)</f>
        <v>10339.17694</v>
      </c>
      <c r="C49" s="47">
        <f>IF(OR(7919.53844="",10339.17694=""),"-",10339.17694/7919.53844*100)</f>
        <v>130.55277170925632</v>
      </c>
      <c r="D49" s="47">
        <f>IF(7919.53844="","-",7919.53844/1314797.53704*100)</f>
        <v>0.6023390078619432</v>
      </c>
      <c r="E49" s="47">
        <f>IF(10339.17694="","-",10339.17694/1361362.0538*100)</f>
        <v>0.7594729786348918</v>
      </c>
      <c r="F49" s="47">
        <f>IF(OR(1028187.45002="",4403.64635="",7919.53844=""),"-",(7919.53844-4403.64635)/1028187.45002*100)</f>
        <v>0.3419504964713983</v>
      </c>
      <c r="G49" s="47">
        <f>IF(OR(1314797.53704="",10339.17694="",7919.53844=""),"-",(10339.17694-7919.53844)/1314797.53704*100)</f>
        <v>0.18403126198785894</v>
      </c>
    </row>
    <row r="50" spans="1:7" s="9" customFormat="1" ht="15" customHeight="1">
      <c r="A50" s="39" t="s">
        <v>207</v>
      </c>
      <c r="B50" s="47">
        <f>IF(5032.71606="","-",5032.71606)</f>
        <v>5032.71606</v>
      </c>
      <c r="C50" s="47">
        <f>IF(OR(5216.61519="",5032.71606=""),"-",5032.71606/5216.61519*100)</f>
        <v>96.4747422744057</v>
      </c>
      <c r="D50" s="47">
        <f>IF(5216.61519="","-",5216.61519/1314797.53704*100)</f>
        <v>0.39676186203878594</v>
      </c>
      <c r="E50" s="47">
        <f>IF(5032.71606="","-",5032.71606/1361362.0538*100)</f>
        <v>0.36968241078499786</v>
      </c>
      <c r="F50" s="47">
        <f>IF(OR(1028187.45002="",3432.04982="",5216.61519=""),"-",(5216.61519-3432.04982)/1028187.45002*100)</f>
        <v>0.17356420465599803</v>
      </c>
      <c r="G50" s="47">
        <f>IF(OR(1314797.53704="",5032.71606="",5216.61519=""),"-",(5032.71606-5216.61519)/1314797.53704*100)</f>
        <v>-0.01398687819373409</v>
      </c>
    </row>
    <row r="51" spans="1:7" s="9" customFormat="1" ht="25.5">
      <c r="A51" s="39" t="s">
        <v>276</v>
      </c>
      <c r="B51" s="47">
        <f>IF(32240.79598="","-",32240.79598)</f>
        <v>32240.79598</v>
      </c>
      <c r="C51" s="47">
        <f>IF(OR(37445.88601="",32240.79598=""),"-",32240.79598/37445.88601*100)</f>
        <v>86.09970123657918</v>
      </c>
      <c r="D51" s="47">
        <f>IF(37445.88601="","-",37445.88601/1314797.53704*100)</f>
        <v>2.8480343897130975</v>
      </c>
      <c r="E51" s="47">
        <f>IF(32240.79598="","-",32240.79598/1361362.0538*100)</f>
        <v>2.3682749118800213</v>
      </c>
      <c r="F51" s="47">
        <f>IF(OR(1028187.45002="",42461.2303="",37445.88601=""),"-",(37445.88601-42461.2303)/1028187.45002*100)</f>
        <v>-0.4877850133166325</v>
      </c>
      <c r="G51" s="47">
        <f>IF(OR(1314797.53704="",32240.79598="",37445.88601=""),"-",(32240.79598-37445.88601)/1314797.53704*100)</f>
        <v>-0.3958852890550896</v>
      </c>
    </row>
    <row r="52" spans="1:7" s="9" customFormat="1" ht="15.75">
      <c r="A52" s="39" t="s">
        <v>37</v>
      </c>
      <c r="B52" s="47">
        <f>IF(24285.58868="","-",24285.58868)</f>
        <v>24285.58868</v>
      </c>
      <c r="C52" s="47">
        <f>IF(OR(23276.22258="",24285.58868=""),"-",24285.58868/23276.22258*100)</f>
        <v>104.33646867111202</v>
      </c>
      <c r="D52" s="47">
        <f>IF(23276.22258="","-",23276.22258/1314797.53704*100)</f>
        <v>1.7703275161590044</v>
      </c>
      <c r="E52" s="47">
        <f>IF(24285.58868="","-",24285.58868/1361362.0538*100)</f>
        <v>1.7839184375832349</v>
      </c>
      <c r="F52" s="47">
        <f>IF(OR(1028187.45002="",13726.61006="",23276.22258=""),"-",(23276.22258-13726.61006)/1028187.45002*100)</f>
        <v>0.9287812761976665</v>
      </c>
      <c r="G52" s="47">
        <f>IF(OR(1314797.53704="",24285.58868="",23276.22258=""),"-",(24285.58868-23276.22258)/1314797.53704*100)</f>
        <v>0.07676969811431061</v>
      </c>
    </row>
    <row r="53" spans="1:7" s="9" customFormat="1" ht="15.75" customHeight="1">
      <c r="A53" s="39" t="s">
        <v>209</v>
      </c>
      <c r="B53" s="47">
        <f>IF(1524.20106="","-",1524.20106)</f>
        <v>1524.20106</v>
      </c>
      <c r="C53" s="47">
        <f>IF(OR(1320.86015="",1524.20106=""),"-",1524.20106/1320.86015*100)</f>
        <v>115.3945828405831</v>
      </c>
      <c r="D53" s="47">
        <f>IF(1320.86015="","-",1320.86015/1314797.53704*100)</f>
        <v>0.1004611061999438</v>
      </c>
      <c r="E53" s="47">
        <f>IF(1524.20106="","-",1524.20106/1361362.0538*100)</f>
        <v>0.11196147679784843</v>
      </c>
      <c r="F53" s="47">
        <f>IF(OR(1028187.45002="",1132.459="",1320.86015=""),"-",(1320.86015-1132.459)/1028187.45002*100)</f>
        <v>0.01832361890784946</v>
      </c>
      <c r="G53" s="47">
        <f>IF(OR(1314797.53704="",1524.20106="",1320.86015=""),"-",(1524.20106-1320.86015)/1314797.53704*100)</f>
        <v>0.015465568216516509</v>
      </c>
    </row>
    <row r="54" spans="1:7" s="9" customFormat="1" ht="15.75">
      <c r="A54" s="39" t="s">
        <v>38</v>
      </c>
      <c r="B54" s="47">
        <f>IF(424.21114="","-",424.21114)</f>
        <v>424.21114</v>
      </c>
      <c r="C54" s="47">
        <f>IF(OR(1050.10262="",424.21114=""),"-",424.21114/1050.10262*100)</f>
        <v>40.3971128078892</v>
      </c>
      <c r="D54" s="47">
        <f>IF(1050.10262="","-",1050.10262/1314797.53704*100)</f>
        <v>0.07986800936394305</v>
      </c>
      <c r="E54" s="47">
        <f>IF(424.21114="","-",424.21114/1361362.0538*100)</f>
        <v>0.031160787743120213</v>
      </c>
      <c r="F54" s="47">
        <f>IF(OR(1028187.45002="",1739.7006="",1050.10262=""),"-",(1050.10262-1739.7006)/1028187.45002*100)</f>
        <v>-0.06706928585702793</v>
      </c>
      <c r="G54" s="47">
        <f>IF(OR(1314797.53704="",424.21114="",1050.10262=""),"-",(424.21114-1050.10262)/1314797.53704*100)</f>
        <v>-0.04760363952377547</v>
      </c>
    </row>
    <row r="55" spans="1:7" s="9" customFormat="1" ht="15.75">
      <c r="A55" s="39" t="s">
        <v>39</v>
      </c>
      <c r="B55" s="47">
        <f>IF(11159.64457="","-",11159.64457)</f>
        <v>11159.64457</v>
      </c>
      <c r="C55" s="47">
        <f>IF(OR(12091.62955="",11159.64457=""),"-",11159.64457/12091.62955*100)</f>
        <v>92.29231282561085</v>
      </c>
      <c r="D55" s="47">
        <f>IF(12091.62955="","-",12091.62955/1314797.53704*100)</f>
        <v>0.9196571494362433</v>
      </c>
      <c r="E55" s="47">
        <f>IF(11159.64457="","-",11159.64457/1361362.0538*100)</f>
        <v>0.8197411216839663</v>
      </c>
      <c r="F55" s="47">
        <f>IF(OR(1028187.45002="",12953.10552="",12091.62955=""),"-",(12091.62955-12953.10552)/1028187.45002*100)</f>
        <v>-0.08378588651157358</v>
      </c>
      <c r="G55" s="47">
        <f>IF(OR(1314797.53704="",11159.64457="",12091.62955=""),"-",(11159.64457-12091.62955)/1314797.53704*100)</f>
        <v>-0.07088429615545025</v>
      </c>
    </row>
    <row r="56" spans="1:7" s="9" customFormat="1" ht="15.75">
      <c r="A56" s="32" t="s">
        <v>210</v>
      </c>
      <c r="B56" s="46">
        <f>IF(351522.47119="","-",351522.47119)</f>
        <v>351522.47119</v>
      </c>
      <c r="C56" s="46">
        <f>IF(268893.05251="","-",351522.47119/268893.05251*100)</f>
        <v>130.7294732640692</v>
      </c>
      <c r="D56" s="46">
        <f>IF(268893.05251="","-",268893.05251/1314797.53704*100)</f>
        <v>20.45128964230935</v>
      </c>
      <c r="E56" s="46">
        <f>IF(351522.47119="","-",351522.47119/1361362.0538*100)</f>
        <v>25.82138015444073</v>
      </c>
      <c r="F56" s="46">
        <f>IF(1028187.45002="","-",(268893.05251-198602.21797)/1028187.45002*100)</f>
        <v>6.836383243019814</v>
      </c>
      <c r="G56" s="46">
        <f>IF(1314797.53704="","-",(351522.47119-268893.05251)/1314797.53704*100)</f>
        <v>6.284573582790806</v>
      </c>
    </row>
    <row r="57" spans="1:7" s="9" customFormat="1" ht="24" customHeight="1">
      <c r="A57" s="39" t="s">
        <v>211</v>
      </c>
      <c r="B57" s="47">
        <f>IF(1751.23387="","-",1751.23387)</f>
        <v>1751.23387</v>
      </c>
      <c r="C57" s="47">
        <f>IF(OR(1676.74707="",1751.23387=""),"-",1751.23387/1676.74707*100)</f>
        <v>104.44233965472205</v>
      </c>
      <c r="D57" s="47">
        <f>IF(1676.74707="","-",1676.74707/1314797.53704*100)</f>
        <v>0.12752891778112513</v>
      </c>
      <c r="E57" s="47">
        <f>IF(1751.23387="","-",1751.23387/1361362.0538*100)</f>
        <v>0.12863836369698584</v>
      </c>
      <c r="F57" s="47">
        <f>IF(OR(1028187.45002="",1190.30281="",1676.74707=""),"-",(1676.74707-1190.30281)/1028187.45002*100)</f>
        <v>0.047310853676587654</v>
      </c>
      <c r="G57" s="47">
        <f>IF(OR(1314797.53704="",1751.23387="",1676.74707=""),"-",(1751.23387-1676.74707)/1314797.53704*100)</f>
        <v>0.005665267685828804</v>
      </c>
    </row>
    <row r="58" spans="1:7" s="9" customFormat="1" ht="25.5">
      <c r="A58" s="39" t="s">
        <v>230</v>
      </c>
      <c r="B58" s="47">
        <f>IF(7192.72357="","-",7192.72357)</f>
        <v>7192.72357</v>
      </c>
      <c r="C58" s="47">
        <f>IF(OR(6797.00762="",7192.72357=""),"-",7192.72357/6797.00762*100)</f>
        <v>105.82191417346094</v>
      </c>
      <c r="D58" s="47">
        <f>IF(6797.00762="","-",6797.00762/1314797.53704*100)</f>
        <v>0.5169623024471193</v>
      </c>
      <c r="E58" s="47">
        <f>IF(7192.72357="","-",7192.72357/1361362.0538*100)</f>
        <v>0.5283475876180617</v>
      </c>
      <c r="F58" s="47">
        <f>IF(OR(1028187.45002="",3957.65375="",6797.00762=""),"-",(6797.00762-3957.65375)/1028187.45002*100)</f>
        <v>0.2761513836747152</v>
      </c>
      <c r="G58" s="47">
        <f>IF(OR(1314797.53704="",7192.72357="",6797.00762=""),"-",(7192.72357-6797.00762)/1314797.53704*100)</f>
        <v>0.03009710155761882</v>
      </c>
    </row>
    <row r="59" spans="1:7" ht="25.5">
      <c r="A59" s="39" t="s">
        <v>212</v>
      </c>
      <c r="B59" s="47">
        <f>IF(1234.58458="","-",1234.58458)</f>
        <v>1234.58458</v>
      </c>
      <c r="C59" s="47">
        <f>IF(OR(1010.17242="",1234.58458=""),"-",1234.58458/1010.17242*100)</f>
        <v>122.21523331630853</v>
      </c>
      <c r="D59" s="47">
        <f>IF(1010.17242="","-",1010.17242/1314797.53704*100)</f>
        <v>0.07683102466667213</v>
      </c>
      <c r="E59" s="47">
        <f>IF(1234.58458="","-",1234.58458/1361362.0538*100)</f>
        <v>0.09068745353624898</v>
      </c>
      <c r="F59" s="47">
        <f>IF(OR(1028187.45002="",687.89089="",1010.17242=""),"-",(1010.17242-687.89089)/1028187.45002*100)</f>
        <v>0.031344627868559474</v>
      </c>
      <c r="G59" s="47">
        <f>IF(OR(1314797.53704="",1234.58458="",1010.17242=""),"-",(1234.58458-1010.17242)/1314797.53704*100)</f>
        <v>0.017068191389011757</v>
      </c>
    </row>
    <row r="60" spans="1:7" ht="38.25">
      <c r="A60" s="39" t="s">
        <v>213</v>
      </c>
      <c r="B60" s="47">
        <f>IF(11717.32808="","-",11717.32808)</f>
        <v>11717.32808</v>
      </c>
      <c r="C60" s="47">
        <f>IF(OR(9863.35525="",11717.32808=""),"-",11717.32808/9863.35525*100)</f>
        <v>118.796573610182</v>
      </c>
      <c r="D60" s="47">
        <f>IF(9863.35525="","-",9863.35525/1314797.53704*100)</f>
        <v>0.7501805389904627</v>
      </c>
      <c r="E60" s="47">
        <f>IF(11717.32808="","-",11717.32808/1361362.0538*100)</f>
        <v>0.8607062351483326</v>
      </c>
      <c r="F60" s="47">
        <f>IF(OR(1028187.45002="",14386.24762="",9863.35525=""),"-",(9863.35525-14386.24762)/1028187.45002*100)</f>
        <v>-0.4398898634594326</v>
      </c>
      <c r="G60" s="47">
        <f>IF(OR(1314797.53704="",11717.32808="",9863.35525=""),"-",(11717.32808-9863.35525)/1314797.53704*100)</f>
        <v>0.14100823722060224</v>
      </c>
    </row>
    <row r="61" spans="1:7" ht="25.5">
      <c r="A61" s="39" t="s">
        <v>214</v>
      </c>
      <c r="B61" s="47">
        <f>IF(431.37624="","-",431.37624)</f>
        <v>431.37624</v>
      </c>
      <c r="C61" s="47">
        <f>IF(OR(596.52144="",431.37624=""),"-",431.37624/596.52144*100)</f>
        <v>72.31529515519173</v>
      </c>
      <c r="D61" s="47">
        <f>IF(596.52144="","-",596.52144/1314797.53704*100)</f>
        <v>0.045369832479527375</v>
      </c>
      <c r="E61" s="47">
        <f>IF(431.37624="","-",431.37624/1361362.0538*100)</f>
        <v>0.03168710621806227</v>
      </c>
      <c r="F61" s="47">
        <f>IF(OR(1028187.45002="",413.81372="",596.52144=""),"-",(596.52144-413.81372)/1028187.45002*100)</f>
        <v>0.01776988427513349</v>
      </c>
      <c r="G61" s="47">
        <f>IF(OR(1314797.53704="",431.37624="",596.52144=""),"-",(431.37624-596.52144)/1314797.53704*100)</f>
        <v>-0.012560504210541107</v>
      </c>
    </row>
    <row r="62" spans="1:7" ht="38.25">
      <c r="A62" s="39" t="s">
        <v>215</v>
      </c>
      <c r="B62" s="47">
        <f>IF(1682.54867="","-",1682.54867)</f>
        <v>1682.54867</v>
      </c>
      <c r="C62" s="47">
        <f>IF(OR(2263.49518="",1682.54867=""),"-",1682.54867/2263.49518*100)</f>
        <v>74.33409555570603</v>
      </c>
      <c r="D62" s="47">
        <f>IF(2263.49518="","-",2263.49518/1314797.53704*100)</f>
        <v>0.17215541680248353</v>
      </c>
      <c r="E62" s="47">
        <f>IF(1682.54867="","-",1682.54867/1361362.0538*100)</f>
        <v>0.12359303429263836</v>
      </c>
      <c r="F62" s="47">
        <f>IF(OR(1028187.45002="",2307.04097="",2263.49518=""),"-",(2263.49518-2307.04097)/1028187.45002*100)</f>
        <v>-0.004235199525062583</v>
      </c>
      <c r="G62" s="47">
        <f>IF(OR(1314797.53704="",1682.54867="",2263.49518=""),"-",(1682.54867-2263.49518)/1314797.53704*100)</f>
        <v>-0.04418524477220144</v>
      </c>
    </row>
    <row r="63" spans="1:7" ht="50.25" customHeight="1">
      <c r="A63" s="39" t="s">
        <v>231</v>
      </c>
      <c r="B63" s="47">
        <f>IF(311569.83969="","-",311569.83969)</f>
        <v>311569.83969</v>
      </c>
      <c r="C63" s="47">
        <f>IF(OR(236879.56061="",311569.83969=""),"-",311569.83969/236879.56061*100)</f>
        <v>131.53090916230235</v>
      </c>
      <c r="D63" s="47">
        <f>IF(236879.56061="","-",236879.56061/1314797.53704*100)</f>
        <v>18.016428684775775</v>
      </c>
      <c r="E63" s="47">
        <f>IF(311569.83969="","-",311569.83969/1361362.0538*100)</f>
        <v>22.886625848010688</v>
      </c>
      <c r="F63" s="47">
        <f>IF(OR(1028187.45002="",147941.24867="",236879.56061=""),"-",(236879.56061-147941.24867)/1028187.45002*100)</f>
        <v>8.6500094839973</v>
      </c>
      <c r="G63" s="47">
        <f>IF(OR(1314797.53704="",311569.83969="",236879.56061=""),"-",(311569.83969-236879.56061)/1314797.53704*100)</f>
        <v>5.680743762887632</v>
      </c>
    </row>
    <row r="64" spans="1:7" ht="25.5">
      <c r="A64" s="39" t="s">
        <v>40</v>
      </c>
      <c r="B64" s="47">
        <f>IF(13179.76632="","-",13179.76632)</f>
        <v>13179.76632</v>
      </c>
      <c r="C64" s="47">
        <f>IF(OR(9635.30544="",13179.76632=""),"-",13179.76632/9635.30544*100)</f>
        <v>136.78618080217288</v>
      </c>
      <c r="D64" s="47">
        <f>IF(9635.30544="","-",9635.30544/1314797.53704*100)</f>
        <v>0.7328356776277462</v>
      </c>
      <c r="E64" s="47">
        <f>IF(13179.76632="","-",13179.76632/1361362.0538*100)</f>
        <v>0.9681308718140796</v>
      </c>
      <c r="F64" s="47">
        <f>IF(OR(1028187.45002="",15126.91135="",9635.30544=""),"-",(9635.30544-15126.91135)/1028187.45002*100)</f>
        <v>-0.5341055183948393</v>
      </c>
      <c r="G64" s="47">
        <f>IF(OR(1314797.53704="",13179.76632="",9635.30544=""),"-",(13179.76632-9635.30544)/1314797.53704*100)</f>
        <v>0.26958225735497154</v>
      </c>
    </row>
    <row r="65" spans="1:7" ht="15.75">
      <c r="A65" s="39" t="s">
        <v>41</v>
      </c>
      <c r="B65" s="47">
        <f>IF(2763.07017="","-",2763.07017)</f>
        <v>2763.07017</v>
      </c>
      <c r="C65" s="47" t="s">
        <v>278</v>
      </c>
      <c r="D65" s="47">
        <f>IF(170.88748="","-",170.88748/1314797.53704*100)</f>
        <v>0.012997246738438413</v>
      </c>
      <c r="E65" s="47">
        <f>IF(2763.07017="","-",2763.07017/1361362.0538*100)</f>
        <v>0.20296365410563494</v>
      </c>
      <c r="F65" s="47">
        <f>IF(OR(1028187.45002="",12591.10819="",170.88748=""),"-",(170.88748-12591.10819)/1028187.45002*100)</f>
        <v>-1.207972409093148</v>
      </c>
      <c r="G65" s="47">
        <f>IF(OR(1314797.53704="",2763.07017="",170.88748=""),"-",(2763.07017-170.88748)/1314797.53704*100)</f>
        <v>0.19715451367788334</v>
      </c>
    </row>
    <row r="66" spans="1:7" ht="15.75">
      <c r="A66" s="32" t="s">
        <v>42</v>
      </c>
      <c r="B66" s="46">
        <f>IF(286048.06474="","-",286048.06474)</f>
        <v>286048.06474</v>
      </c>
      <c r="C66" s="46">
        <f>IF(311568.05834="","-",286048.06474/311568.05834*100)</f>
        <v>91.80917526142838</v>
      </c>
      <c r="D66" s="46">
        <f>IF(311568.05834="","-",311568.05834/1314797.53704*100)</f>
        <v>23.697036962925278</v>
      </c>
      <c r="E66" s="46">
        <f>IF(286048.06474="","-",286048.06474/1361362.0538*100)</f>
        <v>21.01190230339884</v>
      </c>
      <c r="F66" s="46">
        <f>IF(1028187.45002="","-",(311568.05834-246863.33209)/1028187.45002*100)</f>
        <v>6.293086562060387</v>
      </c>
      <c r="G66" s="46">
        <f>IF(1314797.53704="","-",(286048.06474-311568.05834)/1314797.53704*100)</f>
        <v>-1.9409827658677454</v>
      </c>
    </row>
    <row r="67" spans="1:7" ht="38.25">
      <c r="A67" s="39" t="s">
        <v>216</v>
      </c>
      <c r="B67" s="47">
        <f>IF(4085.5266="","-",4085.5266)</f>
        <v>4085.5266</v>
      </c>
      <c r="C67" s="47">
        <f>IF(OR(3803.13252="",4085.5266=""),"-",4085.5266/3803.13252*100)</f>
        <v>107.42530212962444</v>
      </c>
      <c r="D67" s="47">
        <f>IF(3803.13252="","-",3803.13252/1314797.53704*100)</f>
        <v>0.28925613357642743</v>
      </c>
      <c r="E67" s="47">
        <f>IF(4085.5266="","-",4085.5266/1361362.0538*100)</f>
        <v>0.3001058086345201</v>
      </c>
      <c r="F67" s="47">
        <f>IF(OR(1028187.45002="",4936.37557="",3803.13252=""),"-",(3803.13252-4936.37557)/1028187.45002*100)</f>
        <v>-0.11021755322708486</v>
      </c>
      <c r="G67" s="47">
        <f>IF(OR(1314797.53704="",4085.5266="",3803.13252=""),"-",(4085.5266-3803.13252)/1314797.53704*100)</f>
        <v>0.02147814184651981</v>
      </c>
    </row>
    <row r="68" spans="1:7" ht="15.75">
      <c r="A68" s="39" t="s">
        <v>217</v>
      </c>
      <c r="B68" s="47">
        <f>IF(72036.48428="","-",72036.48428)</f>
        <v>72036.48428</v>
      </c>
      <c r="C68" s="47">
        <f>IF(OR(80120.89212="",72036.48428=""),"-",72036.48428/80120.89212*100)</f>
        <v>89.90973811438384</v>
      </c>
      <c r="D68" s="47">
        <f>IF(80120.89212="","-",80120.89212/1314797.53704*100)</f>
        <v>6.093781731625079</v>
      </c>
      <c r="E68" s="47">
        <f>IF(72036.48428="","-",72036.48428/1361362.0538*100)</f>
        <v>5.29150082293854</v>
      </c>
      <c r="F68" s="47">
        <f>IF(OR(1028187.45002="",61000.62737="",80120.89212=""),"-",(80120.89212-61000.62737)/1028187.45002*100)</f>
        <v>1.8596088436625131</v>
      </c>
      <c r="G68" s="47">
        <f>IF(OR(1314797.53704="",72036.48428="",80120.89212=""),"-",(72036.48428-80120.89212)/1314797.53704*100)</f>
        <v>-0.6148785354588057</v>
      </c>
    </row>
    <row r="69" spans="1:7" ht="15.75">
      <c r="A69" s="39" t="s">
        <v>218</v>
      </c>
      <c r="B69" s="47">
        <f>IF(6628.61516="","-",6628.61516)</f>
        <v>6628.61516</v>
      </c>
      <c r="C69" s="47">
        <f>IF(OR(9131.8907="",6628.61516=""),"-",6628.61516/9131.8907*100)</f>
        <v>72.5875437821436</v>
      </c>
      <c r="D69" s="47">
        <f>IF(9131.8907="","-",9131.8907/1314797.53704*100)</f>
        <v>0.6945472928522971</v>
      </c>
      <c r="E69" s="47">
        <f>IF(6628.61516="","-",6628.61516/1361362.0538*100)</f>
        <v>0.48691052769521526</v>
      </c>
      <c r="F69" s="47">
        <f>IF(OR(1028187.45002="",5924.68927="",9131.8907=""),"-",(9131.8907-5924.68927)/1028187.45002*100)</f>
        <v>0.31192769664107595</v>
      </c>
      <c r="G69" s="47">
        <f>IF(OR(1314797.53704="",6628.61516="",9131.8907=""),"-",(6628.61516-9131.8907)/1314797.53704*100)</f>
        <v>-0.19039247256544278</v>
      </c>
    </row>
    <row r="70" spans="1:7" ht="15.75">
      <c r="A70" s="39" t="s">
        <v>219</v>
      </c>
      <c r="B70" s="47">
        <f>IF(141756.64897="","-",141756.64897)</f>
        <v>141756.64897</v>
      </c>
      <c r="C70" s="47">
        <f>IF(OR(157962.12207="",141756.64897=""),"-",141756.64897/157962.12207*100)</f>
        <v>89.74091200622219</v>
      </c>
      <c r="D70" s="47">
        <f>IF(157962.12207="","-",157962.12207/1314797.53704*100)</f>
        <v>12.014178428233118</v>
      </c>
      <c r="E70" s="47">
        <f>IF(141756.64897="","-",141756.64897/1361362.0538*100)</f>
        <v>10.412854433125379</v>
      </c>
      <c r="F70" s="47">
        <f>IF(OR(1028187.45002="",127187.95111="",157962.12207=""),"-",(157962.12207-127187.95111)/1028187.45002*100)</f>
        <v>2.993050630933242</v>
      </c>
      <c r="G70" s="47">
        <f>IF(OR(1314797.53704="",141756.64897="",157962.12207=""),"-",(141756.64897-157962.12207)/1314797.53704*100)</f>
        <v>-1.232545136681906</v>
      </c>
    </row>
    <row r="71" spans="1:7" ht="15.75">
      <c r="A71" s="39" t="s">
        <v>220</v>
      </c>
      <c r="B71" s="47">
        <f>IF(17149.31854="","-",17149.31854)</f>
        <v>17149.31854</v>
      </c>
      <c r="C71" s="47">
        <f>IF(OR(18720.73938="",17149.31854=""),"-",17149.31854/18720.73938*100)</f>
        <v>91.60598944249605</v>
      </c>
      <c r="D71" s="47">
        <f>IF(18720.73938="","-",18720.73938/1314797.53704*100)</f>
        <v>1.4238495930062318</v>
      </c>
      <c r="E71" s="47">
        <f>IF(17149.31854="","-",17149.31854/1361362.0538*100)</f>
        <v>1.2597176843684401</v>
      </c>
      <c r="F71" s="47">
        <f>IF(OR(1028187.45002="",15850.0799="",18720.73938=""),"-",(18720.73938-15850.0799)/1028187.45002*100)</f>
        <v>0.2791961212854873</v>
      </c>
      <c r="G71" s="47">
        <f>IF(OR(1314797.53704="",17149.31854="",18720.73938=""),"-",(17149.31854-18720.73938)/1314797.53704*100)</f>
        <v>-0.11951808515992006</v>
      </c>
    </row>
    <row r="72" spans="1:7" ht="25.5">
      <c r="A72" s="39" t="s">
        <v>277</v>
      </c>
      <c r="B72" s="47">
        <f>IF(10607.87641="","-",10607.87641)</f>
        <v>10607.87641</v>
      </c>
      <c r="C72" s="47">
        <f>IF(OR(13343.61818="",10607.87641=""),"-",10607.87641/13343.61818*100)</f>
        <v>79.49775141122932</v>
      </c>
      <c r="D72" s="47">
        <f>IF(13343.61818="","-",13343.61818/1314797.53704*100)</f>
        <v>1.014880071196395</v>
      </c>
      <c r="E72" s="47">
        <f>IF(10607.87641="","-",10607.87641/1361362.0538*100)</f>
        <v>0.7792105252522649</v>
      </c>
      <c r="F72" s="47">
        <f>IF(OR(1028187.45002="",11698.0303="",13343.61818=""),"-",(13343.61818-11698.0303)/1028187.45002*100)</f>
        <v>0.16004745826920858</v>
      </c>
      <c r="G72" s="47">
        <f>IF(OR(1314797.53704="",10607.87641="",13343.61818=""),"-",(10607.87641-13343.61818)/1314797.53704*100)</f>
        <v>-0.2080732350745778</v>
      </c>
    </row>
    <row r="73" spans="1:7" ht="25.5">
      <c r="A73" s="39" t="s">
        <v>222</v>
      </c>
      <c r="B73" s="47">
        <f>IF(1871.52418="","-",1871.52418)</f>
        <v>1871.52418</v>
      </c>
      <c r="C73" s="47">
        <f>IF(OR(1742.30126="",1871.52418=""),"-",1871.52418/1742.30126*100)</f>
        <v>107.41679541688444</v>
      </c>
      <c r="D73" s="47">
        <f>IF(1742.30126="","-",1742.30126/1314797.53704*100)</f>
        <v>0.13251479493355592</v>
      </c>
      <c r="E73" s="47">
        <f>IF(1871.52418="","-",1871.52418/1361362.0538*100)</f>
        <v>0.13747439006221548</v>
      </c>
      <c r="F73" s="47">
        <f>IF(OR(1028187.45002="",1062.10821="",1742.30126=""),"-",(1742.30126-1062.10821)/1028187.45002*100)</f>
        <v>0.0661545761900487</v>
      </c>
      <c r="G73" s="47">
        <f>IF(OR(1314797.53704="",1871.52418="",1742.30126=""),"-",(1871.52418-1742.30126)/1314797.53704*100)</f>
        <v>0.009828351237325795</v>
      </c>
    </row>
    <row r="74" spans="1:7" ht="15.75">
      <c r="A74" s="39" t="s">
        <v>43</v>
      </c>
      <c r="B74" s="47">
        <f>IF(31912.0706="","-",31912.0706)</f>
        <v>31912.0706</v>
      </c>
      <c r="C74" s="47">
        <f>IF(OR(26743.36211="",31912.0706=""),"-",31912.0706/26743.36211*100)</f>
        <v>119.32707065304737</v>
      </c>
      <c r="D74" s="47">
        <f>IF(26743.36211="","-",26743.36211/1314797.53704*100)</f>
        <v>2.034028917502177</v>
      </c>
      <c r="E74" s="47">
        <f>IF(31912.0706="","-",31912.0706/1361362.0538*100)</f>
        <v>2.344128111322269</v>
      </c>
      <c r="F74" s="47">
        <f>IF(OR(1028187.45002="",19203.47036="",26743.36211=""),"-",(26743.36211-19203.47036)/1028187.45002*100)</f>
        <v>0.7333187883059004</v>
      </c>
      <c r="G74" s="47">
        <f>IF(OR(1314797.53704="",31912.0706="",26743.36211=""),"-",(31912.0706-26743.36211)/1314797.53704*100)</f>
        <v>0.39311820598906044</v>
      </c>
    </row>
    <row r="75" spans="1:7" ht="25.5">
      <c r="A75" s="43" t="s">
        <v>223</v>
      </c>
      <c r="B75" s="50">
        <f>IF(462.98741="","-",462.98741)</f>
        <v>462.98741</v>
      </c>
      <c r="C75" s="50">
        <f>IF(597.93267="","-",462.98741/597.93267*100)</f>
        <v>77.43136196254338</v>
      </c>
      <c r="D75" s="50">
        <f>IF(597.93267="","-",597.93267/1314797.53704*100)</f>
        <v>0.045477166875907304</v>
      </c>
      <c r="E75" s="50">
        <f>IF(462.98741="","-",462.98741/1361362.0538*100)</f>
        <v>0.03400913142155336</v>
      </c>
      <c r="F75" s="50">
        <f>IF(1028187.45002="","-",(597.93267-299.65833)/1028187.45002*100)</f>
        <v>0.029009723858640573</v>
      </c>
      <c r="G75" s="50">
        <f>IF(1314797.53704="","-",(462.98741-597.93267)/1314797.53704*100)</f>
        <v>-0.010263577181913643</v>
      </c>
    </row>
    <row r="76" ht="15.75">
      <c r="A76" s="34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81"/>
  <sheetViews>
    <sheetView zoomScale="97" zoomScaleNormal="97" zoomScalePageLayoutView="0" workbookViewId="0" topLeftCell="A1">
      <selection activeCell="A81" sqref="A81"/>
    </sheetView>
  </sheetViews>
  <sheetFormatPr defaultColWidth="9.00390625" defaultRowHeight="15.75"/>
  <cols>
    <col min="1" max="1" width="30.00390625" style="0" customWidth="1"/>
    <col min="2" max="2" width="11.00390625" style="0" customWidth="1"/>
    <col min="3" max="3" width="10.125" style="0" customWidth="1"/>
    <col min="4" max="5" width="8.125" style="0" customWidth="1"/>
    <col min="6" max="6" width="9.875" style="0" customWidth="1"/>
    <col min="7" max="7" width="9.625" style="0" customWidth="1"/>
  </cols>
  <sheetData>
    <row r="1" spans="1:7" ht="15.75">
      <c r="A1" s="72" t="s">
        <v>139</v>
      </c>
      <c r="B1" s="72"/>
      <c r="C1" s="72"/>
      <c r="D1" s="72"/>
      <c r="E1" s="72"/>
      <c r="F1" s="72"/>
      <c r="G1" s="72"/>
    </row>
    <row r="2" spans="1:7" ht="15.75">
      <c r="A2" s="72" t="s">
        <v>23</v>
      </c>
      <c r="B2" s="72"/>
      <c r="C2" s="72"/>
      <c r="D2" s="72"/>
      <c r="E2" s="72"/>
      <c r="F2" s="72"/>
      <c r="G2" s="72"/>
    </row>
    <row r="3" ht="12" customHeight="1">
      <c r="A3" s="5"/>
    </row>
    <row r="4" spans="1:7" ht="57" customHeight="1">
      <c r="A4" s="78"/>
      <c r="B4" s="63" t="s">
        <v>259</v>
      </c>
      <c r="C4" s="64"/>
      <c r="D4" s="81" t="s">
        <v>0</v>
      </c>
      <c r="E4" s="82"/>
      <c r="F4" s="75" t="s">
        <v>142</v>
      </c>
      <c r="G4" s="83"/>
    </row>
    <row r="5" spans="1:8" ht="26.25" customHeight="1">
      <c r="A5" s="79"/>
      <c r="B5" s="84" t="s">
        <v>122</v>
      </c>
      <c r="C5" s="69" t="s">
        <v>260</v>
      </c>
      <c r="D5" s="71" t="s">
        <v>261</v>
      </c>
      <c r="E5" s="71"/>
      <c r="F5" s="71" t="s">
        <v>261</v>
      </c>
      <c r="G5" s="63"/>
      <c r="H5" s="1"/>
    </row>
    <row r="6" spans="1:7" ht="22.5" customHeight="1">
      <c r="A6" s="80"/>
      <c r="B6" s="85"/>
      <c r="C6" s="70"/>
      <c r="D6" s="24">
        <v>2018</v>
      </c>
      <c r="E6" s="24">
        <v>2019</v>
      </c>
      <c r="F6" s="24" t="s">
        <v>121</v>
      </c>
      <c r="G6" s="20" t="s">
        <v>144</v>
      </c>
    </row>
    <row r="7" spans="1:7" ht="15.75">
      <c r="A7" s="41" t="s">
        <v>154</v>
      </c>
      <c r="B7" s="45">
        <f>IF(2807357.90586="","-",2807357.90586)</f>
        <v>2807357.90586</v>
      </c>
      <c r="C7" s="45">
        <f>IF(2734888.97913="","-",2807357.90586/2734888.97913*100)</f>
        <v>102.64979409705519</v>
      </c>
      <c r="D7" s="45">
        <v>100</v>
      </c>
      <c r="E7" s="45">
        <v>100</v>
      </c>
      <c r="F7" s="45">
        <f>IF(2181405.29478="","-",(2734888.97913-2181405.29478)/2181405.29478*100)</f>
        <v>25.37280374602831</v>
      </c>
      <c r="G7" s="45">
        <f>IF(2734888.97913="","-",(2807357.90586-2734888.97913)/2734888.97913*100)</f>
        <v>2.6497940970552</v>
      </c>
    </row>
    <row r="8" spans="1:7" ht="15.75">
      <c r="A8" s="42" t="s">
        <v>161</v>
      </c>
      <c r="B8" s="49"/>
      <c r="C8" s="49"/>
      <c r="D8" s="49"/>
      <c r="E8" s="49"/>
      <c r="F8" s="49"/>
      <c r="G8" s="49"/>
    </row>
    <row r="9" spans="1:7" ht="15.75">
      <c r="A9" s="32" t="s">
        <v>182</v>
      </c>
      <c r="B9" s="46">
        <f>IF(299095.47008="","-",299095.47008)</f>
        <v>299095.47008</v>
      </c>
      <c r="C9" s="46">
        <f>IF(283898.46451="","-",299095.47008/283898.46451*100)</f>
        <v>105.35297209029628</v>
      </c>
      <c r="D9" s="46">
        <f>IF(283898.46451="","-",283898.46451/2734888.97913*100)</f>
        <v>10.380621176085599</v>
      </c>
      <c r="E9" s="46">
        <f>IF(299095.47008="","-",299095.47008/2807357.90586*100)</f>
        <v>10.653984283787848</v>
      </c>
      <c r="F9" s="46">
        <f>IF(2181405.29478="","-",(283898.46451-240161.16534)/2181405.29478*100)</f>
        <v>2.005005639009922</v>
      </c>
      <c r="G9" s="46">
        <f>IF(2734888.97913="","-",(299095.47008-283898.46451)/2734888.97913*100)</f>
        <v>0.5556717543552472</v>
      </c>
    </row>
    <row r="10" spans="1:7" ht="12" customHeight="1">
      <c r="A10" s="39" t="s">
        <v>24</v>
      </c>
      <c r="B10" s="47">
        <f>IF(2451.59084="","-",2451.59084)</f>
        <v>2451.59084</v>
      </c>
      <c r="C10" s="47">
        <f>IF(OR(2611.41634="",2451.59084=""),"-",2451.59084/2611.41634*100)</f>
        <v>93.87973883934568</v>
      </c>
      <c r="D10" s="47">
        <f>IF(2611.41634="","-",2611.41634/2734888.97913*100)</f>
        <v>0.09548527782764778</v>
      </c>
      <c r="E10" s="47">
        <f>IF(2451.59084="","-",2451.59084/2807357.90586*100)</f>
        <v>0.08732733488959915</v>
      </c>
      <c r="F10" s="47">
        <f>IF(OR(2181405.29478="",3022.86354="",2611.41634=""),"-",(2611.41634-3022.86354)/2181405.29478*100)</f>
        <v>-0.018861566027394052</v>
      </c>
      <c r="G10" s="47">
        <f>IF(OR(2734888.97913="",2451.59084="",2611.41634=""),"-",(2451.59084-2611.41634)/2734888.97913*100)</f>
        <v>-0.00584394837302839</v>
      </c>
    </row>
    <row r="11" spans="1:7" ht="12.75" customHeight="1">
      <c r="A11" s="39" t="s">
        <v>183</v>
      </c>
      <c r="B11" s="47">
        <f>IF(22339.37461="","-",22339.37461)</f>
        <v>22339.37461</v>
      </c>
      <c r="C11" s="47">
        <f>IF(OR(19712.13569="",22339.37461=""),"-",22339.37461/19712.13569*100)</f>
        <v>113.3280277759695</v>
      </c>
      <c r="D11" s="47">
        <f>IF(19712.13569="","-",19712.13569/2734888.97913*100)</f>
        <v>0.7207654804426709</v>
      </c>
      <c r="E11" s="47">
        <f>IF(22339.37461="","-",22339.37461/2807357.90586*100)</f>
        <v>0.7957437334003411</v>
      </c>
      <c r="F11" s="47">
        <f>IF(OR(2181405.29478="",14334.63261="",19712.13569=""),"-",(19712.13569-14334.63261)/2181405.29478*100)</f>
        <v>0.24651554174128532</v>
      </c>
      <c r="G11" s="47">
        <f>IF(OR(2734888.97913="",22339.37461="",19712.13569=""),"-",(22339.37461-19712.13569)/2734888.97913*100)</f>
        <v>0.0960638234329993</v>
      </c>
    </row>
    <row r="12" spans="1:7" ht="14.25" customHeight="1">
      <c r="A12" s="39" t="s">
        <v>184</v>
      </c>
      <c r="B12" s="47">
        <f>IF(29826.89672="","-",29826.89672)</f>
        <v>29826.89672</v>
      </c>
      <c r="C12" s="47">
        <f>IF(OR(27713.28991="",29826.89672=""),"-",29826.89672/27713.28991*100)</f>
        <v>107.6266903599826</v>
      </c>
      <c r="D12" s="47">
        <f>IF(27713.28991="","-",27713.28991/2734888.97913*100)</f>
        <v>1.0133241283825687</v>
      </c>
      <c r="E12" s="47">
        <f>IF(29826.89672="","-",29826.89672/2807357.90586*100)</f>
        <v>1.062454368847669</v>
      </c>
      <c r="F12" s="47">
        <f>IF(OR(2181405.29478="",25157.54296="",27713.28991=""),"-",(27713.28991-25157.54296)/2181405.29478*100)</f>
        <v>0.1171605733293021</v>
      </c>
      <c r="G12" s="47">
        <f>IF(OR(2734888.97913="",29826.89672="",27713.28991=""),"-",(29826.89672-27713.28991)/2734888.97913*100)</f>
        <v>0.07728309361473108</v>
      </c>
    </row>
    <row r="13" spans="1:7" s="9" customFormat="1" ht="13.5" customHeight="1">
      <c r="A13" s="39" t="s">
        <v>185</v>
      </c>
      <c r="B13" s="47">
        <f>IF(25421.80047="","-",25421.80047)</f>
        <v>25421.80047</v>
      </c>
      <c r="C13" s="47">
        <f>IF(OR(23753.60787="",25421.80047=""),"-",25421.80047/23753.60787*100)</f>
        <v>107.02290199084608</v>
      </c>
      <c r="D13" s="47">
        <f>IF(23753.60787="","-",23753.60787/2734888.97913*100)</f>
        <v>0.8685401144713487</v>
      </c>
      <c r="E13" s="47">
        <f>IF(25421.80047="","-",25421.80047/2807357.90586*100)</f>
        <v>0.9055418412071808</v>
      </c>
      <c r="F13" s="47">
        <f>IF(OR(2181405.29478="",20163.46374="",23753.60787=""),"-",(23753.60787-20163.46374)/2181405.29478*100)</f>
        <v>0.16457941761629744</v>
      </c>
      <c r="G13" s="47">
        <f>IF(OR(2734888.97913="",25421.80047="",23753.60787=""),"-",(25421.80047-23753.60787)/2734888.97913*100)</f>
        <v>0.06099672099050507</v>
      </c>
    </row>
    <row r="14" spans="1:7" s="9" customFormat="1" ht="13.5" customHeight="1">
      <c r="A14" s="39" t="s">
        <v>186</v>
      </c>
      <c r="B14" s="47">
        <f>IF(43770.58702="","-",43770.58702)</f>
        <v>43770.58702</v>
      </c>
      <c r="C14" s="47">
        <f>IF(OR(42256.74645="",43770.58702=""),"-",43770.58702/42256.74645*100)</f>
        <v>103.58248255527964</v>
      </c>
      <c r="D14" s="47">
        <f>IF(42256.74645="","-",42256.74645/2734888.97913*100)</f>
        <v>1.545099152925848</v>
      </c>
      <c r="E14" s="47">
        <f>IF(43770.58702="","-",43770.58702/2807357.90586*100)</f>
        <v>1.5591381109132723</v>
      </c>
      <c r="F14" s="47">
        <f>IF(OR(2181405.29478="",33455.95561="",42256.74645=""),"-",(42256.74645-33455.95561)/2181405.29478*100)</f>
        <v>0.4034459282307547</v>
      </c>
      <c r="G14" s="47">
        <f>IF(OR(2734888.97913="",43770.58702="",42256.74645=""),"-",(43770.58702-42256.74645)/2734888.97913*100)</f>
        <v>0.055352907615342055</v>
      </c>
    </row>
    <row r="15" spans="1:7" s="9" customFormat="1" ht="14.25" customHeight="1">
      <c r="A15" s="39" t="s">
        <v>187</v>
      </c>
      <c r="B15" s="47">
        <f>IF(92920.37041="","-",92920.37041)</f>
        <v>92920.37041</v>
      </c>
      <c r="C15" s="47">
        <f>IF(OR(84990.98504="",92920.37041=""),"-",92920.37041/84990.98504*100)</f>
        <v>109.32967816088745</v>
      </c>
      <c r="D15" s="47">
        <f>IF(84990.98504="","-",84990.98504/2734888.97913*100)</f>
        <v>3.1076575937293303</v>
      </c>
      <c r="E15" s="47">
        <f>IF(92920.37041="","-",92920.37041/2807357.90586*100)</f>
        <v>3.309886858958761</v>
      </c>
      <c r="F15" s="47">
        <f>IF(OR(2181405.29478="",56962.13377="",84990.98504=""),"-",(84990.98504-56962.13377)/2181405.29478*100)</f>
        <v>1.2848988373261823</v>
      </c>
      <c r="G15" s="47">
        <f>IF(OR(2734888.97913="",92920.37041="",84990.98504=""),"-",(92920.37041-84990.98504)/2734888.97913*100)</f>
        <v>0.2899344518373259</v>
      </c>
    </row>
    <row r="16" spans="1:7" s="9" customFormat="1" ht="15.75">
      <c r="A16" s="39" t="s">
        <v>25</v>
      </c>
      <c r="B16" s="47">
        <f>IF(7689.98836="","-",7689.98836)</f>
        <v>7689.98836</v>
      </c>
      <c r="C16" s="47">
        <f>IF(OR(8035.32404="",7689.98836=""),"-",7689.98836/8035.32404*100)</f>
        <v>95.7022806014927</v>
      </c>
      <c r="D16" s="47">
        <f>IF(8035.32404="","-",8035.32404/2734888.97913*100)</f>
        <v>0.29380805222141526</v>
      </c>
      <c r="E16" s="47">
        <f>IF(7689.98836="","-",7689.98836/2807357.90586*100)</f>
        <v>0.2739226211217364</v>
      </c>
      <c r="F16" s="47">
        <f>IF(OR(2181405.29478="",19281.0434="",8035.32404=""),"-",(8035.32404-19281.0434)/2181405.29478*100)</f>
        <v>-0.5155263621533548</v>
      </c>
      <c r="G16" s="47">
        <f>IF(OR(2734888.97913="",7689.98836="",8035.32404=""),"-",(7689.98836-8035.32404)/2734888.97913*100)</f>
        <v>-0.012627045654696207</v>
      </c>
    </row>
    <row r="17" spans="1:7" s="9" customFormat="1" ht="25.5">
      <c r="A17" s="39" t="s">
        <v>188</v>
      </c>
      <c r="B17" s="47">
        <f>IF(23986.23132="","-",23986.23132)</f>
        <v>23986.23132</v>
      </c>
      <c r="C17" s="47">
        <f>IF(OR(23999.86865="",23986.23132=""),"-",23986.23132/23999.86865*100)</f>
        <v>99.94317748068174</v>
      </c>
      <c r="D17" s="47">
        <f>IF(23999.86865="","-",23999.86865/2734888.97913*100)</f>
        <v>0.8775445304414017</v>
      </c>
      <c r="E17" s="47">
        <f>IF(23986.23132="","-",23986.23132/2807357.90586*100)</f>
        <v>0.8544058906750656</v>
      </c>
      <c r="F17" s="47">
        <f>IF(OR(2181405.29478="",20927.277="",23999.86865=""),"-",(23999.86865-20927.277)/2181405.29478*100)</f>
        <v>0.14085377244442238</v>
      </c>
      <c r="G17" s="47">
        <f>IF(OR(2734888.97913="",23986.23132="",23999.86865=""),"-",(23986.23132-23999.86865)/2734888.97913*100)</f>
        <v>-0.0004986429103363303</v>
      </c>
    </row>
    <row r="18" spans="1:7" s="9" customFormat="1" ht="25.5">
      <c r="A18" s="39" t="s">
        <v>26</v>
      </c>
      <c r="B18" s="47">
        <f>IF(16345.09126="","-",16345.09126)</f>
        <v>16345.09126</v>
      </c>
      <c r="C18" s="47">
        <f>IF(OR(18652.80765="",16345.09126=""),"-",16345.09126/18652.80765*100)</f>
        <v>87.62804810245282</v>
      </c>
      <c r="D18" s="47">
        <f>IF(18652.80765="","-",18652.80765/2734888.97913*100)</f>
        <v>0.6820316214786047</v>
      </c>
      <c r="E18" s="47">
        <f>IF(16345.09126="","-",16345.09126/2807357.90586*100)</f>
        <v>0.5822232792577575</v>
      </c>
      <c r="F18" s="47">
        <f>IF(OR(2181405.29478="",14672.33303="",18652.80765=""),"-",(18652.80765-14672.33303)/2181405.29478*100)</f>
        <v>0.18247295124501106</v>
      </c>
      <c r="G18" s="47">
        <f>IF(OR(2734888.97913="",16345.09126="",18652.80765=""),"-",(16345.09126-18652.80765)/2734888.97913*100)</f>
        <v>-0.084380624135394</v>
      </c>
    </row>
    <row r="19" spans="1:7" s="9" customFormat="1" ht="15.75">
      <c r="A19" s="39" t="s">
        <v>189</v>
      </c>
      <c r="B19" s="47">
        <f>IF(34343.53907="","-",34343.53907)</f>
        <v>34343.53907</v>
      </c>
      <c r="C19" s="47">
        <f>IF(OR(32172.28287="",34343.53907=""),"-",34343.53907/32172.28287*100)</f>
        <v>106.74884094726349</v>
      </c>
      <c r="D19" s="47">
        <f>IF(32172.28287="","-",32172.28287/2734888.97913*100)</f>
        <v>1.1763652241647622</v>
      </c>
      <c r="E19" s="47">
        <f>IF(34343.53907="","-",34343.53907/2807357.90586*100)</f>
        <v>1.2233402445164638</v>
      </c>
      <c r="F19" s="47">
        <f>IF(OR(2181405.29478="",32183.91968="",32172.28287=""),"-",(32172.28287-32183.91968)/2181405.29478*100)</f>
        <v>-0.0005334547425848055</v>
      </c>
      <c r="G19" s="47">
        <f>IF(OR(2734888.97913="",34343.53907="",32172.28287=""),"-",(34343.53907-32172.28287)/2734888.97913*100)</f>
        <v>0.0793910179377995</v>
      </c>
    </row>
    <row r="20" spans="1:7" s="9" customFormat="1" ht="15.75">
      <c r="A20" s="32" t="s">
        <v>190</v>
      </c>
      <c r="B20" s="46">
        <f>IF(56683.04337="","-",56683.04337)</f>
        <v>56683.04337</v>
      </c>
      <c r="C20" s="46">
        <f>IF(48482.27748="","-",56683.04337/48482.27748*100)</f>
        <v>116.9149765981662</v>
      </c>
      <c r="D20" s="46">
        <f>IF(48482.27748="","-",48482.27748/2734888.97913*100)</f>
        <v>1.7727329280994353</v>
      </c>
      <c r="E20" s="46">
        <f>IF(56683.04337="","-",56683.04337/2807357.90586*100)</f>
        <v>2.0190885975629045</v>
      </c>
      <c r="F20" s="46">
        <f>IF(2181405.29478="","-",(48482.27748-48509.58902)/2181405.29478*100)</f>
        <v>-0.0012520158480112636</v>
      </c>
      <c r="G20" s="46">
        <f>IF(2734888.97913="","-",(56683.04337-48482.27748)/2734888.97913*100)</f>
        <v>0.29985735993600593</v>
      </c>
    </row>
    <row r="21" spans="1:7" s="9" customFormat="1" ht="13.5" customHeight="1">
      <c r="A21" s="39" t="s">
        <v>240</v>
      </c>
      <c r="B21" s="47">
        <f>IF(29283.5554="","-",29283.5554)</f>
        <v>29283.5554</v>
      </c>
      <c r="C21" s="47">
        <f>IF(OR(28151.25174="",29283.5554=""),"-",29283.5554/28151.25174*100)</f>
        <v>104.02221425341138</v>
      </c>
      <c r="D21" s="47">
        <f>IF(28151.25174="","-",28151.25174/2734888.97913*100)</f>
        <v>1.0293380080443062</v>
      </c>
      <c r="E21" s="47">
        <f>IF(29283.5554="","-",29283.5554/2807357.90586*100)</f>
        <v>1.0431001810946277</v>
      </c>
      <c r="F21" s="47">
        <f>IF(OR(2181405.29478="",23096.57192="",28151.25174=""),"-",(28151.25174-23096.57192)/2181405.29478*100)</f>
        <v>0.2317166751220239</v>
      </c>
      <c r="G21" s="47">
        <f>IF(OR(2734888.97913="",29283.5554="",28151.25174=""),"-",(29283.5554-28151.25174)/2734888.97913*100)</f>
        <v>0.04140218007533894</v>
      </c>
    </row>
    <row r="22" spans="1:7" s="9" customFormat="1" ht="13.5" customHeight="1">
      <c r="A22" s="39" t="s">
        <v>191</v>
      </c>
      <c r="B22" s="47">
        <f>IF(27399.48797="","-",27399.48797)</f>
        <v>27399.48797</v>
      </c>
      <c r="C22" s="47">
        <f>IF(OR(20331.02574="",27399.48797=""),"-",27399.48797/20331.02574*100)</f>
        <v>134.76687462990736</v>
      </c>
      <c r="D22" s="47">
        <f>IF(20331.02574="","-",20331.02574/2734888.97913*100)</f>
        <v>0.7433949200551291</v>
      </c>
      <c r="E22" s="47">
        <f>IF(27399.48797="","-",27399.48797/2807357.90586*100)</f>
        <v>0.975988416468277</v>
      </c>
      <c r="F22" s="47">
        <f>IF(OR(2181405.29478="",25413.0171="",20331.02574=""),"-",(20331.02574-25413.0171)/2181405.29478*100)</f>
        <v>-0.23296869097003503</v>
      </c>
      <c r="G22" s="47">
        <f>IF(OR(2734888.97913="",27399.48797="",20331.02574=""),"-",(27399.48797-20331.02574)/2734888.97913*100)</f>
        <v>0.25845517986066685</v>
      </c>
    </row>
    <row r="23" spans="1:7" s="9" customFormat="1" ht="15" customHeight="1">
      <c r="A23" s="32" t="s">
        <v>27</v>
      </c>
      <c r="B23" s="46">
        <f>IF(82372.04942="","-",82372.04942)</f>
        <v>82372.04942</v>
      </c>
      <c r="C23" s="46">
        <f>IF(77660.84096="","-",82372.04942/77660.84096*100)</f>
        <v>106.06638867383182</v>
      </c>
      <c r="D23" s="46">
        <f>IF(77660.84096="","-",77660.84096/2734888.97913*100)</f>
        <v>2.8396341333279578</v>
      </c>
      <c r="E23" s="46">
        <f>IF(82372.04942="","-",82372.04942/2807357.90586*100)</f>
        <v>2.934148483456951</v>
      </c>
      <c r="F23" s="46">
        <f>IF(2181405.29478="","-",(77660.84096-60840.71006)/2181405.29478*100)</f>
        <v>0.7710685831857924</v>
      </c>
      <c r="G23" s="46">
        <f>IF(2734888.97913="","-",(82372.04942-77660.84096)/2734888.97913*100)</f>
        <v>0.17226324344247</v>
      </c>
    </row>
    <row r="24" spans="1:7" s="9" customFormat="1" ht="15.75">
      <c r="A24" s="39" t="s">
        <v>224</v>
      </c>
      <c r="B24" s="47">
        <f>IF(25072.21105="","-",25072.21105)</f>
        <v>25072.21105</v>
      </c>
      <c r="C24" s="47">
        <f>IF(OR(28721.84414="",25072.21105=""),"-",25072.21105/28721.84414*100)</f>
        <v>87.29317981042425</v>
      </c>
      <c r="D24" s="47">
        <f>IF(28721.84414="","-",28721.84414/2734888.97913*100)</f>
        <v>1.0502014655504135</v>
      </c>
      <c r="E24" s="47">
        <f>IF(25072.21105="","-",25072.21105/2807357.90586*100)</f>
        <v>0.8930892280483715</v>
      </c>
      <c r="F24" s="47">
        <f>IF(OR(2181405.29478="",21497.79453="",28721.84414=""),"-",(28721.84414-21497.79453)/2181405.29478*100)</f>
        <v>0.3311649434099574</v>
      </c>
      <c r="G24" s="47">
        <f>IF(OR(2734888.97913="",25072.21105="",28721.84414=""),"-",(25072.21105-28721.84414)/2734888.97913*100)</f>
        <v>-0.13344721185578035</v>
      </c>
    </row>
    <row r="25" spans="1:7" s="9" customFormat="1" ht="25.5">
      <c r="A25" s="39" t="s">
        <v>225</v>
      </c>
      <c r="B25" s="47">
        <f>IF(706.78843="","-",706.78843)</f>
        <v>706.78843</v>
      </c>
      <c r="C25" s="47" t="s">
        <v>113</v>
      </c>
      <c r="D25" s="47">
        <f>IF(383.055="","-",383.055/2734888.97913*100)</f>
        <v>0.014006235826137785</v>
      </c>
      <c r="E25" s="47">
        <f>IF(706.78843="","-",706.78843/2807357.90586*100)</f>
        <v>0.025176285094418126</v>
      </c>
      <c r="F25" s="47">
        <f>IF(OR(2181405.29478="",304.36491="",383.055=""),"-",(383.055-304.36491)/2181405.29478*100)</f>
        <v>0.003607311772292002</v>
      </c>
      <c r="G25" s="47">
        <f>IF(OR(2734888.97913="",706.78843="",383.055=""),"-",(706.78843-383.055)/2734888.97913*100)</f>
        <v>0.011837168984570018</v>
      </c>
    </row>
    <row r="26" spans="1:7" s="9" customFormat="1" ht="15.75">
      <c r="A26" s="39" t="s">
        <v>193</v>
      </c>
      <c r="B26" s="47">
        <f>IF(17210.18843="","-",17210.18843)</f>
        <v>17210.18843</v>
      </c>
      <c r="C26" s="47">
        <f>IF(OR(14830.62079="",17210.18843=""),"-",17210.18843/14830.62079*100)</f>
        <v>116.04496314547058</v>
      </c>
      <c r="D26" s="47">
        <f>IF(14830.62079="","-",14830.62079/2734888.97913*100)</f>
        <v>0.5422750577143279</v>
      </c>
      <c r="E26" s="47">
        <f>IF(17210.18843="","-",17210.18843/2807357.90586*100)</f>
        <v>0.6130386294556863</v>
      </c>
      <c r="F26" s="47">
        <f>IF(OR(2181405.29478="",13825.34097="",14830.62079=""),"-",(14830.62079-13825.34097)/2181405.29478*100)</f>
        <v>0.04608404602324881</v>
      </c>
      <c r="G26" s="47">
        <f>IF(OR(2734888.97913="",17210.18843="",14830.62079=""),"-",(17210.18843-14830.62079)/2734888.97913*100)</f>
        <v>0.08700783315734321</v>
      </c>
    </row>
    <row r="27" spans="1:7" s="9" customFormat="1" ht="15.75">
      <c r="A27" s="39" t="s">
        <v>241</v>
      </c>
      <c r="B27" s="47">
        <f>IF(238.17438="","-",238.17438)</f>
        <v>238.17438</v>
      </c>
      <c r="C27" s="47">
        <f>IF(OR(235.226="",238.17438=""),"-",238.17438/235.226*100)</f>
        <v>101.25342436635407</v>
      </c>
      <c r="D27" s="47">
        <f>IF(235.226="","-",235.226/2734888.97913*100)</f>
        <v>0.008600934143762872</v>
      </c>
      <c r="E27" s="47">
        <f>IF(238.17438="","-",238.17438/2807357.90586*100)</f>
        <v>0.008483933576935151</v>
      </c>
      <c r="F27" s="47">
        <f>IF(OR(2181405.29478="",244.1903="",235.226=""),"-",(235.226-244.1903)/2181405.29478*100)</f>
        <v>-0.000410941516528412</v>
      </c>
      <c r="G27" s="47">
        <f>IF(OR(2734888.97913="",238.17438="",235.226=""),"-",(238.17438-235.226)/2734888.97913*100)</f>
        <v>0.00010780620429199026</v>
      </c>
    </row>
    <row r="28" spans="1:7" s="9" customFormat="1" ht="26.25" customHeight="1">
      <c r="A28" s="39" t="s">
        <v>226</v>
      </c>
      <c r="B28" s="47">
        <f>IF(3672.4226="","-",3672.4226)</f>
        <v>3672.4226</v>
      </c>
      <c r="C28" s="47">
        <f>IF(OR(4357.8817="",3672.4226=""),"-",3672.4226/4357.8817*100)</f>
        <v>84.27081900823512</v>
      </c>
      <c r="D28" s="47">
        <f>IF(4357.8817="","-",4357.8817/2734888.97913*100)</f>
        <v>0.1593440074992109</v>
      </c>
      <c r="E28" s="47">
        <f>IF(3672.4226="","-",3672.4226/2807357.90586*100)</f>
        <v>0.1308141933856844</v>
      </c>
      <c r="F28" s="47">
        <f>IF(OR(2181405.29478="",4026.85854="",4357.8817=""),"-",(4357.8817-4026.85854)/2181405.29478*100)</f>
        <v>0.015174766504515347</v>
      </c>
      <c r="G28" s="47">
        <f>IF(OR(2734888.97913="",3672.4226="",4357.8817=""),"-",(3672.4226-4357.8817)/2734888.97913*100)</f>
        <v>-0.02506350733908228</v>
      </c>
    </row>
    <row r="29" spans="1:7" s="9" customFormat="1" ht="38.25">
      <c r="A29" s="39" t="s">
        <v>279</v>
      </c>
      <c r="B29" s="47">
        <f>IF(13696.67135="","-",13696.67135)</f>
        <v>13696.67135</v>
      </c>
      <c r="C29" s="47" t="s">
        <v>104</v>
      </c>
      <c r="D29" s="47">
        <f>IF(6496.47929="","-",6496.47929/2734888.97913*100)</f>
        <v>0.2375408778774854</v>
      </c>
      <c r="E29" s="47">
        <f>IF(13696.67135="","-",13696.67135/2807357.90586*100)</f>
        <v>0.4878847588834311</v>
      </c>
      <c r="F29" s="47">
        <f>IF(OR(2181405.29478="",4531.63825="",6496.47929=""),"-",(6496.47929-4531.63825)/2181405.29478*100)</f>
        <v>0.09007225959805691</v>
      </c>
      <c r="G29" s="47">
        <f>IF(OR(2734888.97913="",13696.67135="",6496.47929=""),"-",(13696.67135-6496.47929)/2734888.97913*100)</f>
        <v>0.26327182254727083</v>
      </c>
    </row>
    <row r="30" spans="1:7" s="9" customFormat="1" ht="15.75">
      <c r="A30" s="39" t="s">
        <v>195</v>
      </c>
      <c r="B30" s="47">
        <f>IF(674.86985="","-",674.86985)</f>
        <v>674.86985</v>
      </c>
      <c r="C30" s="47">
        <f>IF(OR(520.96653="",674.86985=""),"-",674.86985/520.96653*100)</f>
        <v>129.5418824698777</v>
      </c>
      <c r="D30" s="47">
        <f>IF(520.96653="","-",520.96653/2734888.97913*100)</f>
        <v>0.01904890962578399</v>
      </c>
      <c r="E30" s="47">
        <f>IF(674.86985="","-",674.86985/2807357.90586*100)</f>
        <v>0.02403932354301159</v>
      </c>
      <c r="F30" s="47">
        <f>IF(OR(2181405.29478="",549.58713="",520.96653=""),"-",(520.96653-549.58713)/2181405.29478*100)</f>
        <v>-0.0013120257876190046</v>
      </c>
      <c r="G30" s="47">
        <f>IF(OR(2734888.97913="",674.86985="",520.96653=""),"-",(674.86985-520.96653)/2734888.97913*100)</f>
        <v>0.005627406493442321</v>
      </c>
    </row>
    <row r="31" spans="1:7" s="9" customFormat="1" ht="25.5">
      <c r="A31" s="39" t="s">
        <v>28</v>
      </c>
      <c r="B31" s="47">
        <f>IF(21100.72333="","-",21100.72333)</f>
        <v>21100.72333</v>
      </c>
      <c r="C31" s="47">
        <f>IF(OR(22075.19453="",21100.72333=""),"-",21100.72333/22075.19453*100)</f>
        <v>95.58567332815254</v>
      </c>
      <c r="D31" s="47">
        <f>IF(22075.19453="","-",22075.19453/2734888.97913*100)</f>
        <v>0.8071696766653532</v>
      </c>
      <c r="E31" s="47">
        <f>IF(21100.72333="","-",21100.72333/2807357.90586*100)</f>
        <v>0.7516221314694127</v>
      </c>
      <c r="F31" s="47">
        <f>IF(OR(2181405.29478="",15834.03456="",22075.19453=""),"-",(22075.19453-15834.03456)/2181405.29478*100)</f>
        <v>0.2861073082079154</v>
      </c>
      <c r="G31" s="47">
        <f>IF(OR(2734888.97913="",21100.72333="",22075.19453=""),"-",(21100.72333-22075.19453)/2734888.97913*100)</f>
        <v>-0.03563110632410353</v>
      </c>
    </row>
    <row r="32" spans="1:7" s="9" customFormat="1" ht="25.5">
      <c r="A32" s="32" t="s">
        <v>196</v>
      </c>
      <c r="B32" s="46">
        <f>IF(455285.09006="","-",455285.09006)</f>
        <v>455285.09006</v>
      </c>
      <c r="C32" s="46">
        <f>IF(438522.46594="","-",455285.09006/438522.46594*100)</f>
        <v>103.82252345591195</v>
      </c>
      <c r="D32" s="46">
        <f>IF(438522.46594="","-",438522.46594/2734888.97913*100)</f>
        <v>16.034379065708883</v>
      </c>
      <c r="E32" s="46">
        <f>IF(455285.09006="","-",455285.09006/2807357.90586*100)</f>
        <v>16.217564889380537</v>
      </c>
      <c r="F32" s="46">
        <f>IF(2181405.29478="","-",(438522.46594-347674.1519)/2181405.29478*100)</f>
        <v>4.164669181714913</v>
      </c>
      <c r="G32" s="46">
        <f>IF(2734888.97913="","-",(455285.09006-438522.46594)/2734888.97913*100)</f>
        <v>0.6129179007965574</v>
      </c>
    </row>
    <row r="33" spans="1:7" s="9" customFormat="1" ht="13.5" customHeight="1">
      <c r="A33" s="39" t="s">
        <v>280</v>
      </c>
      <c r="B33" s="47">
        <f>IF(8557.23921="","-",8557.23921)</f>
        <v>8557.23921</v>
      </c>
      <c r="C33" s="47" t="s">
        <v>114</v>
      </c>
      <c r="D33" s="47">
        <f>IF(5152.06425="","-",5152.06425/2734888.97913*100)</f>
        <v>0.18838293946538673</v>
      </c>
      <c r="E33" s="47">
        <f>IF(8557.23921="","-",8557.23921/2807357.90586*100)</f>
        <v>0.30481468686760105</v>
      </c>
      <c r="F33" s="47">
        <f>IF(OR(2181405.29478="",9320.95682="",5152.06425=""),"-",(5152.06425-9320.95682)/2181405.29478*100)</f>
        <v>-0.19111040850482772</v>
      </c>
      <c r="G33" s="47">
        <f>IF(OR(2734888.97913="",8557.23921="",5152.06425=""),"-",(8557.23921-5152.06425)/2734888.97913*100)</f>
        <v>0.12450870898178928</v>
      </c>
    </row>
    <row r="34" spans="1:7" s="9" customFormat="1" ht="25.5">
      <c r="A34" s="39" t="s">
        <v>197</v>
      </c>
      <c r="B34" s="47">
        <f>IF(266270.01817="","-",266270.01817)</f>
        <v>266270.01817</v>
      </c>
      <c r="C34" s="47">
        <f>IF(OR(272973.48491="",266270.01817=""),"-",266270.01817/272973.48491*100)</f>
        <v>97.54427916608451</v>
      </c>
      <c r="D34" s="47">
        <f>IF(272973.48491="","-",272973.48491/2734888.97913*100)</f>
        <v>9.981154152620705</v>
      </c>
      <c r="E34" s="47">
        <f>IF(266270.01817="","-",266270.01817/2807357.90586*100)</f>
        <v>9.484719337502193</v>
      </c>
      <c r="F34" s="47">
        <f>IF(OR(2181405.29478="",199787.25595="",272973.48491=""),"-",(272973.48491-199787.25595)/2181405.29478*100)</f>
        <v>3.355003727878134</v>
      </c>
      <c r="G34" s="47">
        <f>IF(OR(2734888.97913="",266270.01817="",272973.48491=""),"-",(266270.01817-272973.48491)/2734888.97913*100)</f>
        <v>-0.24510928199112691</v>
      </c>
    </row>
    <row r="35" spans="1:7" s="9" customFormat="1" ht="15.75" customHeight="1">
      <c r="A35" s="39" t="s">
        <v>227</v>
      </c>
      <c r="B35" s="47">
        <f>IF(158696.34379="","-",158696.34379)</f>
        <v>158696.34379</v>
      </c>
      <c r="C35" s="47">
        <f>IF(OR(137314.65166="",158696.34379=""),"-",158696.34379/137314.65166*100)</f>
        <v>115.57131148898986</v>
      </c>
      <c r="D35" s="47">
        <f>IF(137314.65166="","-",137314.65166/2734888.97913*100)</f>
        <v>5.020849208426785</v>
      </c>
      <c r="E35" s="47">
        <f>IF(158696.34379="","-",158696.34379/2807357.90586*100)</f>
        <v>5.652871814411043</v>
      </c>
      <c r="F35" s="47">
        <f>IF(OR(2181405.29478="",103878.57312="",137314.65166=""),"-",(137314.65166-103878.57312)/2181405.29478*100)</f>
        <v>1.5327769956372144</v>
      </c>
      <c r="G35" s="47">
        <f>IF(OR(2734888.97913="",158696.34379="",137314.65166=""),"-",(158696.34379-137314.65166)/2734888.97913*100)</f>
        <v>0.7818120696366174</v>
      </c>
    </row>
    <row r="36" spans="1:7" s="9" customFormat="1" ht="15.75">
      <c r="A36" s="39" t="s">
        <v>29</v>
      </c>
      <c r="B36" s="47">
        <f>IF(21761.48889="","-",21761.48889)</f>
        <v>21761.48889</v>
      </c>
      <c r="C36" s="47">
        <f>IF(OR(23082.26512="",21761.48889=""),"-",21761.48889/23082.26512*100)</f>
        <v>94.27796092310025</v>
      </c>
      <c r="D36" s="47">
        <f>IF(23082.26512="","-",23082.26512/2734888.97913*100)</f>
        <v>0.8439927651960022</v>
      </c>
      <c r="E36" s="47">
        <f>IF(21761.48889="","-",21761.48889/2807357.90586*100)</f>
        <v>0.7751590505997003</v>
      </c>
      <c r="F36" s="47">
        <f>IF(OR(2181405.29478="",34687.3660099999="",23082.26512=""),"-",(23082.26512-34687.3660099999)/2181405.29478*100)</f>
        <v>-0.5320011332956036</v>
      </c>
      <c r="G36" s="47">
        <f>IF(OR(2734888.97913="",21761.48889="",23082.26512=""),"-",(21761.48889-23082.26512)/2734888.97913*100)</f>
        <v>-0.048293595830721944</v>
      </c>
    </row>
    <row r="37" spans="1:7" s="9" customFormat="1" ht="25.5">
      <c r="A37" s="32" t="s">
        <v>198</v>
      </c>
      <c r="B37" s="46">
        <f>IF(5349.10877="","-",5349.10877)</f>
        <v>5349.10877</v>
      </c>
      <c r="C37" s="46">
        <f>IF(5793.41385="","-",5349.10877/5793.41385*100)</f>
        <v>92.33085894597363</v>
      </c>
      <c r="D37" s="46">
        <f>IF(5793.41385="","-",5793.41385/2734888.97913*100)</f>
        <v>0.21183360254144404</v>
      </c>
      <c r="E37" s="46">
        <f>IF(5349.10877="","-",5349.10877/2807357.90586*100)</f>
        <v>0.19053889633503518</v>
      </c>
      <c r="F37" s="46">
        <f>IF(2181405.29478="","-",(5793.41385-6616.43307)/2181405.29478*100)</f>
        <v>-0.03772885405428538</v>
      </c>
      <c r="G37" s="46">
        <f>IF(2734888.97913="","-",(5349.10877-5793.41385)/2734888.97913*100)</f>
        <v>-0.016245817778728945</v>
      </c>
    </row>
    <row r="38" spans="1:7" s="9" customFormat="1" ht="15.75">
      <c r="A38" s="39" t="s">
        <v>228</v>
      </c>
      <c r="B38" s="47">
        <f>IF(677.82758="","-",677.82758)</f>
        <v>677.82758</v>
      </c>
      <c r="C38" s="47">
        <f>IF(OR(703.65119="",677.82758=""),"-",677.82758/703.65119*100)</f>
        <v>96.33005523660097</v>
      </c>
      <c r="D38" s="47">
        <f>IF(703.65119="","-",703.65119/2734888.97913*100)</f>
        <v>0.025728693024454678</v>
      </c>
      <c r="E38" s="47">
        <f>IF(677.82758="","-",677.82758/2807357.90586*100)</f>
        <v>0.02414467989938589</v>
      </c>
      <c r="F38" s="47">
        <f>IF(OR(2181405.29478="",471.76899="",703.65119=""),"-",(703.65119-471.76899)/2181405.29478*100)</f>
        <v>0.010629945776462688</v>
      </c>
      <c r="G38" s="47">
        <f>IF(OR(2734888.97913="",677.82758="",703.65119=""),"-",(677.82758-703.65119)/2734888.97913*100)</f>
        <v>-0.0009442288223419884</v>
      </c>
    </row>
    <row r="39" spans="1:7" s="9" customFormat="1" ht="25.5">
      <c r="A39" s="39" t="s">
        <v>199</v>
      </c>
      <c r="B39" s="47">
        <f>IF(3373.70589="","-",3373.70589)</f>
        <v>3373.70589</v>
      </c>
      <c r="C39" s="47">
        <f>IF(OR(3621.59224="",3373.70589=""),"-",3373.70589/3621.59224*100)</f>
        <v>93.15532137323113</v>
      </c>
      <c r="D39" s="47">
        <f>IF(3621.59224="","-",3621.59224/2734888.97913*100)</f>
        <v>0.1324219106382911</v>
      </c>
      <c r="E39" s="47">
        <f>IF(3373.70589="","-",3373.70589/2807357.90586*100)</f>
        <v>0.12017370079382544</v>
      </c>
      <c r="F39" s="47">
        <f>IF(OR(2181405.29478="",5024.21674="",3621.59224=""),"-",(3621.59224-5024.21674)/2181405.29478*100)</f>
        <v>-0.06429912420935321</v>
      </c>
      <c r="G39" s="47">
        <f>IF(OR(2734888.97913="",3373.70589="",3621.59224=""),"-",(3373.70589-3621.59224)/2734888.97913*100)</f>
        <v>-0.009063854214618075</v>
      </c>
    </row>
    <row r="40" spans="1:7" s="9" customFormat="1" ht="63.75">
      <c r="A40" s="39" t="s">
        <v>229</v>
      </c>
      <c r="B40" s="47">
        <f>IF(1297.5753="","-",1297.5753)</f>
        <v>1297.5753</v>
      </c>
      <c r="C40" s="47">
        <f>IF(OR(1468.17042="",1297.5753=""),"-",1297.5753/1468.17042*100)</f>
        <v>88.38042793424485</v>
      </c>
      <c r="D40" s="47">
        <f>IF(1468.17042="","-",1468.17042/2734888.97913*100)</f>
        <v>0.05368299887869825</v>
      </c>
      <c r="E40" s="47">
        <f>IF(1297.5753="","-",1297.5753/2807357.90586*100)</f>
        <v>0.04622051564182386</v>
      </c>
      <c r="F40" s="47">
        <f>IF(OR(2181405.29478="",1120.44734="",1468.17042=""),"-",(1468.17042-1120.44734)/2181405.29478*100)</f>
        <v>0.015940324378605153</v>
      </c>
      <c r="G40" s="47">
        <f>IF(OR(2734888.97913="",1297.5753="",1468.17042=""),"-",(1297.5753-1468.17042)/2734888.97913*100)</f>
        <v>-0.0062377347417688685</v>
      </c>
    </row>
    <row r="41" spans="1:7" s="9" customFormat="1" ht="25.5">
      <c r="A41" s="32" t="s">
        <v>200</v>
      </c>
      <c r="B41" s="46">
        <f>IF(422754.17986="","-",422754.17986)</f>
        <v>422754.17986</v>
      </c>
      <c r="C41" s="46">
        <f>IF(409161.38552="","-",422754.17986/409161.38552*100)</f>
        <v>103.32211074188366</v>
      </c>
      <c r="D41" s="46">
        <f>IF(409161.38552="","-",409161.38552/2734888.97913*100)</f>
        <v>14.960804209688943</v>
      </c>
      <c r="E41" s="46">
        <f>IF(422754.17986="","-",422754.17986/2807357.90586*100)</f>
        <v>15.058791719344185</v>
      </c>
      <c r="F41" s="46">
        <f>IF(2181405.29478="","-",(409161.38552-354564.97134)/2181405.29478*100)</f>
        <v>2.5028092812760043</v>
      </c>
      <c r="G41" s="46">
        <f>IF(2734888.97913="","-",(422754.17986-409161.38552)/2734888.97913*100)</f>
        <v>0.4970144837222603</v>
      </c>
    </row>
    <row r="42" spans="1:7" s="9" customFormat="1" ht="14.25" customHeight="1">
      <c r="A42" s="39" t="s">
        <v>30</v>
      </c>
      <c r="B42" s="47">
        <f>IF(10576.56015="","-",10576.56015)</f>
        <v>10576.56015</v>
      </c>
      <c r="C42" s="47">
        <f>IF(OR(10604.51029="",10576.56015=""),"-",10576.56015/10604.51029*100)</f>
        <v>99.73643158207544</v>
      </c>
      <c r="D42" s="47">
        <f>IF(10604.51029="","-",10604.51029/2734888.97913*100)</f>
        <v>0.3877492055773839</v>
      </c>
      <c r="E42" s="47">
        <f>IF(10576.56015="","-",10576.56015/2807357.90586*100)</f>
        <v>0.37674427360767876</v>
      </c>
      <c r="F42" s="47">
        <f>IF(OR(2181405.29478="",9446.46244="",10604.51029=""),"-",(10604.51029-9446.46244)/2181405.29478*100)</f>
        <v>0.05308723934846746</v>
      </c>
      <c r="G42" s="47">
        <f>IF(OR(2734888.97913="",10576.56015="",10604.51029=""),"-",(10576.56015-10604.51029)/2734888.97913*100)</f>
        <v>-0.0010219844466553846</v>
      </c>
    </row>
    <row r="43" spans="1:7" s="9" customFormat="1" ht="14.25" customHeight="1">
      <c r="A43" s="39" t="s">
        <v>31</v>
      </c>
      <c r="B43" s="47">
        <f>IF(8058.42972="","-",8058.42972)</f>
        <v>8058.42972</v>
      </c>
      <c r="C43" s="47">
        <f>IF(OR(6911.55378="",8058.42972=""),"-",8058.42972/6911.55378*100)</f>
        <v>116.59360509237042</v>
      </c>
      <c r="D43" s="47">
        <f>IF(6911.55378="","-",6911.55378/2734888.97913*100)</f>
        <v>0.2527178921244052</v>
      </c>
      <c r="E43" s="47">
        <f>IF(8058.42972="","-",8058.42972/2807357.90586*100)</f>
        <v>0.28704675321871365</v>
      </c>
      <c r="F43" s="47">
        <f>IF(OR(2181405.29478="",5363.64821="",6911.55378=""),"-",(6911.55378-5363.64821)/2181405.29478*100)</f>
        <v>0.07095910025083668</v>
      </c>
      <c r="G43" s="47">
        <f>IF(OR(2734888.97913="",8058.42972="",6911.55378=""),"-",(8058.42972-6911.55378)/2734888.97913*100)</f>
        <v>0.041935009016886474</v>
      </c>
    </row>
    <row r="44" spans="1:7" s="9" customFormat="1" ht="15" customHeight="1">
      <c r="A44" s="39" t="s">
        <v>201</v>
      </c>
      <c r="B44" s="47">
        <f>IF(17123.45918="","-",17123.45918)</f>
        <v>17123.45918</v>
      </c>
      <c r="C44" s="47">
        <f>IF(OR(16387.50799="",17123.45918=""),"-",17123.45918/16387.50799*100)</f>
        <v>104.49092803157805</v>
      </c>
      <c r="D44" s="47">
        <f>IF(16387.50799="","-",16387.50799/2734888.97913*100)</f>
        <v>0.5992019462235376</v>
      </c>
      <c r="E44" s="47">
        <f>IF(17123.45918="","-",17123.45918/2807357.90586*100)</f>
        <v>0.6099492745209643</v>
      </c>
      <c r="F44" s="47">
        <f>IF(OR(2181405.29478="",14028.5253="",16387.50799=""),"-",(16387.50799-14028.5253)/2181405.29478*100)</f>
        <v>0.10814050445577138</v>
      </c>
      <c r="G44" s="47">
        <f>IF(OR(2734888.97913="",17123.45918="",16387.50799=""),"-",(17123.45918-16387.50799)/2734888.97913*100)</f>
        <v>0.02690972816871411</v>
      </c>
    </row>
    <row r="45" spans="1:7" s="9" customFormat="1" ht="15.75">
      <c r="A45" s="39" t="s">
        <v>202</v>
      </c>
      <c r="B45" s="47">
        <f>IF(124072.08076="","-",124072.08076)</f>
        <v>124072.08076</v>
      </c>
      <c r="C45" s="47">
        <f>IF(OR(110248.86031="",124072.08076=""),"-",124072.08076/110248.86031*100)</f>
        <v>112.53819804679304</v>
      </c>
      <c r="D45" s="47">
        <f>IF(110248.86031="","-",110248.86031/2734888.97913*100)</f>
        <v>4.031200577109768</v>
      </c>
      <c r="E45" s="47">
        <f>IF(124072.08076="","-",124072.08076/2807357.90586*100)</f>
        <v>4.419531991308106</v>
      </c>
      <c r="F45" s="47">
        <f>IF(OR(2181405.29478="",103121.60725="",110248.86031=""),"-",(110248.86031-103121.60725)/2181405.29478*100)</f>
        <v>0.3267275951449821</v>
      </c>
      <c r="G45" s="47">
        <f>IF(OR(2734888.97913="",124072.08076="",110248.86031=""),"-",(124072.08076-110248.86031)/2734888.97913*100)</f>
        <v>0.5054399120214862</v>
      </c>
    </row>
    <row r="46" spans="1:7" s="9" customFormat="1" ht="38.25">
      <c r="A46" s="39" t="s">
        <v>203</v>
      </c>
      <c r="B46" s="47">
        <f>IF(53836.39653="","-",53836.39653)</f>
        <v>53836.39653</v>
      </c>
      <c r="C46" s="47">
        <f>IF(OR(54970.91204="",53836.39653=""),"-",53836.39653/54970.91204*100)</f>
        <v>97.9361530163908</v>
      </c>
      <c r="D46" s="47">
        <f>IF(54970.91204="","-",54970.91204/2734888.97913*100)</f>
        <v>2.0099869669110624</v>
      </c>
      <c r="E46" s="47">
        <f>IF(53836.39653="","-",53836.39653/2807357.90586*100)</f>
        <v>1.9176890989789162</v>
      </c>
      <c r="F46" s="47">
        <f>IF(OR(2181405.29478="",52234.13143="",54970.91204=""),"-",(54970.91204-52234.13143)/2181405.29478*100)</f>
        <v>0.1254595199043932</v>
      </c>
      <c r="G46" s="47">
        <f>IF(OR(2734888.97913="",53836.39653="",54970.91204=""),"-",(53836.39653-54970.91204)/2734888.97913*100)</f>
        <v>-0.04148305538753194</v>
      </c>
    </row>
    <row r="47" spans="1:7" s="9" customFormat="1" ht="15.75">
      <c r="A47" s="39" t="s">
        <v>204</v>
      </c>
      <c r="B47" s="47">
        <f>IF(44586.37089="","-",44586.37089)</f>
        <v>44586.37089</v>
      </c>
      <c r="C47" s="47">
        <f>IF(OR(42433.90478="",44586.37089=""),"-",44586.37089/42433.90478*100)</f>
        <v>105.07251482313384</v>
      </c>
      <c r="D47" s="47">
        <f>IF(42433.90478="","-",42433.90478/2734888.97913*100)</f>
        <v>1.551576868524247</v>
      </c>
      <c r="E47" s="47">
        <f>IF(44586.37089="","-",44586.37089/2807357.90586*100)</f>
        <v>1.5881968877901769</v>
      </c>
      <c r="F47" s="47">
        <f>IF(OR(2181405.29478="",31385.87636="",42433.90478=""),"-",(42433.90478-31385.87636)/2181405.29478*100)</f>
        <v>0.506463812407415</v>
      </c>
      <c r="G47" s="47">
        <f>IF(OR(2734888.97913="",44586.37089="",42433.90478=""),"-",(44586.37089-42433.90478)/2734888.97913*100)</f>
        <v>0.07870396664820836</v>
      </c>
    </row>
    <row r="48" spans="1:7" s="9" customFormat="1" ht="14.25" customHeight="1">
      <c r="A48" s="39" t="s">
        <v>32</v>
      </c>
      <c r="B48" s="47">
        <f>IF(25237.59214="","-",25237.59214)</f>
        <v>25237.59214</v>
      </c>
      <c r="C48" s="47">
        <f>IF(OR(27456.84868="",25237.59214=""),"-",25237.59214/27456.84868*100)</f>
        <v>91.91729332865305</v>
      </c>
      <c r="D48" s="47">
        <f>IF(27456.84868="","-",27456.84868/2734888.97913*100)</f>
        <v>1.0039474687829684</v>
      </c>
      <c r="E48" s="47">
        <f>IF(25237.59214="","-",25237.59214/2807357.90586*100)</f>
        <v>0.8989802150741009</v>
      </c>
      <c r="F48" s="47">
        <f>IF(OR(2181405.29478="",23009.27479="",27456.84868=""),"-",(27456.84868-23009.27479)/2181405.29478*100)</f>
        <v>0.20388571993672308</v>
      </c>
      <c r="G48" s="47">
        <f>IF(OR(2734888.97913="",25237.59214="",27456.84868=""),"-",(25237.59214-27456.84868)/2734888.97913*100)</f>
        <v>-0.08114612903613988</v>
      </c>
    </row>
    <row r="49" spans="1:7" s="9" customFormat="1" ht="13.5" customHeight="1">
      <c r="A49" s="39" t="s">
        <v>33</v>
      </c>
      <c r="B49" s="47">
        <f>IF(53298.90904="","-",53298.90904)</f>
        <v>53298.90904</v>
      </c>
      <c r="C49" s="47">
        <f>IF(OR(51150.2081="",53298.90904=""),"-",53298.90904/51150.2081*100)</f>
        <v>104.20076676090785</v>
      </c>
      <c r="D49" s="47">
        <f>IF(51150.2081="","-",51150.2081/2734888.97913*100)</f>
        <v>1.8702846254575016</v>
      </c>
      <c r="E49" s="47">
        <f>IF(53298.90904="","-",53298.90904/2807357.90586*100)</f>
        <v>1.898543428636062</v>
      </c>
      <c r="F49" s="47">
        <f>IF(OR(2181405.29478="",43044.96168="",51150.2081=""),"-",(51150.2081-43044.96168)/2181405.29478*100)</f>
        <v>0.37156077503779217</v>
      </c>
      <c r="G49" s="47">
        <f>IF(OR(2734888.97913="",53298.90904="",51150.2081=""),"-",(53298.90904-51150.2081)/2734888.97913*100)</f>
        <v>0.07856629488058861</v>
      </c>
    </row>
    <row r="50" spans="1:7" s="9" customFormat="1" ht="15.75">
      <c r="A50" s="39" t="s">
        <v>205</v>
      </c>
      <c r="B50" s="47">
        <f>IF(85964.38145="","-",85964.38145)</f>
        <v>85964.38145</v>
      </c>
      <c r="C50" s="47">
        <f>IF(OR(88997.07955="",85964.38145=""),"-",85964.38145/88997.07955*100)</f>
        <v>96.59236222656477</v>
      </c>
      <c r="D50" s="47">
        <f>IF(88997.07955="","-",88997.07955/2734888.97913*100)</f>
        <v>3.2541386589780696</v>
      </c>
      <c r="E50" s="47">
        <f>IF(85964.38145="","-",85964.38145/2807357.90586*100)</f>
        <v>3.062109796209467</v>
      </c>
      <c r="F50" s="47">
        <f>IF(OR(2181405.29478="",72930.48388="",88997.07955=""),"-",(88997.07955-72930.48388)/2181405.29478*100)</f>
        <v>0.7365250147896221</v>
      </c>
      <c r="G50" s="47">
        <f>IF(OR(2734888.97913="",85964.38145="",88997.07955=""),"-",(85964.38145-88997.07955)/2734888.97913*100)</f>
        <v>-0.11088925814329513</v>
      </c>
    </row>
    <row r="51" spans="1:7" s="9" customFormat="1" ht="25.5">
      <c r="A51" s="32" t="s">
        <v>34</v>
      </c>
      <c r="B51" s="46">
        <f>IF(525819.28991="","-",525819.28991)</f>
        <v>525819.28991</v>
      </c>
      <c r="C51" s="46">
        <f>IF(545049.99174="","-",525819.28991/545049.99174*100)</f>
        <v>96.47175449565489</v>
      </c>
      <c r="D51" s="46">
        <f>IF(545049.99174="","-",545049.99174/2734888.97913*100)</f>
        <v>19.929510700408276</v>
      </c>
      <c r="E51" s="46">
        <f>IF(525819.28991="","-",525819.28991/2807357.90586*100)</f>
        <v>18.730041111338874</v>
      </c>
      <c r="F51" s="46">
        <f>IF(2181405.29478="","-",(545049.99174-429880.38106)/2181405.29478*100)</f>
        <v>5.279606268289319</v>
      </c>
      <c r="G51" s="46">
        <f>IF(2734888.97913="","-",(525819.28991-545049.99174)/2734888.97913*100)</f>
        <v>-0.7031620653251317</v>
      </c>
    </row>
    <row r="52" spans="1:7" s="9" customFormat="1" ht="15.75">
      <c r="A52" s="39" t="s">
        <v>206</v>
      </c>
      <c r="B52" s="47">
        <f>IF(25655.8899="","-",25655.8899)</f>
        <v>25655.8899</v>
      </c>
      <c r="C52" s="47">
        <f>IF(OR(30464.73899="",25655.8899=""),"-",25655.8899/30464.73899*100)</f>
        <v>84.2150326921281</v>
      </c>
      <c r="D52" s="47">
        <f>IF(30464.73899="","-",30464.73899/2734888.97913*100)</f>
        <v>1.1139296411107404</v>
      </c>
      <c r="E52" s="47">
        <f>IF(25655.8899="","-",25655.8899/2807357.90586*100)</f>
        <v>0.9138802660838725</v>
      </c>
      <c r="F52" s="47">
        <f>IF(OR(2181405.29478="",18459.17191="",30464.73899=""),"-",(30464.73899-18459.17191)/2181405.29478*100)</f>
        <v>0.550359307769572</v>
      </c>
      <c r="G52" s="47">
        <f>IF(OR(2734888.97913="",25655.8899="",30464.73899=""),"-",(25655.8899-30464.73899)/2734888.97913*100)</f>
        <v>-0.17583342968202514</v>
      </c>
    </row>
    <row r="53" spans="1:7" s="9" customFormat="1" ht="15" customHeight="1">
      <c r="A53" s="39" t="s">
        <v>35</v>
      </c>
      <c r="B53" s="47">
        <f>IF(28658.84689="","-",28658.84689)</f>
        <v>28658.84689</v>
      </c>
      <c r="C53" s="47">
        <f>IF(OR(30148.57462="",28658.84689=""),"-",28658.84689/30148.57462*100)</f>
        <v>95.05871256343993</v>
      </c>
      <c r="D53" s="47">
        <f>IF(30148.57462="","-",30148.57462/2734888.97913*100)</f>
        <v>1.1023692314410003</v>
      </c>
      <c r="E53" s="47">
        <f>IF(28658.84689="","-",28658.84689/2807357.90586*100)</f>
        <v>1.0208476386348293</v>
      </c>
      <c r="F53" s="47">
        <f>IF(OR(2181405.29478="",24006.43078="",30148.57462=""),"-",(30148.57462-24006.43078)/2181405.29478*100)</f>
        <v>0.28156820993778003</v>
      </c>
      <c r="G53" s="47">
        <f>IF(OR(2734888.97913="",28658.84689="",30148.57462=""),"-",(28658.84689-30148.57462)/2734888.97913*100)</f>
        <v>-0.05447123233769799</v>
      </c>
    </row>
    <row r="54" spans="1:7" s="9" customFormat="1" ht="15.75">
      <c r="A54" s="39" t="s">
        <v>36</v>
      </c>
      <c r="B54" s="47">
        <f>IF(39926.45952="","-",39926.45952)</f>
        <v>39926.45952</v>
      </c>
      <c r="C54" s="47">
        <f>IF(OR(37015.62153="",39926.45952=""),"-",39926.45952/37015.62153*100)</f>
        <v>107.86380957467068</v>
      </c>
      <c r="D54" s="47">
        <f>IF(37015.62153="","-",37015.62153/2734888.97913*100)</f>
        <v>1.3534597496449416</v>
      </c>
      <c r="E54" s="47">
        <f>IF(39926.45952="","-",39926.45952/2807357.90586*100)</f>
        <v>1.422207672084084</v>
      </c>
      <c r="F54" s="47">
        <f>IF(OR(2181405.29478="",27156.66012="",37015.62153=""),"-",(37015.62153-27156.66012)/2181405.29478*100)</f>
        <v>0.4519545924634925</v>
      </c>
      <c r="G54" s="47">
        <f>IF(OR(2734888.97913="",39926.45952="",37015.62153=""),"-",(39926.45952-37015.62153)/2734888.97913*100)</f>
        <v>0.10643349738189269</v>
      </c>
    </row>
    <row r="55" spans="1:7" s="9" customFormat="1" ht="25.5">
      <c r="A55" s="39" t="s">
        <v>207</v>
      </c>
      <c r="B55" s="47">
        <f>IF(50615.87001="","-",50615.87001)</f>
        <v>50615.87001</v>
      </c>
      <c r="C55" s="47">
        <f>IF(OR(47841.1973="",50615.87001=""),"-",50615.87001/47841.1973*100)</f>
        <v>105.79975599816353</v>
      </c>
      <c r="D55" s="47">
        <f>IF(47841.1973="","-",47841.1973/2734888.97913*100)</f>
        <v>1.7492921162459343</v>
      </c>
      <c r="E55" s="47">
        <f>IF(50615.87001="","-",50615.87001/2807357.90586*100)</f>
        <v>1.8029717516368633</v>
      </c>
      <c r="F55" s="47">
        <f>IF(OR(2181405.29478="",39300.68945="",47841.1973=""),"-",(47841.1973-39300.68945)/2181405.29478*100)</f>
        <v>0.39151403319855477</v>
      </c>
      <c r="G55" s="47">
        <f>IF(OR(2734888.97913="",50615.87001="",47841.1973=""),"-",(50615.87001-47841.1973)/2734888.97913*100)</f>
        <v>0.10145467443737533</v>
      </c>
    </row>
    <row r="56" spans="1:7" s="9" customFormat="1" ht="25.5">
      <c r="A56" s="39" t="s">
        <v>208</v>
      </c>
      <c r="B56" s="47">
        <f>IF(136958.55338="","-",136958.55338)</f>
        <v>136958.55338</v>
      </c>
      <c r="C56" s="47">
        <f>IF(OR(152902.27305="",136958.55338=""),"-",136958.55338/152902.27305*100)</f>
        <v>89.57260781545982</v>
      </c>
      <c r="D56" s="47">
        <f>IF(152902.27305="","-",152902.27305/2734888.97913*100)</f>
        <v>5.5908036566310635</v>
      </c>
      <c r="E56" s="47">
        <f>IF(136958.55338="","-",136958.55338/2807357.90586*100)</f>
        <v>4.878556919804082</v>
      </c>
      <c r="F56" s="47">
        <f>IF(OR(2181405.29478="",133209.59477="",152902.27305=""),"-",(152902.27305-133209.59477)/2181405.29478*100)</f>
        <v>0.9027519245104815</v>
      </c>
      <c r="G56" s="47">
        <f>IF(OR(2734888.97913="",136958.55338="",152902.27305=""),"-",(136958.55338-152902.27305)/2734888.97913*100)</f>
        <v>-0.5829750235445343</v>
      </c>
    </row>
    <row r="57" spans="1:7" s="9" customFormat="1" ht="13.5" customHeight="1">
      <c r="A57" s="39" t="s">
        <v>37</v>
      </c>
      <c r="B57" s="47">
        <f>IF(59347.44148="","-",59347.44148)</f>
        <v>59347.44148</v>
      </c>
      <c r="C57" s="47">
        <f>IF(OR(55397.58553="",59347.44148=""),"-",59347.44148/55397.58553*100)</f>
        <v>107.13001462466447</v>
      </c>
      <c r="D57" s="47">
        <f>IF(55397.58553="","-",55397.58553/2734888.97913*100)</f>
        <v>2.0255880934378045</v>
      </c>
      <c r="E57" s="47">
        <f>IF(59347.44148="","-",59347.44148/2807357.90586*100)</f>
        <v>2.1139962723000094</v>
      </c>
      <c r="F57" s="47">
        <f>IF(OR(2181405.29478="",51448.60386="",55397.58553=""),"-",(55397.58553-51448.60386)/2181405.29478*100)</f>
        <v>0.18102925116436275</v>
      </c>
      <c r="G57" s="47">
        <f>IF(OR(2734888.97913="",59347.44148="",55397.58553=""),"-",(59347.44148-55397.58553)/2734888.97913*100)</f>
        <v>0.14442472729757755</v>
      </c>
    </row>
    <row r="58" spans="1:7" s="9" customFormat="1" ht="14.25" customHeight="1">
      <c r="A58" s="39" t="s">
        <v>209</v>
      </c>
      <c r="B58" s="47">
        <f>IF(61443.50352="","-",61443.50352)</f>
        <v>61443.50352</v>
      </c>
      <c r="C58" s="47">
        <f>IF(OR(60943.9549="",61443.50352=""),"-",61443.50352/60943.9549*100)</f>
        <v>100.81968526791489</v>
      </c>
      <c r="D58" s="47">
        <f>IF(60943.9549="","-",60943.9549/2734888.97913*100)</f>
        <v>2.2283886243670112</v>
      </c>
      <c r="E58" s="47">
        <f>IF(61443.50352="","-",61443.50352/2807357.90586*100)</f>
        <v>2.1886594292713646</v>
      </c>
      <c r="F58" s="47">
        <f>IF(OR(2181405.29478="",43323.96705="",60943.9549=""),"-",(60943.9549-43323.96705)/2181405.29478*100)</f>
        <v>0.8077356322625511</v>
      </c>
      <c r="G58" s="47">
        <f>IF(OR(2734888.97913="",61443.50352="",60943.9549=""),"-",(61443.50352-60943.9549)/2734888.97913*100)</f>
        <v>0.01826577326582791</v>
      </c>
    </row>
    <row r="59" spans="1:7" s="9" customFormat="1" ht="14.25" customHeight="1">
      <c r="A59" s="39" t="s">
        <v>38</v>
      </c>
      <c r="B59" s="47">
        <f>IF(45279.73671="","-",45279.73671)</f>
        <v>45279.73671</v>
      </c>
      <c r="C59" s="47">
        <f>IF(OR(52663.0709="",45279.73671=""),"-",45279.73671/52663.0709*100)</f>
        <v>85.9800538331311</v>
      </c>
      <c r="D59" s="47">
        <f>IF(52663.0709="","-",52663.0709/2734888.97913*100)</f>
        <v>1.9256017813473632</v>
      </c>
      <c r="E59" s="47">
        <f>IF(45279.73671="","-",45279.73671/2807357.90586*100)</f>
        <v>1.6128950503775934</v>
      </c>
      <c r="F59" s="47">
        <f>IF(OR(2181405.29478="",34201.13692="",52663.0709=""),"-",(52663.0709-34201.13692)/2181405.29478*100)</f>
        <v>0.8463321338853691</v>
      </c>
      <c r="G59" s="47">
        <f>IF(OR(2734888.97913="",45279.73671="",52663.0709=""),"-",(45279.73671-52663.0709)/2734888.97913*100)</f>
        <v>-0.269968333133169</v>
      </c>
    </row>
    <row r="60" spans="1:7" s="9" customFormat="1" ht="15" customHeight="1">
      <c r="A60" s="39" t="s">
        <v>39</v>
      </c>
      <c r="B60" s="47">
        <f>IF(77932.9885="","-",77932.9885)</f>
        <v>77932.9885</v>
      </c>
      <c r="C60" s="47">
        <f>IF(OR(77672.97492="",77932.9885=""),"-",77932.9885/77672.97492*100)</f>
        <v>100.33475424401837</v>
      </c>
      <c r="D60" s="47">
        <f>IF(77672.97492="","-",77672.97492/2734888.97913*100)</f>
        <v>2.840077806182417</v>
      </c>
      <c r="E60" s="47">
        <f>IF(77932.9885="","-",77932.9885/2807357.90586*100)</f>
        <v>2.7760261111461735</v>
      </c>
      <c r="F60" s="47">
        <f>IF(OR(2181405.29478="",58774.1262="",77672.97492=""),"-",(77672.97492-58774.1262)/2181405.29478*100)</f>
        <v>0.8663611830971552</v>
      </c>
      <c r="G60" s="47">
        <f>IF(OR(2734888.97913="",77932.9885="",77672.97492=""),"-",(77932.9885-77672.97492)/2734888.97913*100)</f>
        <v>0.009507280989619069</v>
      </c>
    </row>
    <row r="61" spans="1:7" s="9" customFormat="1" ht="15.75">
      <c r="A61" s="32" t="s">
        <v>210</v>
      </c>
      <c r="B61" s="46">
        <f>IF(666848.47556="","-",666848.47556)</f>
        <v>666848.47556</v>
      </c>
      <c r="C61" s="46">
        <f>IF(653592.2988="","-",666848.47556/653592.2988*100)</f>
        <v>102.02820271663826</v>
      </c>
      <c r="D61" s="46">
        <f>IF(653592.2988="","-",653592.2988/2734888.97913*100)</f>
        <v>23.898311916409686</v>
      </c>
      <c r="E61" s="46">
        <f>IF(666848.47556="","-",666848.47556/2807357.90586*100)</f>
        <v>23.753596724095612</v>
      </c>
      <c r="F61" s="46">
        <f>IF(2181405.29478="","-",(653592.2988-461713.306)/2181405.29478*100)</f>
        <v>8.79611841316959</v>
      </c>
      <c r="G61" s="46">
        <f>IF(2734888.97913="","-",(666848.47556-653592.2988)/2734888.97913*100)</f>
        <v>0.48470621151930654</v>
      </c>
    </row>
    <row r="62" spans="1:7" s="9" customFormat="1" ht="25.5">
      <c r="A62" s="39" t="s">
        <v>211</v>
      </c>
      <c r="B62" s="47">
        <f>IF(8770.17993="","-",8770.17993)</f>
        <v>8770.17993</v>
      </c>
      <c r="C62" s="47">
        <f>IF(OR(14445.46524="",8770.17993=""),"-",8770.17993/14445.46524*100)</f>
        <v>60.71233971554661</v>
      </c>
      <c r="D62" s="47">
        <f>IF(14445.46524="","-",14445.46524/2734888.97913*100)</f>
        <v>0.5281920162110298</v>
      </c>
      <c r="E62" s="47">
        <f>IF(8770.17993="","-",8770.17993/2807357.90586*100)</f>
        <v>0.31239978029496607</v>
      </c>
      <c r="F62" s="47">
        <f>IF(OR(2181405.29478="",7131.61705="",14445.46524=""),"-",(14445.46524-7131.61705)/2181405.29478*100)</f>
        <v>0.3352814906749192</v>
      </c>
      <c r="G62" s="47">
        <f>IF(OR(2734888.97913="",8770.17993="",14445.46524=""),"-",(8770.17993-14445.46524)/2734888.97913*100)</f>
        <v>-0.20751428497859442</v>
      </c>
    </row>
    <row r="63" spans="1:7" s="9" customFormat="1" ht="25.5">
      <c r="A63" s="39" t="s">
        <v>230</v>
      </c>
      <c r="B63" s="47">
        <f>IF(99004.26614="","-",99004.26614)</f>
        <v>99004.26614</v>
      </c>
      <c r="C63" s="47">
        <f>IF(OR(109193.53111="",99004.26614=""),"-",99004.26614/109193.53111*100)</f>
        <v>90.6686184919366</v>
      </c>
      <c r="D63" s="47">
        <f>IF(109193.53111="","-",109193.53111/2734888.97913*100)</f>
        <v>3.9926129339530165</v>
      </c>
      <c r="E63" s="47">
        <f>IF(99004.26614="","-",99004.26614/2807357.90586*100)</f>
        <v>3.5265993670896503</v>
      </c>
      <c r="F63" s="47">
        <f>IF(OR(2181405.29478="",70220.40703="",109193.53111=""),"-",(109193.53111-70220.40703)/2181405.29478*100)</f>
        <v>1.786606284181158</v>
      </c>
      <c r="G63" s="47">
        <f>IF(OR(2734888.97913="",99004.26614="",109193.53111=""),"-",(99004.26614-109193.53111)/2734888.97913*100)</f>
        <v>-0.37256594500743917</v>
      </c>
    </row>
    <row r="64" spans="1:7" s="9" customFormat="1" ht="25.5">
      <c r="A64" s="39" t="s">
        <v>212</v>
      </c>
      <c r="B64" s="47">
        <f>IF(4864.78195="","-",4864.78195)</f>
        <v>4864.78195</v>
      </c>
      <c r="C64" s="47">
        <f>IF(OR(5974.94259="",4864.78195=""),"-",4864.78195/5974.94259*100)</f>
        <v>81.41972708059107</v>
      </c>
      <c r="D64" s="47">
        <f>IF(5974.94259="","-",5974.94259/2734888.97913*100)</f>
        <v>0.21847112023906357</v>
      </c>
      <c r="E64" s="47">
        <f>IF(4864.78195="","-",4864.78195/2807357.90586*100)</f>
        <v>0.1732868452520924</v>
      </c>
      <c r="F64" s="47">
        <f>IF(OR(2181405.29478="",4707.36368="",5974.94259=""),"-",(5974.94259-4707.36368)/2181405.29478*100)</f>
        <v>0.058108363128725124</v>
      </c>
      <c r="G64" s="47">
        <f>IF(OR(2734888.97913="",4864.78195="",5974.94259=""),"-",(4864.78195-5974.94259)/2734888.97913*100)</f>
        <v>-0.04059253039050803</v>
      </c>
    </row>
    <row r="65" spans="1:7" s="9" customFormat="1" ht="38.25">
      <c r="A65" s="39" t="s">
        <v>213</v>
      </c>
      <c r="B65" s="47">
        <f>IF(92576.19788="","-",92576.19788)</f>
        <v>92576.19788</v>
      </c>
      <c r="C65" s="47">
        <f>IF(OR(82265.79407="",92576.19788=""),"-",92576.19788/82265.79407*100)</f>
        <v>112.53303870285004</v>
      </c>
      <c r="D65" s="47">
        <f>IF(82265.79407="","-",82265.79407/2734888.97913*100)</f>
        <v>3.008012197122887</v>
      </c>
      <c r="E65" s="47">
        <f>IF(92576.19788="","-",92576.19788/2807357.90586*100)</f>
        <v>3.297627199109848</v>
      </c>
      <c r="F65" s="47">
        <f>IF(OR(2181405.29478="",66101.53325="",82265.79407=""),"-",(82265.79407-66101.53325)/2181405.29478*100)</f>
        <v>0.7410021814231552</v>
      </c>
      <c r="G65" s="47">
        <f>IF(OR(2734888.97913="",92576.19788="",82265.79407=""),"-",(92576.19788-82265.79407)/2734888.97913*100)</f>
        <v>0.3769953328518609</v>
      </c>
    </row>
    <row r="66" spans="1:7" s="9" customFormat="1" ht="25.5">
      <c r="A66" s="39" t="s">
        <v>214</v>
      </c>
      <c r="B66" s="47">
        <f>IF(22105.82313="","-",22105.82313)</f>
        <v>22105.82313</v>
      </c>
      <c r="C66" s="47">
        <f>IF(OR(24813.31729="",22105.82313=""),"-",22105.82313/24813.31729*100)</f>
        <v>89.08854415410573</v>
      </c>
      <c r="D66" s="47">
        <f>IF(24813.31729="","-",24813.31729/2734888.97913*100)</f>
        <v>0.9072879184256102</v>
      </c>
      <c r="E66" s="47">
        <f>IF(22105.82313="","-",22105.82313/2807357.90586*100)</f>
        <v>0.7874244706689135</v>
      </c>
      <c r="F66" s="47">
        <f>IF(OR(2181405.29478="",17388.48848="",24813.31729=""),"-",(24813.31729-17388.48848)/2181405.29478*100)</f>
        <v>0.3403690651969748</v>
      </c>
      <c r="G66" s="47">
        <f>IF(OR(2734888.97913="",22105.82313="",24813.31729=""),"-",(22105.82313-24813.31729)/2734888.97913*100)</f>
        <v>-0.09899832061414368</v>
      </c>
    </row>
    <row r="67" spans="1:7" s="9" customFormat="1" ht="40.5" customHeight="1">
      <c r="A67" s="39" t="s">
        <v>215</v>
      </c>
      <c r="B67" s="47">
        <f>IF(71313.45393="","-",71313.45393)</f>
        <v>71313.45393</v>
      </c>
      <c r="C67" s="47">
        <f>IF(OR(68217.59816="",71313.45393=""),"-",71313.45393/68217.59816*100)</f>
        <v>104.53820693413873</v>
      </c>
      <c r="D67" s="47">
        <f>IF(68217.59816="","-",68217.59816/2734888.97913*100)</f>
        <v>2.4943461573968833</v>
      </c>
      <c r="E67" s="47">
        <f>IF(71313.45393="","-",71313.45393/2807357.90586*100)</f>
        <v>2.5402337828440866</v>
      </c>
      <c r="F67" s="47">
        <f>IF(OR(2181405.29478="",45190.44108="",68217.59816=""),"-",(68217.59816-45190.44108)/2181405.29478*100)</f>
        <v>1.0556111299034112</v>
      </c>
      <c r="G67" s="47">
        <f>IF(OR(2734888.97913="",71313.45393="",68217.59816=""),"-",(71313.45393-68217.59816)/2734888.97913*100)</f>
        <v>0.11319859027640812</v>
      </c>
    </row>
    <row r="68" spans="1:7" s="9" customFormat="1" ht="38.25">
      <c r="A68" s="39" t="s">
        <v>231</v>
      </c>
      <c r="B68" s="47">
        <f>IF(206782.11438="","-",206782.11438)</f>
        <v>206782.11438</v>
      </c>
      <c r="C68" s="47">
        <f>IF(OR(201808.14116="",206782.11438=""),"-",206782.11438/201808.14116*100)</f>
        <v>102.46470394673348</v>
      </c>
      <c r="D68" s="47">
        <f>IF(201808.14116="","-",201808.14116/2734888.97913*100)</f>
        <v>7.379024987851519</v>
      </c>
      <c r="E68" s="47">
        <f>IF(206782.11438="","-",206782.11438/2807357.90586*100)</f>
        <v>7.365719702086038</v>
      </c>
      <c r="F68" s="47">
        <f>IF(OR(2181405.29478="",137879.81436="",201808.14116=""),"-",(201808.14116-137879.81436)/2181405.29478*100)</f>
        <v>2.9306028986441666</v>
      </c>
      <c r="G68" s="47">
        <f>IF(OR(2734888.97913="",206782.11438="",201808.14116=""),"-",(206782.11438-201808.14116)/2734888.97913*100)</f>
        <v>0.18187112010602688</v>
      </c>
    </row>
    <row r="69" spans="1:7" s="9" customFormat="1" ht="25.5">
      <c r="A69" s="39" t="s">
        <v>40</v>
      </c>
      <c r="B69" s="47">
        <f>IF(158430.34228="","-",158430.34228)</f>
        <v>158430.34228</v>
      </c>
      <c r="C69" s="47">
        <f>IF(OR(145507.75361="",158430.34228=""),"-",158430.34228/145507.75361*100)</f>
        <v>108.88103097559735</v>
      </c>
      <c r="D69" s="47">
        <f>IF(145507.75361="","-",145507.75361/2734888.97913*100)</f>
        <v>5.320426339802931</v>
      </c>
      <c r="E69" s="47">
        <f>IF(158430.34228="","-",158430.34228/2807357.90586*100)</f>
        <v>5.64339665951737</v>
      </c>
      <c r="F69" s="47">
        <f>IF(OR(2181405.29478="",112229.05191="",145507.75361=""),"-",(145507.75361-112229.05191)/2181405.29478*100)</f>
        <v>1.5255625252049394</v>
      </c>
      <c r="G69" s="47">
        <f>IF(OR(2734888.97913="",158430.34228="",145507.75361=""),"-",(158430.34228-145507.75361)/2734888.97913*100)</f>
        <v>0.47250871127173955</v>
      </c>
    </row>
    <row r="70" spans="1:7" s="9" customFormat="1" ht="14.25" customHeight="1">
      <c r="A70" s="39" t="s">
        <v>41</v>
      </c>
      <c r="B70" s="47">
        <f>IF(3001.31594="","-",3001.31594)</f>
        <v>3001.31594</v>
      </c>
      <c r="C70" s="47" t="s">
        <v>234</v>
      </c>
      <c r="D70" s="47">
        <f>IF(1365.75557="","-",1365.75557/2734888.97913*100)</f>
        <v>0.04993824540674638</v>
      </c>
      <c r="E70" s="47">
        <f>IF(3001.31594="","-",3001.31594/2807357.90586*100)</f>
        <v>0.10690891723264559</v>
      </c>
      <c r="F70" s="47">
        <f>IF(OR(2181405.29478="",864.58916="",1365.75557=""),"-",(1365.75557-864.58916)/2181405.29478*100)</f>
        <v>0.022974474812143694</v>
      </c>
      <c r="G70" s="47">
        <f>IF(OR(2734888.97913="",3001.31594="",1365.75557=""),"-",(3001.31594-1365.75557)/2734888.97913*100)</f>
        <v>0.0598035380039555</v>
      </c>
    </row>
    <row r="71" spans="1:7" s="9" customFormat="1" ht="15.75">
      <c r="A71" s="32" t="s">
        <v>42</v>
      </c>
      <c r="B71" s="46">
        <f>IF(293010.38345="","-",293010.38345)</f>
        <v>293010.38345</v>
      </c>
      <c r="C71" s="46">
        <f>IF(272453.73011="","-",293010.38345/272453.73011*100)</f>
        <v>107.5450071216498</v>
      </c>
      <c r="D71" s="46">
        <f>IF(272453.73011="","-",272453.73011/2734888.97913*100)</f>
        <v>9.962149549363817</v>
      </c>
      <c r="E71" s="46">
        <f>IF(293010.38345="","-",293010.38345/2807357.90586*100)</f>
        <v>10.437229354988133</v>
      </c>
      <c r="F71" s="46">
        <f>IF(2181405.29478="","-",(272453.73011-230945.78004)/2181405.29478*100)</f>
        <v>1.9028077986849374</v>
      </c>
      <c r="G71" s="46">
        <f>IF(2734888.97913="","-",(293010.38345-272453.73011)/2734888.97913*100)</f>
        <v>0.7516448929689032</v>
      </c>
    </row>
    <row r="72" spans="1:7" s="9" customFormat="1" ht="38.25">
      <c r="A72" s="39" t="s">
        <v>216</v>
      </c>
      <c r="B72" s="47">
        <f>IF(20190.58544="","-",20190.58544)</f>
        <v>20190.58544</v>
      </c>
      <c r="C72" s="47">
        <f>IF(OR(17918.03501="",20190.58544=""),"-",20190.58544/17918.03501*100)</f>
        <v>112.68303376308673</v>
      </c>
      <c r="D72" s="47">
        <f>IF(17918.03501="","-",17918.03501/2734888.97913*100)</f>
        <v>0.6551649864668341</v>
      </c>
      <c r="E72" s="47">
        <f>IF(20190.58544="","-",20190.58544/2807357.90586*100)</f>
        <v>0.7192024001590513</v>
      </c>
      <c r="F72" s="47">
        <f>IF(OR(2181405.29478="",15219.20581="",17918.03501=""),"-",(17918.03501-15219.20581)/2181405.29478*100)</f>
        <v>0.12371975104572136</v>
      </c>
      <c r="G72" s="47">
        <f>IF(OR(2734888.97913="",20190.58544="",17918.03501=""),"-",(20190.58544-17918.03501)/2734888.97913*100)</f>
        <v>0.08309479643751112</v>
      </c>
    </row>
    <row r="73" spans="1:7" s="9" customFormat="1" ht="15.75">
      <c r="A73" s="39" t="s">
        <v>217</v>
      </c>
      <c r="B73" s="47">
        <f>IF(25170.96026="","-",25170.96026)</f>
        <v>25170.96026</v>
      </c>
      <c r="C73" s="47">
        <f>IF(OR(25016.45401="",25170.96026=""),"-",25170.96026/25016.45401*100)</f>
        <v>100.61761850795574</v>
      </c>
      <c r="D73" s="47">
        <f>IF(25016.45401="","-",25016.45401/2734888.97913*100)</f>
        <v>0.9147155223082595</v>
      </c>
      <c r="E73" s="47">
        <f>IF(25170.96026="","-",25170.96026/2807357.90586*100)</f>
        <v>0.8966067421420989</v>
      </c>
      <c r="F73" s="47">
        <f>IF(OR(2181405.29478="",21897.25027="",25016.45401=""),"-",(25016.45401-21897.25027)/2181405.29478*100)</f>
        <v>0.1429905642690108</v>
      </c>
      <c r="G73" s="47">
        <f>IF(OR(2734888.97913="",25170.96026="",25016.45401=""),"-",(25170.96026-25016.45401)/2734888.97913*100)</f>
        <v>0.0056494523609199225</v>
      </c>
    </row>
    <row r="74" spans="1:7" s="9" customFormat="1" ht="15.75">
      <c r="A74" s="39" t="s">
        <v>218</v>
      </c>
      <c r="B74" s="47">
        <f>IF(4782.11722="","-",4782.11722)</f>
        <v>4782.11722</v>
      </c>
      <c r="C74" s="47">
        <f>IF(OR(3773.67589="",4782.11722=""),"-",4782.11722/3773.67589*100)</f>
        <v>126.72305092952749</v>
      </c>
      <c r="D74" s="47">
        <f>IF(3773.67589="","-",3773.67589/2734888.97913*100)</f>
        <v>0.13798278170693606</v>
      </c>
      <c r="E74" s="47">
        <f>IF(4782.11722="","-",4782.11722/2807357.90586*100)</f>
        <v>0.1703422712871039</v>
      </c>
      <c r="F74" s="47">
        <f>IF(OR(2181405.29478="",8932.14963="",3773.67589=""),"-",(3773.67589-8932.14963)/2181405.29478*100)</f>
        <v>-0.23647479688180753</v>
      </c>
      <c r="G74" s="47">
        <f>IF(OR(2734888.97913="",4782.11722="",3773.67589=""),"-",(4782.11722-3773.67589)/2734888.97913*100)</f>
        <v>0.036873209029523284</v>
      </c>
    </row>
    <row r="75" spans="1:7" s="9" customFormat="1" ht="14.25" customHeight="1">
      <c r="A75" s="39" t="s">
        <v>219</v>
      </c>
      <c r="B75" s="47">
        <f>IF(67873.86596="","-",67873.86596)</f>
        <v>67873.86596</v>
      </c>
      <c r="C75" s="47">
        <f>IF(OR(68390.92738="",67873.86596=""),"-",67873.86596/68390.92738*100)</f>
        <v>99.24396197009136</v>
      </c>
      <c r="D75" s="47">
        <f>IF(68390.92738="","-",68390.92738/2734888.97913*100)</f>
        <v>2.5006838632899804</v>
      </c>
      <c r="E75" s="47">
        <f>IF(67873.86596="","-",67873.86596/2807357.90586*100)</f>
        <v>2.417713317504761</v>
      </c>
      <c r="F75" s="47">
        <f>IF(OR(2181405.29478="",59122.84488="",68390.92738=""),"-",(68390.92738-59122.84488)/2181405.29478*100)</f>
        <v>0.424867516466476</v>
      </c>
      <c r="G75" s="47">
        <f>IF(OR(2734888.97913="",67873.86596="",68390.92738=""),"-",(67873.86596-68390.92738)/2734888.97913*100)</f>
        <v>-0.01890612101426075</v>
      </c>
    </row>
    <row r="76" spans="1:7" s="9" customFormat="1" ht="15.75">
      <c r="A76" s="39" t="s">
        <v>281</v>
      </c>
      <c r="B76" s="47">
        <f>IF(23579.11734="","-",23579.11734)</f>
        <v>23579.11734</v>
      </c>
      <c r="C76" s="47">
        <f>IF(OR(20708.77462="",23579.11734=""),"-",23579.11734/20708.77462*100)</f>
        <v>113.86051455322661</v>
      </c>
      <c r="D76" s="47">
        <f>IF(20708.77462="","-",20708.77462/2734888.97913*100)</f>
        <v>0.7572071399617729</v>
      </c>
      <c r="E76" s="47">
        <f>IF(23579.11734="","-",23579.11734/2807357.90586*100)</f>
        <v>0.839904213523385</v>
      </c>
      <c r="F76" s="47">
        <f>IF(OR(2181405.29478="",19935.28453="",20708.77462=""),"-",(20708.77462-19935.28453)/2181405.29478*100)</f>
        <v>0.03545833925730925</v>
      </c>
      <c r="G76" s="47">
        <f>IF(OR(2734888.97913="",23579.11734="",20708.77462=""),"-",(23579.11734-20708.77462)/2734888.97913*100)</f>
        <v>0.10495280583247257</v>
      </c>
    </row>
    <row r="77" spans="1:7" s="9" customFormat="1" ht="25.5">
      <c r="A77" s="39" t="s">
        <v>221</v>
      </c>
      <c r="B77" s="47">
        <f>IF(28981.13233="","-",28981.13233)</f>
        <v>28981.13233</v>
      </c>
      <c r="C77" s="47">
        <f>IF(OR(27064.4999="",28981.13233=""),"-",28981.13233/27064.4999*100)</f>
        <v>107.08172121074368</v>
      </c>
      <c r="D77" s="47">
        <f>IF(27064.4999="","-",27064.4999/2734888.97913*100)</f>
        <v>0.9896014100217528</v>
      </c>
      <c r="E77" s="47">
        <f>IF(28981.13233="","-",28981.13233/2807357.90586*100)</f>
        <v>1.0323276654360887</v>
      </c>
      <c r="F77" s="47">
        <f>IF(OR(2181405.29478="",21308.99968="",27064.4999=""),"-",(27064.4999-21308.99968)/2181405.29478*100)</f>
        <v>0.26384368983483436</v>
      </c>
      <c r="G77" s="47">
        <f>IF(OR(2734888.97913="",28981.13233="",27064.4999=""),"-",(28981.13233-27064.4999)/2734888.97913*100)</f>
        <v>0.07008081295532897</v>
      </c>
    </row>
    <row r="78" spans="1:7" ht="25.5">
      <c r="A78" s="39" t="s">
        <v>222</v>
      </c>
      <c r="B78" s="47">
        <f>IF(5743.44291="","-",5743.44291)</f>
        <v>5743.44291</v>
      </c>
      <c r="C78" s="47">
        <f>IF(OR(6417.20522="",5743.44291=""),"-",5743.44291/6417.20522*100)</f>
        <v>89.50068936707622</v>
      </c>
      <c r="D78" s="47">
        <f>IF(6417.20522="","-",6417.20522/2734888.97913*100)</f>
        <v>0.23464225674130978</v>
      </c>
      <c r="E78" s="47">
        <f>IF(5743.44291="","-",5743.44291/2807357.90586*100)</f>
        <v>0.2045853468847452</v>
      </c>
      <c r="F78" s="47">
        <f>IF(OR(2181405.29478="",4667.10817="",6417.20522=""),"-",(6417.20522-4667.10817)/2181405.29478*100)</f>
        <v>0.08022796378957633</v>
      </c>
      <c r="G78" s="47">
        <f>IF(OR(2734888.97913="",5743.44291="",6417.20522=""),"-",(5743.44291-6417.20522)/2734888.97913*100)</f>
        <v>-0.024635819411372658</v>
      </c>
    </row>
    <row r="79" spans="1:7" ht="13.5" customHeight="1">
      <c r="A79" s="39" t="s">
        <v>43</v>
      </c>
      <c r="B79" s="47">
        <f>IF(116689.16199="","-",116689.16199)</f>
        <v>116689.16199</v>
      </c>
      <c r="C79" s="47">
        <f>IF(OR(103164.15808="",116689.16199=""),"-",116689.16199/103164.15808*100)</f>
        <v>113.11017717947338</v>
      </c>
      <c r="D79" s="47">
        <f>IF(103164.15808="","-",103164.15808/2734888.97913*100)</f>
        <v>3.7721515888669717</v>
      </c>
      <c r="E79" s="47">
        <f>IF(116689.16199="","-",116689.16199/2807357.90586*100)</f>
        <v>4.156547398050898</v>
      </c>
      <c r="F79" s="47">
        <f>IF(OR(2181405.29478="",79862.93707="",103164.15808=""),"-",(103164.15808-79862.93707)/2181405.29478*100)</f>
        <v>1.0681747709038167</v>
      </c>
      <c r="G79" s="47">
        <f>IF(OR(2734888.97913="",116689.16199="",103164.15808=""),"-",(116689.16199-103164.15808)/2734888.97913*100)</f>
        <v>0.49453575677878014</v>
      </c>
    </row>
    <row r="80" spans="1:7" ht="25.5">
      <c r="A80" s="43" t="s">
        <v>223</v>
      </c>
      <c r="B80" s="50">
        <f>IF(140.81538="","-",140.81538)</f>
        <v>140.81538</v>
      </c>
      <c r="C80" s="50">
        <f>IF(274.11022="","-",140.81538/274.11022*100)</f>
        <v>51.37180948597976</v>
      </c>
      <c r="D80" s="50">
        <f>IF(274.11022="","-",274.11022/2734888.97913*100)</f>
        <v>0.010022718365964446</v>
      </c>
      <c r="E80" s="50">
        <f>IF(140.81538="","-",140.81538/2807357.90586*100)</f>
        <v>0.005015939709933883</v>
      </c>
      <c r="F80" s="50">
        <f>IF(2181405.29478="","-",(274.11022-498.80695)/2181405.29478*100)</f>
        <v>-0.010300549399861117</v>
      </c>
      <c r="G80" s="50">
        <f>IF(2734888.97913="","-",(140.81538-274.11022)/2734888.97913*100)</f>
        <v>-0.004873866581684887</v>
      </c>
    </row>
    <row r="81" ht="15.75">
      <c r="A81" s="32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1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3.00390625" style="0" customWidth="1"/>
    <col min="2" max="2" width="13.25390625" style="0" customWidth="1"/>
    <col min="3" max="3" width="13.125" style="0" customWidth="1"/>
    <col min="4" max="4" width="16.25390625" style="0" customWidth="1"/>
    <col min="6" max="6" width="12.125" style="0" bestFit="1" customWidth="1"/>
  </cols>
  <sheetData>
    <row r="1" spans="1:4" ht="15.75">
      <c r="A1" s="72" t="s">
        <v>140</v>
      </c>
      <c r="B1" s="72"/>
      <c r="C1" s="72"/>
      <c r="D1" s="72"/>
    </row>
    <row r="2" spans="1:4" ht="15.75">
      <c r="A2" s="72" t="s">
        <v>23</v>
      </c>
      <c r="B2" s="72"/>
      <c r="C2" s="72"/>
      <c r="D2" s="72"/>
    </row>
    <row r="3" ht="15.75">
      <c r="A3" s="5"/>
    </row>
    <row r="4" spans="1:5" ht="21.75" customHeight="1">
      <c r="A4" s="73"/>
      <c r="B4" s="71" t="s">
        <v>262</v>
      </c>
      <c r="C4" s="71"/>
      <c r="D4" s="75" t="s">
        <v>263</v>
      </c>
      <c r="E4" s="1"/>
    </row>
    <row r="5" spans="1:5" ht="20.25" customHeight="1">
      <c r="A5" s="74"/>
      <c r="B5" s="21">
        <v>2018</v>
      </c>
      <c r="C5" s="20">
        <v>2019</v>
      </c>
      <c r="D5" s="76"/>
      <c r="E5" s="1"/>
    </row>
    <row r="6" spans="1:6" ht="14.25" customHeight="1">
      <c r="A6" s="41" t="s">
        <v>164</v>
      </c>
      <c r="B6" s="45">
        <f>IF(-1420091.44209="","-",-1420091.44209)</f>
        <v>-1420091.44209</v>
      </c>
      <c r="C6" s="45">
        <f>IF(-1445995.85206="","-",-1445995.85206)</f>
        <v>-1445995.85206</v>
      </c>
      <c r="D6" s="45">
        <f>IF(-1420091.44209="","-",-1445995.85206/-1420091.44209*100)</f>
        <v>101.82413675642432</v>
      </c>
      <c r="F6" s="18"/>
    </row>
    <row r="7" spans="1:6" ht="14.25" customHeight="1">
      <c r="A7" s="42" t="s">
        <v>161</v>
      </c>
      <c r="B7" s="49"/>
      <c r="C7" s="49"/>
      <c r="D7" s="49"/>
      <c r="F7" s="18"/>
    </row>
    <row r="8" spans="1:6" ht="14.25" customHeight="1">
      <c r="A8" s="32" t="s">
        <v>182</v>
      </c>
      <c r="B8" s="46">
        <f>IF(-5611.9668="","-",-5611.9668)</f>
        <v>-5611.9668</v>
      </c>
      <c r="C8" s="46">
        <f>IF(-13474.45519="","-",-13474.45519)</f>
        <v>-13474.45519</v>
      </c>
      <c r="D8" s="46" t="s">
        <v>243</v>
      </c>
      <c r="F8" s="18"/>
    </row>
    <row r="9" spans="1:4" ht="15.75">
      <c r="A9" s="39" t="s">
        <v>24</v>
      </c>
      <c r="B9" s="47">
        <f>IF(OR(4496.27554="",4496.27554=0),"-",4496.27554)</f>
        <v>4496.27554</v>
      </c>
      <c r="C9" s="47">
        <f>IF(OR(2481.70194="",2481.70194=0),"-",2481.70194)</f>
        <v>2481.70194</v>
      </c>
      <c r="D9" s="47">
        <f>IF(OR(4496.27554="",2481.70194="",4496.27554=0,2481.70194=0),"-",2481.70194/4496.27554*100)</f>
        <v>55.19461425177693</v>
      </c>
    </row>
    <row r="10" spans="1:4" ht="15.75">
      <c r="A10" s="39" t="s">
        <v>183</v>
      </c>
      <c r="B10" s="47">
        <f>IF(OR(-16916.49668="",-16916.49668=0),"-",-16916.49668)</f>
        <v>-16916.49668</v>
      </c>
      <c r="C10" s="47">
        <f>IF(OR(-19332.70625="",-19332.70625=0),"-",-19332.70625)</f>
        <v>-19332.70625</v>
      </c>
      <c r="D10" s="47">
        <f>IF(OR(-16916.49668="",-19332.70625="",-16916.49668=0,-19332.70625=0),"-",-19332.70625/-16916.49668*100)</f>
        <v>114.28315576035688</v>
      </c>
    </row>
    <row r="11" spans="1:4" ht="15.75">
      <c r="A11" s="39" t="s">
        <v>184</v>
      </c>
      <c r="B11" s="47">
        <f>IF(OR(-16898.38475="",-16898.38475=0),"-",-16898.38475)</f>
        <v>-16898.38475</v>
      </c>
      <c r="C11" s="47">
        <f>IF(OR(-21399.82463="",-21399.82463=0),"-",-21399.82463)</f>
        <v>-21399.82463</v>
      </c>
      <c r="D11" s="47">
        <f>IF(OR(-16898.38475="",-21399.82463="",-16898.38475=0,-21399.82463=0),"-",-21399.82463/-16898.38475*100)</f>
        <v>126.63828494022187</v>
      </c>
    </row>
    <row r="12" spans="1:4" ht="15.75">
      <c r="A12" s="39" t="s">
        <v>185</v>
      </c>
      <c r="B12" s="47">
        <f>IF(OR(-23744.39639="",-23744.39639=0),"-",-23744.39639)</f>
        <v>-23744.39639</v>
      </c>
      <c r="C12" s="47">
        <f>IF(OR(-25402.95594="",-25402.95594=0),"-",-25402.95594)</f>
        <v>-25402.95594</v>
      </c>
      <c r="D12" s="47">
        <f>IF(OR(-23744.39639="",-25402.95594="",-23744.39639=0,-25402.95594=0),"-",-25402.95594/-23744.39639*100)</f>
        <v>106.9850566961496</v>
      </c>
    </row>
    <row r="13" spans="1:4" ht="15.75">
      <c r="A13" s="39" t="s">
        <v>186</v>
      </c>
      <c r="B13" s="47">
        <f>IF(OR(51121.53863="",51121.53863=0),"-",51121.53863)</f>
        <v>51121.53863</v>
      </c>
      <c r="C13" s="47">
        <f>IF(OR(68105.681="",68105.681=0),"-",68105.681)</f>
        <v>68105.681</v>
      </c>
      <c r="D13" s="47">
        <f>IF(OR(51121.53863="",68105.681="",51121.53863=0,68105.681=0),"-",68105.681/51121.53863*100)</f>
        <v>133.22306570802834</v>
      </c>
    </row>
    <row r="14" spans="1:4" ht="15.75">
      <c r="A14" s="39" t="s">
        <v>187</v>
      </c>
      <c r="B14" s="47">
        <f>IF(OR(49385.26438="",49385.26438=0),"-",49385.26438)</f>
        <v>49385.26438</v>
      </c>
      <c r="C14" s="47">
        <f>IF(OR(41656.10054="",41656.10054=0),"-",41656.10054)</f>
        <v>41656.10054</v>
      </c>
      <c r="D14" s="47">
        <f>IF(OR(49385.26438="",41656.10054="",49385.26438=0,41656.10054=0),"-",41656.10054/49385.26438*100)</f>
        <v>84.34925086048511</v>
      </c>
    </row>
    <row r="15" spans="1:4" ht="15.75">
      <c r="A15" s="39" t="s">
        <v>25</v>
      </c>
      <c r="B15" s="47">
        <f>IF(OR(4278.00148="",4278.00148=0),"-",4278.00148)</f>
        <v>4278.00148</v>
      </c>
      <c r="C15" s="47">
        <f>IF(OR(-2281.74233="",-2281.74233=0),"-",-2281.74233)</f>
        <v>-2281.74233</v>
      </c>
      <c r="D15" s="47" t="s">
        <v>22</v>
      </c>
    </row>
    <row r="16" spans="1:4" ht="15.75">
      <c r="A16" s="39" t="s">
        <v>188</v>
      </c>
      <c r="B16" s="47">
        <f>IF(OR(-18718.70093="",-18718.70093=0),"-",-18718.70093)</f>
        <v>-18718.70093</v>
      </c>
      <c r="C16" s="47">
        <f>IF(OR(-19168.46938="",-19168.46938=0),"-",-19168.46938)</f>
        <v>-19168.46938</v>
      </c>
      <c r="D16" s="47">
        <f>IF(OR(-18718.70093="",-19168.46938="",-18718.70093=0,-19168.46938=0),"-",-19168.46938/-18718.70093*100)</f>
        <v>102.40277598152747</v>
      </c>
    </row>
    <row r="17" spans="1:4" ht="15.75">
      <c r="A17" s="39" t="s">
        <v>26</v>
      </c>
      <c r="B17" s="47">
        <f>IF(OR(-7638.22077="",-7638.22077=0),"-",-7638.22077)</f>
        <v>-7638.22077</v>
      </c>
      <c r="C17" s="47">
        <f>IF(OR(-5154.02455="",-5154.02455=0),"-",-5154.02455)</f>
        <v>-5154.02455</v>
      </c>
      <c r="D17" s="47">
        <f>IF(OR(-7638.22077="",-5154.02455="",-7638.22077=0,-5154.02455=0),"-",-5154.02455/-7638.22077*100)</f>
        <v>67.47676854592932</v>
      </c>
    </row>
    <row r="18" spans="1:4" ht="15.75">
      <c r="A18" s="39" t="s">
        <v>189</v>
      </c>
      <c r="B18" s="47">
        <f>IF(OR(-30976.84731="",-30976.84731=0),"-",-30976.84731)</f>
        <v>-30976.84731</v>
      </c>
      <c r="C18" s="47">
        <f>IF(OR(-32978.21559="",-32978.21559=0),"-",-32978.21559)</f>
        <v>-32978.21559</v>
      </c>
      <c r="D18" s="47">
        <f>IF(OR(-30976.84731="",-32978.21559="",-30976.84731=0,-32978.21559=0),"-",-32978.21559/-30976.84731*100)</f>
        <v>106.4608520679053</v>
      </c>
    </row>
    <row r="19" spans="1:4" ht="15.75">
      <c r="A19" s="32" t="s">
        <v>190</v>
      </c>
      <c r="B19" s="46">
        <f>IF(57805.60306="","-",57805.60306)</f>
        <v>57805.60306</v>
      </c>
      <c r="C19" s="46">
        <f>IF(47071.46366="","-",47071.46366)</f>
        <v>47071.46366</v>
      </c>
      <c r="D19" s="46">
        <f>IF(57805.60306="","-",47071.46366/57805.60306*100)</f>
        <v>81.43062465958815</v>
      </c>
    </row>
    <row r="20" spans="1:4" ht="15.75">
      <c r="A20" s="39" t="s">
        <v>240</v>
      </c>
      <c r="B20" s="47">
        <f>IF(OR(67432.68474="",67432.68474=0),"-",67432.68474)</f>
        <v>67432.68474</v>
      </c>
      <c r="C20" s="47">
        <f>IF(OR(60758.70711="",60758.70711=0),"-",60758.70711)</f>
        <v>60758.70711</v>
      </c>
      <c r="D20" s="47">
        <f>IF(OR(67432.68474="",60758.70711="",67432.68474=0,60758.70711=0),"-",60758.70711/67432.68474*100)</f>
        <v>90.1027555765682</v>
      </c>
    </row>
    <row r="21" spans="1:4" ht="15.75">
      <c r="A21" s="39" t="s">
        <v>191</v>
      </c>
      <c r="B21" s="47">
        <f>IF(OR(-9627.08168="",-9627.08168=0),"-",-9627.08168)</f>
        <v>-9627.08168</v>
      </c>
      <c r="C21" s="47">
        <f>IF(OR(-13687.24345="",-13687.24345=0),"-",-13687.24345)</f>
        <v>-13687.24345</v>
      </c>
      <c r="D21" s="47">
        <f>IF(OR(-9627.08168="",-13687.24345="",-9627.08168=0,-13687.24345=0),"-",-13687.24345/-9627.08168*100)</f>
        <v>142.17437750045144</v>
      </c>
    </row>
    <row r="22" spans="1:4" ht="15.75">
      <c r="A22" s="32" t="s">
        <v>27</v>
      </c>
      <c r="B22" s="46">
        <f>IF(60181.99759="","-",60181.99759)</f>
        <v>60181.99759</v>
      </c>
      <c r="C22" s="46">
        <f>IF(64646.24791="","-",64646.24791)</f>
        <v>64646.24791</v>
      </c>
      <c r="D22" s="46">
        <f>IF(60181.99759="","-",64646.24791/60181.99759*100)</f>
        <v>107.41791648461631</v>
      </c>
    </row>
    <row r="23" spans="1:4" ht="15.75">
      <c r="A23" s="39" t="s">
        <v>192</v>
      </c>
      <c r="B23" s="47">
        <f>IF(OR(1714.34183="",1714.34183=0),"-",1714.34183)</f>
        <v>1714.34183</v>
      </c>
      <c r="C23" s="47">
        <f>IF(OR(834.78578="",834.78578=0),"-",834.78578)</f>
        <v>834.78578</v>
      </c>
      <c r="D23" s="47">
        <f>IF(OR(1714.34183="",834.78578="",1714.34183=0,834.78578=0),"-",834.78578/1714.34183*100)</f>
        <v>48.69424320119401</v>
      </c>
    </row>
    <row r="24" spans="1:4" ht="15.75">
      <c r="A24" s="39" t="s">
        <v>224</v>
      </c>
      <c r="B24" s="47">
        <f>IF(OR(89142.01005="",89142.01005=0),"-",89142.01005)</f>
        <v>89142.01005</v>
      </c>
      <c r="C24" s="47">
        <f>IF(OR(103172.93645="",103172.93645=0),"-",103172.93645)</f>
        <v>103172.93645</v>
      </c>
      <c r="D24" s="47">
        <f>IF(OR(89142.01005="",103172.93645="",89142.01005=0,103172.93645=0),"-",103172.93645/89142.01005*100)</f>
        <v>115.7399708533945</v>
      </c>
    </row>
    <row r="25" spans="1:4" ht="15.75">
      <c r="A25" s="39" t="s">
        <v>225</v>
      </c>
      <c r="B25" s="47">
        <f>IF(OR(-382.27131="",-382.27131=0),"-",-382.27131)</f>
        <v>-382.27131</v>
      </c>
      <c r="C25" s="47">
        <f>IF(OR(-706.55007="",-706.55007=0),"-",-706.55007)</f>
        <v>-706.55007</v>
      </c>
      <c r="D25" s="47" t="s">
        <v>113</v>
      </c>
    </row>
    <row r="26" spans="1:4" ht="15.75">
      <c r="A26" s="39" t="s">
        <v>193</v>
      </c>
      <c r="B26" s="47">
        <f>IF(OR(-14431.62553="",-14431.62553=0),"-",-14431.62553)</f>
        <v>-14431.62553</v>
      </c>
      <c r="C26" s="47">
        <f>IF(OR(-16833.42393="",-16833.42393=0),"-",-16833.42393)</f>
        <v>-16833.42393</v>
      </c>
      <c r="D26" s="47">
        <f>IF(OR(-14431.62553="",-16833.42393="",-14431.62553=0,-16833.42393=0),"-",-16833.42393/-14431.62553*100)</f>
        <v>116.64260477800798</v>
      </c>
    </row>
    <row r="27" spans="1:4" ht="15.75">
      <c r="A27" s="39" t="s">
        <v>241</v>
      </c>
      <c r="B27" s="47">
        <f>IF(OR(1405.98516="",1405.98516=0),"-",1405.98516)</f>
        <v>1405.98516</v>
      </c>
      <c r="C27" s="47">
        <f>IF(OR(1035.23003="",1035.23003=0),"-",1035.23003)</f>
        <v>1035.23003</v>
      </c>
      <c r="D27" s="47">
        <f>IF(OR(1405.98516="",1035.23003="",1405.98516=0,1035.23003=0),"-",1035.23003/1405.98516*100)</f>
        <v>73.63022451815921</v>
      </c>
    </row>
    <row r="28" spans="1:4" ht="25.5">
      <c r="A28" s="39" t="s">
        <v>226</v>
      </c>
      <c r="B28" s="47">
        <f>IF(OR(-4132.1753="",-4132.1753=0),"-",-4132.1753)</f>
        <v>-4132.1753</v>
      </c>
      <c r="C28" s="47">
        <f>IF(OR(-3489.51806="",-3489.51806=0),"-",-3489.51806)</f>
        <v>-3489.51806</v>
      </c>
      <c r="D28" s="47">
        <f>IF(OR(-4132.1753="",-3489.51806="",-4132.1753=0,-3489.51806=0),"-",-3489.51806/-4132.1753*100)</f>
        <v>84.44748362926423</v>
      </c>
    </row>
    <row r="29" spans="1:4" ht="25.5">
      <c r="A29" s="39" t="s">
        <v>194</v>
      </c>
      <c r="B29" s="47">
        <f>IF(OR(-991.92539="",-991.92539=0),"-",-991.92539)</f>
        <v>-991.92539</v>
      </c>
      <c r="C29" s="47">
        <f>IF(OR(-8770.90516="",-8770.90516=0),"-",-8770.90516)</f>
        <v>-8770.90516</v>
      </c>
      <c r="D29" s="47" t="s">
        <v>284</v>
      </c>
    </row>
    <row r="30" spans="1:4" ht="15.75">
      <c r="A30" s="39" t="s">
        <v>195</v>
      </c>
      <c r="B30" s="47">
        <f>IF(OR(7868.36442="",7868.36442=0),"-",7868.36442)</f>
        <v>7868.36442</v>
      </c>
      <c r="C30" s="47">
        <f>IF(OR(8267.09362="",8267.09362=0),"-",8267.09362)</f>
        <v>8267.09362</v>
      </c>
      <c r="D30" s="47">
        <f>IF(OR(7868.36442="",8267.09362="",7868.36442=0,8267.09362=0),"-",8267.09362/7868.36442*100)</f>
        <v>105.0674978777864</v>
      </c>
    </row>
    <row r="31" spans="1:4" ht="15.75">
      <c r="A31" s="39" t="s">
        <v>28</v>
      </c>
      <c r="B31" s="47">
        <f>IF(OR(-20010.70634="",-20010.70634=0),"-",-20010.70634)</f>
        <v>-20010.70634</v>
      </c>
      <c r="C31" s="47">
        <f>IF(OR(-18863.40075="",-18863.40075=0),"-",-18863.40075)</f>
        <v>-18863.40075</v>
      </c>
      <c r="D31" s="47">
        <f>IF(OR(-20010.70634="",-18863.40075="",-20010.70634=0,-18863.40075=0),"-",-18863.40075/-20010.70634*100)</f>
        <v>94.26654126792808</v>
      </c>
    </row>
    <row r="32" spans="1:4" ht="15.75">
      <c r="A32" s="32" t="s">
        <v>196</v>
      </c>
      <c r="B32" s="46">
        <f>IF(-427502.37757="","-",-427502.37757)</f>
        <v>-427502.37757</v>
      </c>
      <c r="C32" s="46">
        <f>IF(-448299.24472="","-",-448299.24472)</f>
        <v>-448299.24472</v>
      </c>
      <c r="D32" s="46">
        <f>IF(-427502.37757="","-",-448299.24472/-427502.37757*100)</f>
        <v>104.86473719005099</v>
      </c>
    </row>
    <row r="33" spans="1:4" ht="15.75">
      <c r="A33" s="39" t="s">
        <v>282</v>
      </c>
      <c r="B33" s="47">
        <f>IF(OR(-5136.36699="",-5136.36699=0),"-",-5136.36699)</f>
        <v>-5136.36699</v>
      </c>
      <c r="C33" s="47">
        <f>IF(OR(-8557.1419="",-8557.1419=0),"-",-8557.1419)</f>
        <v>-8557.1419</v>
      </c>
      <c r="D33" s="47" t="s">
        <v>114</v>
      </c>
    </row>
    <row r="34" spans="1:4" ht="15.75">
      <c r="A34" s="39" t="s">
        <v>197</v>
      </c>
      <c r="B34" s="47">
        <f>IF(OR(-261982.67337="",-261982.67337=0),"-",-261982.67337)</f>
        <v>-261982.67337</v>
      </c>
      <c r="C34" s="47">
        <f>IF(OR(-259287.87079="",-259287.87079=0),"-",-259287.87079)</f>
        <v>-259287.87079</v>
      </c>
      <c r="D34" s="47">
        <f>IF(OR(-261982.67337="",-259287.87079="",-261982.67337=0,-259287.87079=0),"-",-259287.87079/-261982.67337*100)</f>
        <v>98.97138137215886</v>
      </c>
    </row>
    <row r="35" spans="1:4" ht="15.75">
      <c r="A35" s="39" t="s">
        <v>227</v>
      </c>
      <c r="B35" s="47">
        <f>IF(OR(-137305.27029="",-137305.27029=0),"-",-137305.27029)</f>
        <v>-137305.27029</v>
      </c>
      <c r="C35" s="47">
        <f>IF(OR(-158696.34379="",-158696.34379=0),"-",-158696.34379)</f>
        <v>-158696.34379</v>
      </c>
      <c r="D35" s="47">
        <f>IF(OR(-137305.27029="",-158696.34379="",-137305.27029=0,-158696.34379=0),"-",-158696.34379/-137305.27029*100)</f>
        <v>115.57920788824809</v>
      </c>
    </row>
    <row r="36" spans="1:4" ht="15.75">
      <c r="A36" s="39" t="s">
        <v>29</v>
      </c>
      <c r="B36" s="47">
        <f>IF(OR(-23078.06692="",-23078.06692=0),"-",-23078.06692)</f>
        <v>-23078.06692</v>
      </c>
      <c r="C36" s="47">
        <f>IF(OR(-21757.88824="",-21757.88824=0),"-",-21757.88824)</f>
        <v>-21757.88824</v>
      </c>
      <c r="D36" s="47">
        <f>IF(OR(-23078.06692="",-21757.88824="",-23078.06692=0,-21757.88824=0),"-",-21757.88824/-23078.06692*100)</f>
        <v>94.2795092648947</v>
      </c>
    </row>
    <row r="37" spans="1:4" ht="15.75">
      <c r="A37" s="32" t="s">
        <v>198</v>
      </c>
      <c r="B37" s="46">
        <f>IF(42368.70722="","-",42368.70722)</f>
        <v>42368.70722</v>
      </c>
      <c r="C37" s="46">
        <f>IF(28937.12626="","-",28937.12626)</f>
        <v>28937.12626</v>
      </c>
      <c r="D37" s="46">
        <f>IF(42368.70722="","-",28937.12626/42368.70722*100)</f>
        <v>68.29834601689319</v>
      </c>
    </row>
    <row r="38" spans="1:4" ht="15.75">
      <c r="A38" s="39" t="s">
        <v>228</v>
      </c>
      <c r="B38" s="47">
        <f>IF(OR(-703.64811="",-703.64811=0),"-",-703.64811)</f>
        <v>-703.64811</v>
      </c>
      <c r="C38" s="47">
        <f>IF(OR(-677.82758="",-677.82758=0),"-",-677.82758)</f>
        <v>-677.82758</v>
      </c>
      <c r="D38" s="47">
        <f>IF(OR(-703.64811="",-677.82758="",-703.64811=0,-677.82758=0),"-",-677.82758/-703.64811*100)</f>
        <v>96.33047689135412</v>
      </c>
    </row>
    <row r="39" spans="1:4" ht="15.75">
      <c r="A39" s="39" t="s">
        <v>199</v>
      </c>
      <c r="B39" s="47">
        <f>IF(OR(44402.94747="",44402.94747=0),"-",44402.94747)</f>
        <v>44402.94747</v>
      </c>
      <c r="C39" s="47">
        <f>IF(OR(30909.49401="",30909.49401=0),"-",30909.49401)</f>
        <v>30909.49401</v>
      </c>
      <c r="D39" s="47">
        <f>IF(OR(44402.94747="",30909.49401="",44402.94747=0,30909.49401=0),"-",30909.49401/44402.94747*100)</f>
        <v>69.61135638773396</v>
      </c>
    </row>
    <row r="40" spans="1:4" ht="38.25">
      <c r="A40" s="39" t="s">
        <v>229</v>
      </c>
      <c r="B40" s="47">
        <f>IF(OR(-1330.59214="",-1330.59214=0),"-",-1330.59214)</f>
        <v>-1330.59214</v>
      </c>
      <c r="C40" s="47">
        <f>IF(OR(-1294.54017="",-1294.54017=0),"-",-1294.54017)</f>
        <v>-1294.54017</v>
      </c>
      <c r="D40" s="47">
        <f>IF(OR(-1330.59214="",-1294.54017="",-1330.59214=0,-1294.54017=0),"-",-1294.54017/-1330.59214*100)</f>
        <v>97.2905318680148</v>
      </c>
    </row>
    <row r="41" spans="1:4" ht="15" customHeight="1">
      <c r="A41" s="32" t="s">
        <v>200</v>
      </c>
      <c r="B41" s="46">
        <f>IF(-346940.28369="","-",-346940.28369)</f>
        <v>-346940.28369</v>
      </c>
      <c r="C41" s="46">
        <f>IF(-363058.36199="","-",-363058.36199)</f>
        <v>-363058.36199</v>
      </c>
      <c r="D41" s="46">
        <f>IF(-346940.28369="","-",-363058.36199/-346940.28369*100)</f>
        <v>104.64577884371649</v>
      </c>
    </row>
    <row r="42" spans="1:4" ht="14.25" customHeight="1">
      <c r="A42" s="39" t="s">
        <v>30</v>
      </c>
      <c r="B42" s="47">
        <f>IF(OR(2765.86983="",2765.86983=0),"-",2765.86983)</f>
        <v>2765.86983</v>
      </c>
      <c r="C42" s="47">
        <f>IF(OR(-2003.14075="",-2003.14075=0),"-",-2003.14075)</f>
        <v>-2003.14075</v>
      </c>
      <c r="D42" s="47" t="s">
        <v>22</v>
      </c>
    </row>
    <row r="43" spans="1:4" ht="15" customHeight="1">
      <c r="A43" s="39" t="s">
        <v>31</v>
      </c>
      <c r="B43" s="47">
        <f>IF(OR(-6590.90109="",-6590.90109=0),"-",-6590.90109)</f>
        <v>-6590.90109</v>
      </c>
      <c r="C43" s="47">
        <f>IF(OR(-7503.32529="",-7503.32529=0),"-",-7503.32529)</f>
        <v>-7503.32529</v>
      </c>
      <c r="D43" s="47">
        <f>IF(OR(-6590.90109="",-7503.32529="",-6590.90109=0,-7503.32529=0),"-",-7503.32529/-6590.90109*100)</f>
        <v>113.84369432253155</v>
      </c>
    </row>
    <row r="44" spans="1:4" ht="15.75">
      <c r="A44" s="39" t="s">
        <v>201</v>
      </c>
      <c r="B44" s="47">
        <f>IF(OR(-14599.68531="",-14599.68531=0),"-",-14599.68531)</f>
        <v>-14599.68531</v>
      </c>
      <c r="C44" s="47">
        <f>IF(OR(-16647.45833="",-16647.45833=0),"-",-16647.45833)</f>
        <v>-16647.45833</v>
      </c>
      <c r="D44" s="47">
        <f>IF(OR(-14599.68531="",-16647.45833="",-14599.68531=0,-16647.45833=0),"-",-16647.45833/-14599.68531*100)</f>
        <v>114.02614492380452</v>
      </c>
    </row>
    <row r="45" spans="1:4" ht="15.75">
      <c r="A45" s="39" t="s">
        <v>202</v>
      </c>
      <c r="B45" s="47">
        <f>IF(OR(-77818.56704="",-77818.56704=0),"-",-77818.56704)</f>
        <v>-77818.56704</v>
      </c>
      <c r="C45" s="47">
        <f>IF(OR(-83767.73247="",-83767.73247=0),"-",-83767.73247)</f>
        <v>-83767.73247</v>
      </c>
      <c r="D45" s="47">
        <f>IF(OR(-77818.56704="",-83767.73247="",-77818.56704=0,-83767.73247=0),"-",-83767.73247/-77818.56704*100)</f>
        <v>107.64491773144837</v>
      </c>
    </row>
    <row r="46" spans="1:4" ht="25.5">
      <c r="A46" s="39" t="s">
        <v>203</v>
      </c>
      <c r="B46" s="47">
        <f>IF(OR(-44368.24409="",-44368.24409=0),"-",-44368.24409)</f>
        <v>-44368.24409</v>
      </c>
      <c r="C46" s="47">
        <f>IF(OR(-47460.08044="",-47460.08044=0),"-",-47460.08044)</f>
        <v>-47460.08044</v>
      </c>
      <c r="D46" s="47">
        <f>IF(OR(-44368.24409="",-47460.08044="",-44368.24409=0,-47460.08044=0),"-",-47460.08044/-44368.24409*100)</f>
        <v>106.96857947258016</v>
      </c>
    </row>
    <row r="47" spans="1:4" ht="15.75">
      <c r="A47" s="39" t="s">
        <v>204</v>
      </c>
      <c r="B47" s="47">
        <f>IF(OR(-42433.90478="",-42433.90478=0),"-",-42433.90478)</f>
        <v>-42433.90478</v>
      </c>
      <c r="C47" s="47">
        <f>IF(OR(-44566.19685="",-44566.19685=0),"-",-44566.19685)</f>
        <v>-44566.19685</v>
      </c>
      <c r="D47" s="47">
        <f>IF(OR(-42433.90478="",-44566.19685="",-42433.90478=0,-44566.19685=0),"-",-44566.19685/-42433.90478*100)</f>
        <v>105.02497255686211</v>
      </c>
    </row>
    <row r="48" spans="1:4" ht="15.75">
      <c r="A48" s="39" t="s">
        <v>32</v>
      </c>
      <c r="B48" s="47">
        <f>IF(OR(-26268.48427="",-26268.48427=0),"-",-26268.48427)</f>
        <v>-26268.48427</v>
      </c>
      <c r="C48" s="47">
        <f>IF(OR(-24245.50869="",-24245.50869=0),"-",-24245.50869)</f>
        <v>-24245.50869</v>
      </c>
      <c r="D48" s="47">
        <f>IF(OR(-26268.48427="",-24245.50869="",-26268.48427=0,-24245.50869=0),"-",-24245.50869/-26268.48427*100)</f>
        <v>92.29884922477105</v>
      </c>
    </row>
    <row r="49" spans="1:4" ht="15.75">
      <c r="A49" s="39" t="s">
        <v>33</v>
      </c>
      <c r="B49" s="47">
        <f>IF(OR(-50095.07166="",-50095.07166=0),"-",-50095.07166)</f>
        <v>-50095.07166</v>
      </c>
      <c r="C49" s="47">
        <f>IF(OR(-51993.68649="",-51993.68649=0),"-",-51993.68649)</f>
        <v>-51993.68649</v>
      </c>
      <c r="D49" s="47">
        <f>IF(OR(-50095.07166="",-51993.68649="",-50095.07166=0,-51993.68649=0),"-",-51993.68649/-50095.07166*100)</f>
        <v>103.79002318408901</v>
      </c>
    </row>
    <row r="50" spans="1:4" ht="15.75">
      <c r="A50" s="39" t="s">
        <v>205</v>
      </c>
      <c r="B50" s="47">
        <f>IF(OR(-87531.29528="",-87531.29528=0),"-",-87531.29528)</f>
        <v>-87531.29528</v>
      </c>
      <c r="C50" s="47">
        <f>IF(OR(-84871.23268="",-84871.23268=0),"-",-84871.23268)</f>
        <v>-84871.23268</v>
      </c>
      <c r="D50" s="47">
        <f>IF(OR(-87531.29528="",-84871.23268="",-87531.29528=0,-84871.23268=0),"-",-84871.23268/-87531.29528*100)</f>
        <v>96.96101538142346</v>
      </c>
    </row>
    <row r="51" spans="1:4" ht="25.5">
      <c r="A51" s="32" t="s">
        <v>34</v>
      </c>
      <c r="B51" s="46">
        <f>IF(-455132.02629="","-",-455132.02629)</f>
        <v>-455132.02629</v>
      </c>
      <c r="C51" s="46">
        <f>IF(-439852.47694="","-",-439852.47694)</f>
        <v>-439852.47694</v>
      </c>
      <c r="D51" s="46">
        <f>IF(-455132.02629="","-",-439852.47694/-455132.02629*100)</f>
        <v>96.64283142749788</v>
      </c>
    </row>
    <row r="52" spans="1:4" ht="15" customHeight="1">
      <c r="A52" s="39" t="s">
        <v>206</v>
      </c>
      <c r="B52" s="47">
        <f>IF(OR(-29623.02311="",-29623.02311=0),"-",-29623.02311)</f>
        <v>-29623.02311</v>
      </c>
      <c r="C52" s="47">
        <f>IF(OR(-25503.14386="",-25503.14386=0),"-",-25503.14386)</f>
        <v>-25503.14386</v>
      </c>
      <c r="D52" s="47">
        <f>IF(OR(-29623.02311="",-25503.14386="",-29623.02311=0,-25503.14386=0),"-",-25503.14386/-29623.02311*100)</f>
        <v>86.09230653231597</v>
      </c>
    </row>
    <row r="53" spans="1:4" ht="15" customHeight="1">
      <c r="A53" s="39" t="s">
        <v>35</v>
      </c>
      <c r="B53" s="47">
        <f>IF(OR(-29393.17959="",-29393.17959=0),"-",-29393.17959)</f>
        <v>-29393.17959</v>
      </c>
      <c r="C53" s="47">
        <f>IF(OR(-27851.11439="",-27851.11439=0),"-",-27851.11439)</f>
        <v>-27851.11439</v>
      </c>
      <c r="D53" s="47">
        <f>IF(OR(-29393.17959="",-27851.11439="",-29393.17959=0,-27851.11439=0),"-",-27851.11439/-29393.17959*100)</f>
        <v>94.75366319156355</v>
      </c>
    </row>
    <row r="54" spans="1:4" ht="15.75">
      <c r="A54" s="39" t="s">
        <v>36</v>
      </c>
      <c r="B54" s="47">
        <f>IF(OR(-29096.08309="",-29096.08309=0),"-",-29096.08309)</f>
        <v>-29096.08309</v>
      </c>
      <c r="C54" s="47">
        <f>IF(OR(-29587.28258="",-29587.28258=0),"-",-29587.28258)</f>
        <v>-29587.28258</v>
      </c>
      <c r="D54" s="47">
        <f>IF(OR(-29096.08309="",-29587.28258="",-29096.08309=0,-29587.28258=0),"-",-29587.28258/-29096.08309*100)</f>
        <v>101.68819799036393</v>
      </c>
    </row>
    <row r="55" spans="1:4" ht="25.5">
      <c r="A55" s="39" t="s">
        <v>207</v>
      </c>
      <c r="B55" s="47">
        <f>IF(OR(-42624.58211="",-42624.58211=0),"-",-42624.58211)</f>
        <v>-42624.58211</v>
      </c>
      <c r="C55" s="47">
        <f>IF(OR(-45583.15395="",-45583.15395=0),"-",-45583.15395)</f>
        <v>-45583.15395</v>
      </c>
      <c r="D55" s="47">
        <f>IF(OR(-42624.58211="",-45583.15395="",-42624.58211=0,-45583.15395=0),"-",-45583.15395/-42624.58211*100)</f>
        <v>106.94099905159162</v>
      </c>
    </row>
    <row r="56" spans="1:4" ht="25.5">
      <c r="A56" s="39" t="s">
        <v>208</v>
      </c>
      <c r="B56" s="47">
        <f>IF(OR(-115456.38704="",-115456.38704=0),"-",-115456.38704)</f>
        <v>-115456.38704</v>
      </c>
      <c r="C56" s="47">
        <f>IF(OR(-104717.7574="",-104717.7574=0),"-",-104717.7574)</f>
        <v>-104717.7574</v>
      </c>
      <c r="D56" s="47">
        <f>IF(OR(-115456.38704="",-104717.7574="",-115456.38704=0,-104717.7574=0),"-",-104717.7574/-115456.38704*100)</f>
        <v>90.69897307952345</v>
      </c>
    </row>
    <row r="57" spans="1:4" ht="15.75">
      <c r="A57" s="39" t="s">
        <v>37</v>
      </c>
      <c r="B57" s="47">
        <f>IF(OR(-32121.36295="",-32121.36295=0),"-",-32121.36295)</f>
        <v>-32121.36295</v>
      </c>
      <c r="C57" s="47">
        <f>IF(OR(-35061.8528="",-35061.8528=0),"-",-35061.8528)</f>
        <v>-35061.8528</v>
      </c>
      <c r="D57" s="47">
        <f>IF(OR(-32121.36295="",-35061.8528="",-32121.36295=0,-35061.8528=0),"-",-35061.8528/-32121.36295*100)</f>
        <v>109.15431220828692</v>
      </c>
    </row>
    <row r="58" spans="1:4" ht="15.75">
      <c r="A58" s="39" t="s">
        <v>209</v>
      </c>
      <c r="B58" s="47">
        <f>IF(OR(-59623.09475="",-59623.09475=0),"-",-59623.09475)</f>
        <v>-59623.09475</v>
      </c>
      <c r="C58" s="47">
        <f>IF(OR(-59919.30246="",-59919.30246=0),"-",-59919.30246)</f>
        <v>-59919.30246</v>
      </c>
      <c r="D58" s="47">
        <f>IF(OR(-59623.09475="",-59919.30246="",-59623.09475=0,-59919.30246=0),"-",-59919.30246/-59623.09475*100)</f>
        <v>100.4968002939834</v>
      </c>
    </row>
    <row r="59" spans="1:4" ht="15.75">
      <c r="A59" s="39" t="s">
        <v>38</v>
      </c>
      <c r="B59" s="47">
        <f>IF(OR(-51612.96828="",-51612.96828=0),"-",-51612.96828)</f>
        <v>-51612.96828</v>
      </c>
      <c r="C59" s="47">
        <f>IF(OR(-44855.52557="",-44855.52557=0),"-",-44855.52557)</f>
        <v>-44855.52557</v>
      </c>
      <c r="D59" s="47">
        <f>IF(OR(-51612.96828="",-44855.52557="",-51612.96828=0,-44855.52557=0),"-",-44855.52557/-51612.96828*100)</f>
        <v>86.90747125152555</v>
      </c>
    </row>
    <row r="60" spans="1:4" ht="15.75">
      <c r="A60" s="39" t="s">
        <v>39</v>
      </c>
      <c r="B60" s="47">
        <f>IF(OR(-65581.34537="",-65581.34537=0),"-",-65581.34537)</f>
        <v>-65581.34537</v>
      </c>
      <c r="C60" s="47">
        <f>IF(OR(-66773.34393="",-66773.34393=0),"-",-66773.34393)</f>
        <v>-66773.34393</v>
      </c>
      <c r="D60" s="47">
        <f>IF(OR(-65581.34537="",-66773.34393="",-65581.34537=0,-66773.34393=0),"-",-66773.34393/-65581.34537*100)</f>
        <v>101.81758784190068</v>
      </c>
    </row>
    <row r="61" spans="1:4" ht="15.75">
      <c r="A61" s="32" t="s">
        <v>210</v>
      </c>
      <c r="B61" s="46">
        <f>IF(-384699.24629="","-",-384699.24629)</f>
        <v>-384699.24629</v>
      </c>
      <c r="C61" s="46">
        <f>IF(-315326.00437="","-",-315326.00437)</f>
        <v>-315326.00437</v>
      </c>
      <c r="D61" s="46">
        <f>IF(-384699.24629="","-",-315326.00437/-384699.24629*100)</f>
        <v>81.96688904669598</v>
      </c>
    </row>
    <row r="62" spans="1:4" ht="15.75">
      <c r="A62" s="39" t="s">
        <v>211</v>
      </c>
      <c r="B62" s="47">
        <f>IF(OR(-12768.71817="",-12768.71817=0),"-",-12768.71817)</f>
        <v>-12768.71817</v>
      </c>
      <c r="C62" s="47">
        <f>IF(OR(-7018.94606="",-7018.94606=0),"-",-7018.94606)</f>
        <v>-7018.94606</v>
      </c>
      <c r="D62" s="47">
        <f>IF(OR(-12768.71817="",-7018.94606="",-12768.71817=0,-7018.94606=0),"-",-7018.94606/-12768.71817*100)</f>
        <v>54.969856539640425</v>
      </c>
    </row>
    <row r="63" spans="1:4" ht="15.75">
      <c r="A63" s="39" t="s">
        <v>230</v>
      </c>
      <c r="B63" s="47">
        <f>IF(OR(-102396.52349="",-102396.52349=0),"-",-102396.52349)</f>
        <v>-102396.52349</v>
      </c>
      <c r="C63" s="47">
        <f>IF(OR(-91811.54257="",-91811.54257=0),"-",-91811.54257)</f>
        <v>-91811.54257</v>
      </c>
      <c r="D63" s="47">
        <f>IF(OR(-102396.52349="",-91811.54257="",-102396.52349=0,-91811.54257=0),"-",-91811.54257/-102396.52349*100)</f>
        <v>89.66275361776933</v>
      </c>
    </row>
    <row r="64" spans="1:4" ht="15.75">
      <c r="A64" s="39" t="s">
        <v>212</v>
      </c>
      <c r="B64" s="47">
        <f>IF(OR(-4964.77017="",-4964.77017=0),"-",-4964.77017)</f>
        <v>-4964.77017</v>
      </c>
      <c r="C64" s="47">
        <f>IF(OR(-3630.19737="",-3630.19737=0),"-",-3630.19737)</f>
        <v>-3630.19737</v>
      </c>
      <c r="D64" s="47">
        <f>IF(OR(-4964.77017="",-3630.19737="",-4964.77017=0,-3630.19737=0),"-",-3630.19737/-4964.77017*100)</f>
        <v>73.11914239123783</v>
      </c>
    </row>
    <row r="65" spans="1:4" ht="25.5">
      <c r="A65" s="39" t="s">
        <v>213</v>
      </c>
      <c r="B65" s="47">
        <f>IF(OR(-72402.43882="",-72402.43882=0),"-",-72402.43882)</f>
        <v>-72402.43882</v>
      </c>
      <c r="C65" s="47">
        <f>IF(OR(-80858.8698="",-80858.8698=0),"-",-80858.8698)</f>
        <v>-80858.8698</v>
      </c>
      <c r="D65" s="47">
        <f>IF(OR(-72402.43882="",-80858.8698="",-72402.43882=0,-80858.8698=0),"-",-80858.8698/-72402.43882*100)</f>
        <v>111.67975985038787</v>
      </c>
    </row>
    <row r="66" spans="1:4" ht="25.5">
      <c r="A66" s="39" t="s">
        <v>214</v>
      </c>
      <c r="B66" s="47">
        <f>IF(OR(-24216.79585="",-24216.79585=0),"-",-24216.79585)</f>
        <v>-24216.79585</v>
      </c>
      <c r="C66" s="47">
        <f>IF(OR(-21674.44689="",-21674.44689=0),"-",-21674.44689)</f>
        <v>-21674.44689</v>
      </c>
      <c r="D66" s="47">
        <f>IF(OR(-24216.79585="",-21674.44689="",-24216.79585=0,-21674.44689=0),"-",-21674.44689/-24216.79585*100)</f>
        <v>89.50171205246379</v>
      </c>
    </row>
    <row r="67" spans="1:4" ht="25.5">
      <c r="A67" s="39" t="s">
        <v>215</v>
      </c>
      <c r="B67" s="47">
        <f>IF(OR(-65954.10298="",-65954.10298=0),"-",-65954.10298)</f>
        <v>-65954.10298</v>
      </c>
      <c r="C67" s="47">
        <f>IF(OR(-69630.90526="",-69630.90526=0),"-",-69630.90526)</f>
        <v>-69630.90526</v>
      </c>
      <c r="D67" s="47">
        <f>IF(OR(-65954.10298="",-69630.90526="",-65954.10298=0,-69630.90526=0),"-",-69630.90526/-65954.10298*100)</f>
        <v>105.5747893063074</v>
      </c>
    </row>
    <row r="68" spans="1:4" ht="28.5" customHeight="1">
      <c r="A68" s="39" t="s">
        <v>231</v>
      </c>
      <c r="B68" s="47">
        <f>IF(OR(35071.41945="",35071.41945=0),"-",35071.41945)</f>
        <v>35071.41945</v>
      </c>
      <c r="C68" s="47">
        <f>IF(OR(104787.72531="",104787.72531=0),"-",104787.72531)</f>
        <v>104787.72531</v>
      </c>
      <c r="D68" s="47" t="s">
        <v>285</v>
      </c>
    </row>
    <row r="69" spans="1:4" ht="15.75">
      <c r="A69" s="39" t="s">
        <v>40</v>
      </c>
      <c r="B69" s="47">
        <f>IF(OR(-135872.44817="",-135872.44817=0),"-",-135872.44817)</f>
        <v>-135872.44817</v>
      </c>
      <c r="C69" s="47">
        <f>IF(OR(-145250.57596="",-145250.57596=0),"-",-145250.57596)</f>
        <v>-145250.57596</v>
      </c>
      <c r="D69" s="47">
        <f>IF(OR(-135872.44817="",-145250.57596="",-135872.44817=0,-145250.57596=0),"-",-145250.57596/-135872.44817*100)</f>
        <v>106.90215559983605</v>
      </c>
    </row>
    <row r="70" spans="1:4" ht="15.75">
      <c r="A70" s="39" t="s">
        <v>41</v>
      </c>
      <c r="B70" s="47">
        <f>IF(OR(-1194.86809="",-1194.86809=0),"-",-1194.86809)</f>
        <v>-1194.86809</v>
      </c>
      <c r="C70" s="47">
        <f>IF(OR(-238.24577="",-238.24577=0),"-",-238.24577)</f>
        <v>-238.24577</v>
      </c>
      <c r="D70" s="47">
        <f>IF(OR(-1194.86809="",-238.24577="",-1194.86809=0,-238.24577=0),"-",-238.24577/-1194.86809*100)</f>
        <v>19.939085493529248</v>
      </c>
    </row>
    <row r="71" spans="1:4" ht="15.75">
      <c r="A71" s="32" t="s">
        <v>42</v>
      </c>
      <c r="B71" s="46">
        <f>IF(39114.32823="","-",39114.32823)</f>
        <v>39114.32823</v>
      </c>
      <c r="C71" s="46">
        <f>IF(-6962.31871="","-",-6962.31871)</f>
        <v>-6962.31871</v>
      </c>
      <c r="D71" s="46" t="s">
        <v>22</v>
      </c>
    </row>
    <row r="72" spans="1:4" ht="25.5">
      <c r="A72" s="39" t="s">
        <v>216</v>
      </c>
      <c r="B72" s="47">
        <f>IF(OR(-14114.90249="",-14114.90249=0),"-",-14114.90249)</f>
        <v>-14114.90249</v>
      </c>
      <c r="C72" s="47">
        <f>IF(OR(-16105.05884="",-16105.05884=0),"-",-16105.05884)</f>
        <v>-16105.05884</v>
      </c>
      <c r="D72" s="47">
        <f>IF(OR(-14114.90249="",-16105.05884="",-14114.90249=0,-16105.05884=0),"-",-16105.05884/-14114.90249*100)</f>
        <v>114.09968188876947</v>
      </c>
    </row>
    <row r="73" spans="1:4" ht="15.75">
      <c r="A73" s="39" t="s">
        <v>283</v>
      </c>
      <c r="B73" s="47">
        <f>IF(OR(55104.43811="",55104.43811=0),"-",55104.43811)</f>
        <v>55104.43811</v>
      </c>
      <c r="C73" s="47">
        <f>IF(OR(46865.52402="",46865.52402=0),"-",46865.52402)</f>
        <v>46865.52402</v>
      </c>
      <c r="D73" s="47">
        <f>IF(OR(55104.43811="",46865.52402="",55104.43811=0,46865.52402=0),"-",46865.52402/55104.43811*100)</f>
        <v>85.04854713597949</v>
      </c>
    </row>
    <row r="74" spans="1:4" ht="15.75">
      <c r="A74" s="39" t="s">
        <v>218</v>
      </c>
      <c r="B74" s="47">
        <f>IF(OR(5358.21481="",5358.21481=0),"-",5358.21481)</f>
        <v>5358.21481</v>
      </c>
      <c r="C74" s="47">
        <f>IF(OR(1846.49794="",1846.49794=0),"-",1846.49794)</f>
        <v>1846.49794</v>
      </c>
      <c r="D74" s="47">
        <f>IF(OR(5358.21481="",1846.49794="",5358.21481=0,1846.49794=0),"-",1846.49794/5358.21481*100)</f>
        <v>34.46106596088483</v>
      </c>
    </row>
    <row r="75" spans="1:4" ht="15.75">
      <c r="A75" s="39" t="s">
        <v>219</v>
      </c>
      <c r="B75" s="47">
        <f>IF(OR(89571.19469="",89571.19469=0),"-",89571.19469)</f>
        <v>89571.19469</v>
      </c>
      <c r="C75" s="47">
        <f>IF(OR(73882.78301="",73882.78301=0),"-",73882.78301)</f>
        <v>73882.78301</v>
      </c>
      <c r="D75" s="47">
        <f>IF(OR(89571.19469="",73882.78301="",89571.19469=0,73882.78301=0),"-",73882.78301/89571.19469*100)</f>
        <v>82.4849810987823</v>
      </c>
    </row>
    <row r="76" spans="1:4" ht="15.75">
      <c r="A76" s="39" t="s">
        <v>220</v>
      </c>
      <c r="B76" s="47">
        <f>IF(OR(-1988.03524="",-1988.03524=0),"-",-1988.03524)</f>
        <v>-1988.03524</v>
      </c>
      <c r="C76" s="47">
        <f>IF(OR(-6429.7988="",-6429.7988=0),"-",-6429.7988)</f>
        <v>-6429.7988</v>
      </c>
      <c r="D76" s="47" t="s">
        <v>124</v>
      </c>
    </row>
    <row r="77" spans="1:4" ht="15.75">
      <c r="A77" s="39" t="s">
        <v>221</v>
      </c>
      <c r="B77" s="47">
        <f>IF(OR(-13720.88172="",-13720.88172=0),"-",-13720.88172)</f>
        <v>-13720.88172</v>
      </c>
      <c r="C77" s="47">
        <f>IF(OR(-18373.25592="",-18373.25592=0),"-",-18373.25592)</f>
        <v>-18373.25592</v>
      </c>
      <c r="D77" s="47">
        <f>IF(OR(-13720.88172="",-18373.25592="",-13720.88172=0,-18373.25592=0),"-",-18373.25592/-13720.88172*100)</f>
        <v>133.90725388455576</v>
      </c>
    </row>
    <row r="78" spans="1:4" ht="25.5">
      <c r="A78" s="39" t="s">
        <v>222</v>
      </c>
      <c r="B78" s="47">
        <f>IF(OR(-4674.90396="",-4674.90396=0),"-",-4674.90396)</f>
        <v>-4674.90396</v>
      </c>
      <c r="C78" s="47">
        <f>IF(OR(-3871.91873="",-3871.91873=0),"-",-3871.91873)</f>
        <v>-3871.91873</v>
      </c>
      <c r="D78" s="47">
        <f>IF(OR(-4674.90396="",-3871.91873="",-4674.90396=0,-3871.91873=0),"-",-3871.91873/-4674.90396*100)</f>
        <v>82.82349248518038</v>
      </c>
    </row>
    <row r="79" spans="1:4" ht="15.75">
      <c r="A79" s="44" t="s">
        <v>43</v>
      </c>
      <c r="B79" s="51">
        <f>IF(OR(-76420.79597="",-76420.79597=0),"-",-76420.79597)</f>
        <v>-76420.79597</v>
      </c>
      <c r="C79" s="51">
        <f>IF(OR(-84777.09139="",-84777.09139=0),"-",-84777.09139)</f>
        <v>-84777.09139</v>
      </c>
      <c r="D79" s="51">
        <f>IF(OR(-76420.79597="",-84777.09139="",-76420.79597=0,-84777.09139=0),"-",-84777.09139/-76420.79597*100)</f>
        <v>110.93458307249296</v>
      </c>
    </row>
    <row r="80" spans="1:4" ht="16.5" customHeight="1">
      <c r="A80" s="43" t="s">
        <v>223</v>
      </c>
      <c r="B80" s="50">
        <f>IF(323.82245="","-",323.82245)</f>
        <v>323.82245</v>
      </c>
      <c r="C80" s="50">
        <f>IF(322.17203="","-",322.17203)</f>
        <v>322.17203</v>
      </c>
      <c r="D80" s="50">
        <f>IF(323.82245="","-",322.17203/323.82245*100)</f>
        <v>99.49033181609242</v>
      </c>
    </row>
    <row r="81" ht="15.75">
      <c r="A81" s="27" t="s">
        <v>21</v>
      </c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2019-08-14T12:03:05Z</cp:lastPrinted>
  <dcterms:created xsi:type="dcterms:W3CDTF">2016-09-01T07:59:47Z</dcterms:created>
  <dcterms:modified xsi:type="dcterms:W3CDTF">2019-08-15T05:34:57Z</dcterms:modified>
  <cp:category/>
  <cp:version/>
  <cp:contentType/>
  <cp:contentStatus/>
</cp:coreProperties>
</file>