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11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45" i="3" l="1"/>
  <c r="C145" i="3"/>
  <c r="D143" i="3"/>
  <c r="C143" i="3"/>
  <c r="D139" i="3"/>
  <c r="C139" i="3"/>
  <c r="D134" i="3"/>
  <c r="C134" i="3"/>
  <c r="C132" i="3"/>
  <c r="D130" i="3"/>
  <c r="C130" i="3"/>
  <c r="D127" i="3"/>
  <c r="C127" i="3"/>
  <c r="D121" i="3"/>
  <c r="C121" i="3"/>
  <c r="C114" i="3"/>
  <c r="D109" i="3"/>
  <c r="C109" i="3"/>
  <c r="D106" i="3"/>
  <c r="C106" i="3"/>
  <c r="C105" i="3"/>
  <c r="C102" i="3"/>
  <c r="C101" i="3"/>
  <c r="D98" i="3"/>
  <c r="C98" i="3"/>
  <c r="D95" i="3"/>
  <c r="C95" i="3"/>
  <c r="D94" i="3"/>
  <c r="C94" i="3"/>
  <c r="D93" i="3"/>
  <c r="C93" i="3"/>
  <c r="D92" i="3"/>
  <c r="C92" i="3"/>
  <c r="D90" i="3"/>
  <c r="C90" i="3"/>
  <c r="C86" i="3"/>
  <c r="D82" i="3"/>
  <c r="C82" i="3"/>
  <c r="C73" i="3"/>
  <c r="D72" i="3"/>
  <c r="C72" i="3"/>
  <c r="D65" i="3"/>
  <c r="C65" i="3"/>
  <c r="D62" i="3"/>
  <c r="C62" i="3"/>
  <c r="D60" i="3"/>
  <c r="C60" i="3"/>
  <c r="C59" i="3"/>
  <c r="D56" i="3"/>
  <c r="C56" i="3"/>
  <c r="C54" i="3"/>
  <c r="D53" i="3"/>
  <c r="C53" i="3"/>
  <c r="D50" i="3"/>
  <c r="C50" i="3"/>
  <c r="D48" i="3"/>
  <c r="C48" i="3"/>
  <c r="D46" i="3"/>
  <c r="D45" i="3"/>
  <c r="D44" i="3"/>
  <c r="D43" i="3"/>
  <c r="D42" i="3"/>
  <c r="D40" i="3"/>
  <c r="D39" i="3"/>
  <c r="D37" i="3"/>
  <c r="D36" i="3"/>
  <c r="D35" i="3"/>
  <c r="D33" i="3"/>
  <c r="D32" i="3"/>
  <c r="D29" i="3"/>
  <c r="D28" i="3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5" i="3"/>
  <c r="E40" i="8" l="1"/>
  <c r="D40" i="8"/>
  <c r="E39" i="8"/>
  <c r="D39" i="8"/>
  <c r="E38" i="8"/>
  <c r="D38" i="8"/>
  <c r="E37" i="8"/>
  <c r="D37" i="8"/>
  <c r="E36" i="8"/>
  <c r="D36" i="8"/>
  <c r="E35" i="8"/>
  <c r="D35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4" i="8"/>
  <c r="D24" i="8"/>
  <c r="E23" i="8"/>
  <c r="D23" i="8"/>
  <c r="E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D39" i="7" l="1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6" i="4" l="1"/>
  <c r="D80" i="4" l="1"/>
  <c r="D79" i="4"/>
  <c r="D78" i="4"/>
  <c r="D77" i="4"/>
  <c r="D76" i="4"/>
  <c r="D75" i="4"/>
  <c r="D74" i="4"/>
  <c r="D73" i="4"/>
  <c r="D72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8" i="4"/>
  <c r="D37" i="4"/>
  <c r="D36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G81" i="6" l="1"/>
  <c r="F81" i="6"/>
  <c r="E81" i="6"/>
  <c r="D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G70" i="6"/>
  <c r="F70" i="6"/>
  <c r="E70" i="6"/>
  <c r="D70" i="6"/>
  <c r="C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7" i="6"/>
  <c r="F7" i="6"/>
  <c r="C7" i="6"/>
  <c r="G81" i="5" l="1"/>
  <c r="F81" i="5"/>
  <c r="E81" i="5"/>
  <c r="D81" i="5"/>
  <c r="C81" i="5"/>
  <c r="G80" i="5"/>
  <c r="F80" i="5"/>
  <c r="E80" i="5"/>
  <c r="D80" i="5"/>
  <c r="C80" i="5"/>
  <c r="G79" i="5"/>
  <c r="F79" i="5"/>
  <c r="E79" i="5"/>
  <c r="D79" i="5"/>
  <c r="C79" i="5"/>
  <c r="G78" i="5"/>
  <c r="F78" i="5"/>
  <c r="E78" i="5"/>
  <c r="D78" i="5"/>
  <c r="C78" i="5"/>
  <c r="G77" i="5"/>
  <c r="F77" i="5"/>
  <c r="E77" i="5"/>
  <c r="D77" i="5"/>
  <c r="C77" i="5"/>
  <c r="G76" i="5"/>
  <c r="F76" i="5"/>
  <c r="E76" i="5"/>
  <c r="D76" i="5"/>
  <c r="C76" i="5"/>
  <c r="G75" i="5"/>
  <c r="F75" i="5"/>
  <c r="E75" i="5"/>
  <c r="D75" i="5"/>
  <c r="C75" i="5"/>
  <c r="G74" i="5"/>
  <c r="F74" i="5"/>
  <c r="E74" i="5"/>
  <c r="D74" i="5"/>
  <c r="C74" i="5"/>
  <c r="G73" i="5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G70" i="5"/>
  <c r="F70" i="5"/>
  <c r="E70" i="5"/>
  <c r="D70" i="5"/>
  <c r="C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G66" i="5"/>
  <c r="F66" i="5"/>
  <c r="E66" i="5"/>
  <c r="D66" i="5"/>
  <c r="C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G35" i="5"/>
  <c r="F35" i="5"/>
  <c r="E35" i="5"/>
  <c r="D35" i="5"/>
  <c r="C35" i="5"/>
  <c r="G34" i="5"/>
  <c r="F34" i="5"/>
  <c r="E34" i="5"/>
  <c r="D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7" i="5"/>
  <c r="F7" i="5"/>
  <c r="C7" i="5"/>
  <c r="G122" i="2" l="1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C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13" i="1" l="1"/>
  <c r="F113" i="1"/>
  <c r="E113" i="1"/>
  <c r="D113" i="1"/>
  <c r="G112" i="1"/>
  <c r="F112" i="1"/>
  <c r="E112" i="1"/>
  <c r="D112" i="1"/>
  <c r="C112" i="1"/>
  <c r="G111" i="1"/>
  <c r="F111" i="1"/>
  <c r="E111" i="1"/>
  <c r="D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<sst xmlns="http://schemas.openxmlformats.org/spreadsheetml/2006/main" count="826" uniqueCount="301">
  <si>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</si>
  <si>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</si>
  <si>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</si>
  <si>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</si>
  <si>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</si>
  <si>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</si>
  <si>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</si>
  <si>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</si>
  <si>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</si>
  <si>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</si>
  <si>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</si>
  <si>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</si>
  <si>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</si>
  <si>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</si>
  <si>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</si>
  <si>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</si>
  <si>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</si>
  <si>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</si>
  <si>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</si>
  <si>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</si>
  <si>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</si>
  <si>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</si>
  <si>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</si>
  <si>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</si>
  <si>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</si>
  <si>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</si>
  <si>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</si>
  <si>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</si>
  <si>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</si>
  <si>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</si>
  <si>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</si>
  <si>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</si>
  <si>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</si>
  <si>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</si>
  <si>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</si>
  <si>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</si>
  <si>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</si>
  <si>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</si>
  <si>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</si>
  <si>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</si>
  <si>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</si>
  <si>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</si>
  <si>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</si>
  <si>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</si>
  <si>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</si>
  <si>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</si>
  <si>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</si>
  <si>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</si>
  <si>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</si>
  <si>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</si>
  <si>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</si>
  <si>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</si>
  <si>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</si>
  <si>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</si>
  <si>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</si>
  <si>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</si>
  <si>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</si>
  <si>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</si>
  <si>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</si>
  <si>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</si>
  <si>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</si>
  <si>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</si>
  <si>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</si>
  <si>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</si>
  <si>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</si>
  <si>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</si>
  <si>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</si>
  <si>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</si>
  <si>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</si>
  <si>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</si>
  <si>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</si>
  <si>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</si>
  <si>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</si>
  <si>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</si>
  <si>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</si>
  <si>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</si>
  <si>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</si>
  <si>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</si>
  <si>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</si>
  <si>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</si>
  <si>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</si>
  <si>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</si>
  <si>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</si>
  <si>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</si>
  <si>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</si>
  <si>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</si>
  <si>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</si>
  <si>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</si>
  <si>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</si>
  <si>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</si>
  <si>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</si>
  <si>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</si>
  <si>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</si>
  <si>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</si>
  <si>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</si>
  <si>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</si>
  <si>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</si>
  <si>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</si>
  <si>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</si>
  <si>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</si>
  <si>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</si>
  <si>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</si>
  <si>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</si>
  <si>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</si>
  <si>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</si>
  <si>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</si>
  <si>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</si>
  <si>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</si>
  <si>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</si>
  <si>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</si>
  <si>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</si>
  <si>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</si>
  <si>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</si>
  <si>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</si>
  <si>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</si>
  <si>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</si>
  <si>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</si>
  <si>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</si>
  <si>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</si>
  <si>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</si>
  <si>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</si>
  <si>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</si>
  <si>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</si>
  <si>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</si>
  <si>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</si>
  <si>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</si>
  <si>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</si>
  <si>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</si>
  <si>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</si>
  <si>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</si>
  <si>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</si>
  <si>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</si>
  <si>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</si>
  <si>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</si>
  <si>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</si>
  <si>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</si>
  <si>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</si>
  <si>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</si>
  <si>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</si>
  <si>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</si>
  <si>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</si>
  <si>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</si>
  <si>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</si>
  <si>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</si>
  <si>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</si>
  <si>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</si>
  <si>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Insulele Feroe</t>
  </si>
  <si>
    <t>Antigua şi Barbuda</t>
  </si>
  <si>
    <t>Insulele Folkland</t>
  </si>
  <si>
    <t>Laos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</si>
  <si>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</si>
  <si>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</si>
  <si>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</si>
  <si>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</si>
  <si>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</si>
  <si>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</si>
  <si>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</si>
  <si>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</si>
  <si>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</si>
  <si>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</si>
  <si>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</si>
  <si>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</si>
  <si>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</si>
  <si>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</si>
  <si>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</si>
  <si>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</si>
  <si>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</si>
  <si>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</si>
  <si>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</si>
  <si>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</si>
  <si>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</si>
  <si>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</si>
  <si>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</si>
  <si>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</si>
  <si>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Mauritius</t>
  </si>
  <si>
    <t>Kosovo</t>
  </si>
  <si>
    <t>Ghana</t>
  </si>
  <si>
    <t>Montenegro</t>
  </si>
  <si>
    <t>Insulele Georgia şi Sandwich de Sud</t>
  </si>
  <si>
    <t>Paraguay</t>
  </si>
  <si>
    <t>Guatemala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</si>
  <si>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</si>
  <si>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</si>
  <si>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</si>
  <si>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</si>
  <si>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</si>
  <si>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</si>
  <si>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</si>
  <si>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</si>
  <si>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</si>
  <si>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</si>
  <si>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</si>
  <si>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</si>
  <si>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</si>
  <si>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</si>
  <si>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</si>
  <si>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</si>
  <si>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</si>
  <si>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</si>
  <si>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</si>
  <si>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</si>
  <si>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</si>
  <si>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</si>
  <si>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</si>
  <si>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</si>
  <si>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</si>
  <si>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</si>
  <si>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</si>
  <si>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</si>
  <si>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</si>
  <si>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</si>
  <si>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</si>
  <si>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</si>
  <si>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</si>
  <si>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</si>
  <si>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</si>
  <si>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</si>
  <si>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</si>
  <si>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</si>
  <si>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</si>
  <si>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</si>
  <si>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</si>
  <si>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</si>
  <si>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</si>
  <si>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</si>
  <si>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</si>
  <si>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</si>
  <si>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</si>
  <si>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</si>
  <si>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</si>
  <si>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</si>
  <si>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</si>
  <si>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</si>
  <si>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</si>
  <si>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</si>
  <si>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</si>
  <si>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</si>
  <si>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</si>
  <si>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</si>
  <si>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</si>
  <si>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</si>
  <si>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</si>
  <si>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</si>
  <si>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</si>
  <si>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</si>
  <si>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</si>
  <si>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Țările CSI - total</t>
  </si>
  <si>
    <t>Republica Dominicană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</si>
  <si>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</si>
  <si>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</si>
  <si>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</si>
  <si>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</si>
  <si>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</si>
  <si>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Nepal</t>
  </si>
  <si>
    <t>Algeria</t>
  </si>
  <si>
    <t>de 3,0 ori</t>
  </si>
  <si>
    <t>BALANŢA COMERCIALĂ – total, mii dolari SUA</t>
  </si>
  <si>
    <t>Bosnia şi Hertegovina</t>
  </si>
  <si>
    <t>de 2,5 ori</t>
  </si>
  <si>
    <t>de 3,3 ori</t>
  </si>
  <si>
    <t>de 2,6 ori</t>
  </si>
  <si>
    <t>de 5,7 ori</t>
  </si>
  <si>
    <t>Celelalte țări ale lumii</t>
  </si>
  <si>
    <t>Ţările Uniunii Europene (UE 27) - total</t>
  </si>
  <si>
    <t>Bolivia</t>
  </si>
  <si>
    <t>Congo</t>
  </si>
  <si>
    <t>Angola</t>
  </si>
  <si>
    <t>Bosnia şi Herţegovina</t>
  </si>
  <si>
    <t>de 2,4 ori</t>
  </si>
  <si>
    <t>Libia</t>
  </si>
  <si>
    <t>de 20,1 ori</t>
  </si>
  <si>
    <t>Honduras</t>
  </si>
  <si>
    <t>Nicaragua</t>
  </si>
  <si>
    <t>El Salvador</t>
  </si>
  <si>
    <t>Coreea de Nord</t>
  </si>
  <si>
    <t>Barbados</t>
  </si>
  <si>
    <t>Panama</t>
  </si>
  <si>
    <t>Brunei Darussalam</t>
  </si>
  <si>
    <t>de 5,2 ori</t>
  </si>
  <si>
    <t>Ianuarie - noiembrie 2020</t>
  </si>
  <si>
    <t>în % faţă de ianuarie - noiembrie 2019¹</t>
  </si>
  <si>
    <t>ianuarie - noiembrie</t>
  </si>
  <si>
    <t>în % faţă de ianuarie-noiembrie 2019¹</t>
  </si>
  <si>
    <t>Ianuarie - noiembrie</t>
  </si>
  <si>
    <t>Ianuarie - noiembrie               2020 în % faţă de                  ianuarie - noiembrie 2019¹</t>
  </si>
  <si>
    <t>Ianuarie - noiembrie             2020 în % faţă de                       ianuarie - noiembrie 2019¹</t>
  </si>
  <si>
    <t>Kuwait</t>
  </si>
  <si>
    <t>de 4,8 ori</t>
  </si>
  <si>
    <t>de 2,7 ori</t>
  </si>
  <si>
    <t>de 3,9 ori</t>
  </si>
  <si>
    <t>de 23,8 ori</t>
  </si>
  <si>
    <t>de 5,3 ori</t>
  </si>
  <si>
    <t>de 141,1 ori</t>
  </si>
  <si>
    <t>de 5,9 ori</t>
  </si>
  <si>
    <t>de 16,9 ori</t>
  </si>
  <si>
    <t>de 6,1 ori</t>
  </si>
  <si>
    <t>de 6,0 ori</t>
  </si>
  <si>
    <t>de 55,1 ori</t>
  </si>
  <si>
    <t>de 4,6 ori</t>
  </si>
  <si>
    <t>de 104,9 ori</t>
  </si>
  <si>
    <t>de 6,2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</si>
</sst>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29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27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0" fontId="25" fillId="0" borderId="0" xfId="0" applyFont="1"/>
    <xf numFmtId="4" fontId="26" fillId="0" borderId="0" xfId="0" applyNumberFormat="1" applyFont="1" applyAlignment="1">
      <alignment horizontal="right" vertical="top"/>
    </xf>
    <xf numFmtId="4" fontId="24" fillId="0" borderId="0" xfId="0" applyNumberFormat="1" applyFont="1" applyFill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165" fontId="9" fillId="0" borderId="0" xfId="0" applyNumberFormat="1" applyFont="1" applyFill="1" applyAlignment="1" applyProtection="1">
      <alignment horizontal="left" vertical="top" wrapText="1"/>
    </xf>
    <xf numFmtId="165" fontId="9" fillId="0" borderId="3" xfId="0" applyNumberFormat="1" applyFont="1" applyFill="1" applyBorder="1" applyAlignment="1" applyProtection="1">
      <alignment horizontal="left" vertical="top" wrapText="1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164" fontId="22" fillId="0" borderId="0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26" fillId="0" borderId="0" xfId="0" applyNumberFormat="1" applyFont="1" applyAlignment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Border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0" fontId="27" fillId="0" borderId="0" xfId="0" applyFont="1" applyAlignment="1">
      <alignment horizontal="left" vertical="top" wrapText="1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9" fillId="0" borderId="0" xfId="0" applyFont="1" applyAlignment="1">
      <alignment horizontal="left" vertical="top" wrapText="1"/>
    </xf>
    <xf numFmtId="4" fontId="11" fillId="0" borderId="0" xfId="0" applyNumberFormat="1" applyFont="1" applyFill="1" applyAlignment="1" applyProtection="1">
      <alignment horizontal="right" vertical="top" wrapText="1"/>
    </xf>
    <xf numFmtId="4" fontId="28" fillId="0" borderId="0" xfId="0" applyNumberFormat="1" applyFont="1" applyAlignment="1">
      <alignment horizontal="right" vertical="top" wrapText="1" indent="1"/>
    </xf>
    <xf numFmtId="0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center"/>
    </xf>
    <xf numFmtId="4" fontId="9" fillId="0" borderId="0" xfId="0" applyNumberFormat="1" applyFont="1" applyAlignment="1">
      <alignment horizontal="right" vertical="top" inden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Border="1" applyAlignment="1">
      <alignment horizontal="right" vertical="top" inden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0" xfId="0" applyFont="1" applyAlignment="1">
      <alignment horizontal="right" vertical="top" indent="2"/>
    </xf>
    <xf numFmtId="38" fontId="9" fillId="0" borderId="0" xfId="0" applyNumberFormat="1" applyFont="1" applyFill="1" applyAlignment="1" applyProtection="1">
      <alignment horizontal="left" wrapText="1"/>
    </xf>
    <xf numFmtId="4" fontId="9" fillId="0" borderId="3" xfId="0" applyNumberFormat="1" applyFont="1" applyFill="1" applyBorder="1" applyAlignment="1" applyProtection="1">
      <alignment horizontal="right" vertical="top" indent="2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4" fillId="0" borderId="0" xfId="0" applyNumberFormat="1" applyFont="1" applyFill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center" indent="1"/>
    </xf>
    <xf numFmtId="4" fontId="9" fillId="0" borderId="0" xfId="0" applyNumberFormat="1" applyFont="1" applyFill="1" applyAlignment="1" applyProtection="1">
      <alignment horizontal="right" vertical="center" indent="1"/>
    </xf>
    <xf numFmtId="4" fontId="24" fillId="0" borderId="0" xfId="0" applyNumberFormat="1" applyFont="1" applyFill="1" applyBorder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4"/>
  <sheetViews>
    <sheetView tabSelected="1" zoomScaleNormal="100" workbookViewId="0">
      <selection activeCell="K25" sqref="K25"/>
    </sheetView>
  </sheetViews>
  <sheetFormatPr defaultRowHeight="15.75" x14ac:dyDescent="0.25"/>
  <cols>
    <col min="1" max="1" width="28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1" t="s">
        <v>157</v>
      </c>
      <c r="B1" s="81"/>
      <c r="C1" s="81"/>
      <c r="D1" s="81"/>
      <c r="E1" s="81"/>
      <c r="F1" s="81"/>
      <c r="G1" s="81"/>
    </row>
    <row r="3" spans="1:7" ht="54" customHeight="1" x14ac:dyDescent="0.25">
      <c r="A3" s="82"/>
      <c r="B3" s="85" t="s">
        <v>279</v>
      </c>
      <c r="C3" s="86"/>
      <c r="D3" s="85" t="s">
        <v>109</v>
      </c>
      <c r="E3" s="86"/>
      <c r="F3" s="87" t="s">
        <v>1</v>
      </c>
      <c r="G3" s="88"/>
    </row>
    <row r="4" spans="1:7" ht="18.75" customHeight="1" x14ac:dyDescent="0.25">
      <c r="A4" s="83"/>
      <c r="B4" s="89" t="s">
        <v>100</v>
      </c>
      <c r="C4" s="91" t="s">
        <v>280</v>
      </c>
      <c r="D4" s="93" t="s">
        <v>281</v>
      </c>
      <c r="E4" s="93"/>
      <c r="F4" s="93" t="s">
        <v>281</v>
      </c>
      <c r="G4" s="85"/>
    </row>
    <row r="5" spans="1:7" ht="38.25" customHeight="1" x14ac:dyDescent="0.25">
      <c r="A5" s="84"/>
      <c r="B5" s="90"/>
      <c r="C5" s="92"/>
      <c r="D5" s="23">
        <v>2019</v>
      </c>
      <c r="E5" s="23">
        <v>2020</v>
      </c>
      <c r="F5" s="23" t="s">
        <v>122</v>
      </c>
      <c r="G5" s="19" t="s">
        <v>141</v>
      </c>
    </row>
    <row r="6" spans="1:7" ht="15.75" customHeight="1" x14ac:dyDescent="0.25">
      <c r="A6" s="39" t="s">
        <v>101</v>
      </c>
      <c r="B6" s="40">
        <v>2266944.5468199998</v>
      </c>
      <c r="C6" s="40">
        <f>IF(2560872.65018="","-",2266944.54682/2560872.65018*100)</f>
        <v>88.522345953464722</v>
      </c>
      <c r="D6" s="40">
        <v>100</v>
      </c>
      <c r="E6" s="40">
        <v>100</v>
      </c>
      <c r="F6" s="65">
        <f>IF(2487345.59713="","-",(2560872.65018-2487345.59713)/2487345.59713*100)</f>
        <v>2.9560449153040187</v>
      </c>
      <c r="G6" s="65">
        <f>IF(2560872.65018="","-",(2266944.54682-2560872.65018)/2560872.65018*100)</f>
        <v>-11.477654046535282</v>
      </c>
    </row>
    <row r="7" spans="1:7" ht="15.75" customHeight="1" x14ac:dyDescent="0.25">
      <c r="A7" s="41" t="s">
        <v>138</v>
      </c>
      <c r="B7" s="33"/>
      <c r="C7" s="33"/>
      <c r="D7" s="33"/>
      <c r="E7" s="33"/>
      <c r="F7" s="115"/>
      <c r="G7" s="115"/>
    </row>
    <row r="8" spans="1:7" ht="15.75" customHeight="1" x14ac:dyDescent="0.25">
      <c r="A8" s="42" t="s">
        <v>167</v>
      </c>
      <c r="B8" s="43">
        <v>1520452.31271</v>
      </c>
      <c r="C8" s="43">
        <f>IF(1636889.74835="","-",1520452.31271/1636889.74835*100)</f>
        <v>92.88666596162814</v>
      </c>
      <c r="D8" s="43">
        <f>IF(1636889.74835="","-",1636889.74835/2560872.65018*100)</f>
        <v>63.919217077621781</v>
      </c>
      <c r="E8" s="43">
        <f>IF(1520452.31271="","-",1520452.31271/2266944.54682*100)</f>
        <v>67.070556041736609</v>
      </c>
      <c r="F8" s="116">
        <f>IF(2487345.59713="","-",(1636889.74835-1651314.71718)/2487345.59713*100)</f>
        <v>-0.57993424181360331</v>
      </c>
      <c r="G8" s="116">
        <f>IF(2560872.65018="","-",(1520452.31271-1636889.74835)/2560872.65018*100)</f>
        <v>-4.5467874254432692</v>
      </c>
    </row>
    <row r="9" spans="1:7" ht="15.75" customHeight="1" x14ac:dyDescent="0.25">
      <c r="A9" s="44" t="s">
        <v>2</v>
      </c>
      <c r="B9" s="45">
        <v>642817.43923999998</v>
      </c>
      <c r="C9" s="45">
        <f>IF(OR(711134.61346="",642817.43924=""),"-",642817.43924/711134.61346*100)</f>
        <v>90.393214881271874</v>
      </c>
      <c r="D9" s="45">
        <f>IF(711134.61346="","-",711134.61346/2560872.65018*100)</f>
        <v>27.769229891615872</v>
      </c>
      <c r="E9" s="45">
        <f>IF(642817.43924="","-",642817.43924/2266944.54682*100)</f>
        <v>28.356116612632832</v>
      </c>
      <c r="F9" s="117">
        <f>IF(OR(2487345.59713="",729714.30551="",711134.61346=""),"-",(711134.61346-729714.30551)/2487345.59713*100)</f>
        <v>-0.74696865893657693</v>
      </c>
      <c r="G9" s="117">
        <f>IF(OR(2560872.65018="",642817.43924="",711134.61346=""),"-",(642817.43924-711134.61346)/2560872.65018*100)</f>
        <v>-2.6677302448131552</v>
      </c>
    </row>
    <row r="10" spans="1:7" ht="15.75" customHeight="1" x14ac:dyDescent="0.25">
      <c r="A10" s="44" t="s">
        <v>4</v>
      </c>
      <c r="B10" s="45">
        <v>209235.9676</v>
      </c>
      <c r="C10" s="45">
        <f>IF(OR(227676.84478="",209235.9676=""),"-",209235.9676/227676.84478*100)</f>
        <v>91.90041604897543</v>
      </c>
      <c r="D10" s="45">
        <f>IF(227676.84478="","-",227676.84478/2560872.65018*100)</f>
        <v>8.8905961319082749</v>
      </c>
      <c r="E10" s="45">
        <f>IF(209235.9676="","-",209235.9676/2266944.54682*100)</f>
        <v>9.22986704255778</v>
      </c>
      <c r="F10" s="117">
        <f>IF(OR(2487345.59713="",204951.28243="",227676.84478=""),"-",(227676.84478-204951.28243)/2487345.59713*100)</f>
        <v>0.91364715768575511</v>
      </c>
      <c r="G10" s="117">
        <f>IF(OR(2560872.65018="",209235.9676="",227676.84478=""),"-",(209235.9676-227676.84478)/2560872.65018*100)</f>
        <v>-0.72010129745045415</v>
      </c>
    </row>
    <row r="11" spans="1:7" ht="13.5" customHeight="1" x14ac:dyDescent="0.25">
      <c r="A11" s="44" t="s">
        <v>3</v>
      </c>
      <c r="B11" s="45">
        <v>195209.38193</v>
      </c>
      <c r="C11" s="45">
        <f>IF(OR(244046.34462="",195209.38193=""),"-",195209.38193/244046.34462*100)</f>
        <v>79.988652251258628</v>
      </c>
      <c r="D11" s="45">
        <f>IF(244046.34462="","-",244046.34462/2560872.65018*100)</f>
        <v>9.529811824217278</v>
      </c>
      <c r="E11" s="45">
        <f>IF(195209.38193="","-",195209.38193/2266944.54682*100)</f>
        <v>8.6111229409574115</v>
      </c>
      <c r="F11" s="117">
        <f>IF(OR(2487345.59713="",289694.73402="",244046.34462=""),"-",(244046.34462-289694.73402)/2487345.59713*100)</f>
        <v>-1.8352250468399303</v>
      </c>
      <c r="G11" s="117">
        <f>IF(OR(2560872.65018="",195209.38193="",244046.34462=""),"-",(195209.38193-244046.34462)/2560872.65018*100)</f>
        <v>-1.9070437839447933</v>
      </c>
    </row>
    <row r="12" spans="1:7" ht="15.75" customHeight="1" x14ac:dyDescent="0.25">
      <c r="A12" s="44" t="s">
        <v>5</v>
      </c>
      <c r="B12" s="45">
        <v>100529.02284000001</v>
      </c>
      <c r="C12" s="45">
        <f>IF(OR(104207.06617="",100529.02284=""),"-",100529.02284/104207.06617*100)</f>
        <v>96.470447288094874</v>
      </c>
      <c r="D12" s="45">
        <f>IF(104207.06617="","-",104207.06617/2560872.65018*100)</f>
        <v>4.0692014170511541</v>
      </c>
      <c r="E12" s="45">
        <f>IF(100529.02284="","-",100529.02284/2266944.54682*100)</f>
        <v>4.4345602975167182</v>
      </c>
      <c r="F12" s="117">
        <f>IF(OR(2487345.59713="",90462.38661="",104207.06617=""),"-",(104207.06617-90462.38661)/2487345.59713*100)</f>
        <v>0.55258423179550009</v>
      </c>
      <c r="G12" s="117">
        <f>IF(OR(2560872.65018="",100529.02284="",104207.06617=""),"-",(100529.02284-104207.06617)/2560872.65018*100)</f>
        <v>-0.1436246089684107</v>
      </c>
    </row>
    <row r="13" spans="1:7" s="14" customFormat="1" x14ac:dyDescent="0.25">
      <c r="A13" s="44" t="s">
        <v>7</v>
      </c>
      <c r="B13" s="45">
        <v>74250.266130000004</v>
      </c>
      <c r="C13" s="45">
        <f>IF(OR(58344.32534="",74250.26613=""),"-",74250.26613/58344.32534*100)</f>
        <v>127.26218993416849</v>
      </c>
      <c r="D13" s="45">
        <f>IF(58344.32534="","-",58344.32534/2560872.65018*100)</f>
        <v>2.2782985845039607</v>
      </c>
      <c r="E13" s="45">
        <f>IF(74250.26613="","-",74250.26613/2266944.54682*100)</f>
        <v>3.2753454968343179</v>
      </c>
      <c r="F13" s="117">
        <f>IF(OR(2487345.59713="",39436.68697="",58344.32534=""),"-",(58344.32534-39436.68697)/2487345.59713*100)</f>
        <v>0.76015324898222425</v>
      </c>
      <c r="G13" s="117">
        <f>IF(OR(2560872.65018="",74250.26613="",58344.32534=""),"-",(74250.26613-58344.32534)/2560872.65018*100)</f>
        <v>0.62111408737494211</v>
      </c>
    </row>
    <row r="14" spans="1:7" s="14" customFormat="1" x14ac:dyDescent="0.25">
      <c r="A14" s="44" t="s">
        <v>6</v>
      </c>
      <c r="B14" s="45">
        <v>54273.897640000003</v>
      </c>
      <c r="C14" s="45">
        <f>IF(OR(54215.36714="",54273.89764=""),"-",54273.89764/54215.36714*100)</f>
        <v>100.10795924308482</v>
      </c>
      <c r="D14" s="45">
        <f>IF(54215.36714="","-",54215.36714/2560872.65018*100)</f>
        <v>2.1170661155754575</v>
      </c>
      <c r="E14" s="45">
        <f>IF(54273.89764="","-",54273.89764/2266944.54682*100)</f>
        <v>2.3941431525589705</v>
      </c>
      <c r="F14" s="117">
        <f>IF(OR(2487345.59713="",45509.19357="",54215.36714=""),"-",(54215.36714-45509.19357)/2487345.59713*100)</f>
        <v>0.35001865362197893</v>
      </c>
      <c r="G14" s="117">
        <f>IF(OR(2560872.65018="",54273.89764="",54215.36714=""),"-",(54273.89764-54215.36714)/2560872.65018*100)</f>
        <v>2.2855685539804852E-3</v>
      </c>
    </row>
    <row r="15" spans="1:7" s="14" customFormat="1" x14ac:dyDescent="0.25">
      <c r="A15" s="44" t="s">
        <v>10</v>
      </c>
      <c r="B15" s="45">
        <v>51128.086510000001</v>
      </c>
      <c r="C15" s="45">
        <f>IF(OR(34510.21064="",51128.08651=""),"-",51128.08651/34510.21064*100)</f>
        <v>148.15350460578935</v>
      </c>
      <c r="D15" s="45">
        <f>IF(34510.21064="","-",34510.21064/2560872.65018*100)</f>
        <v>1.3475957360696686</v>
      </c>
      <c r="E15" s="45">
        <f>IF(51128.08651="","-",51128.08651/2266944.54682*100)</f>
        <v>2.2553743796565695</v>
      </c>
      <c r="F15" s="117">
        <f>IF(OR(2487345.59713="",34298.569="",34510.21064=""),"-",(34510.21064-34298.569)/2487345.59713*100)</f>
        <v>8.5087347831437274E-3</v>
      </c>
      <c r="G15" s="117">
        <f>IF(OR(2560872.65018="",51128.08651="",34510.21064=""),"-",(51128.08651-34510.21064)/2560872.65018*100)</f>
        <v>0.64891457483572867</v>
      </c>
    </row>
    <row r="16" spans="1:7" s="14" customFormat="1" x14ac:dyDescent="0.25">
      <c r="A16" s="44" t="s">
        <v>41</v>
      </c>
      <c r="B16" s="45">
        <v>29684.686280000002</v>
      </c>
      <c r="C16" s="45">
        <f>IF(OR(32773.85563="",29684.68628=""),"-",29684.68628/32773.85563*100)</f>
        <v>90.574287673457974</v>
      </c>
      <c r="D16" s="45">
        <f>IF(32773.85563="","-",32773.85563/2560872.65018*100)</f>
        <v>1.2797924811956727</v>
      </c>
      <c r="E16" s="45">
        <f>IF(29684.68628="","-",29684.68628/2266944.54682*100)</f>
        <v>1.309457980418655</v>
      </c>
      <c r="F16" s="117">
        <f>IF(OR(2487345.59713="",24966.74583="",32773.85563=""),"-",(32773.85563-24966.74583)/2487345.59713*100)</f>
        <v>0.31387314288003071</v>
      </c>
      <c r="G16" s="117">
        <f>IF(OR(2560872.65018="",29684.68628="",32773.85563=""),"-",(29684.68628-32773.85563)/2560872.65018*100)</f>
        <v>-0.12062955765421851</v>
      </c>
    </row>
    <row r="17" spans="1:7" s="14" customFormat="1" x14ac:dyDescent="0.25">
      <c r="A17" s="44" t="s">
        <v>125</v>
      </c>
      <c r="B17" s="45">
        <v>27058.358950000002</v>
      </c>
      <c r="C17" s="45">
        <f>IF(OR(31202.22862="",27058.35895=""),"-",27058.35895/31202.22862*100)</f>
        <v>86.719315083333953</v>
      </c>
      <c r="D17" s="45">
        <f>IF(31202.22862="","-",31202.22862/2560872.65018*100)</f>
        <v>1.2184217211194333</v>
      </c>
      <c r="E17" s="45">
        <f>IF(27058.35895="","-",27058.35895/2266944.54682*100)</f>
        <v>1.1936048011389002</v>
      </c>
      <c r="F17" s="117">
        <f>IF(OR(2487345.59713="",45249.61835="",31202.22862=""),"-",(31202.22862-45249.61835)/2487345.59713*100)</f>
        <v>-0.56475424027157473</v>
      </c>
      <c r="G17" s="117">
        <f>IF(OR(2560872.65018="",27058.35895="",31202.22862=""),"-",(27058.35895-31202.22862)/2560872.65018*100)</f>
        <v>-0.16181474973809157</v>
      </c>
    </row>
    <row r="18" spans="1:7" s="14" customFormat="1" x14ac:dyDescent="0.25">
      <c r="A18" s="44" t="s">
        <v>9</v>
      </c>
      <c r="B18" s="45">
        <v>25849.03298</v>
      </c>
      <c r="C18" s="45">
        <f>IF(OR(35625.62534="",25849.03298=""),"-",25849.03298/35625.62534*100)</f>
        <v>72.557415437075946</v>
      </c>
      <c r="D18" s="45">
        <f>IF(35625.62534="","-",35625.62534/2560872.65018*100)</f>
        <v>1.3911517754502916</v>
      </c>
      <c r="E18" s="45">
        <f>IF(25849.03298="","-",25849.03298/2266944.54682*100)</f>
        <v>1.1402587247341462</v>
      </c>
      <c r="F18" s="117">
        <f>IF(OR(2487345.59713="",32203.40701="",35625.62534=""),"-",(35625.62534-32203.40701)/2487345.59713*100)</f>
        <v>0.13758515639920296</v>
      </c>
      <c r="G18" s="117">
        <f>IF(OR(2560872.65018="",25849.03298="",35625.62534=""),"-",(25849.03298-35625.62534)/2560872.65018*100)</f>
        <v>-0.3817680023765655</v>
      </c>
    </row>
    <row r="19" spans="1:7" s="16" customFormat="1" x14ac:dyDescent="0.25">
      <c r="A19" s="44" t="s">
        <v>43</v>
      </c>
      <c r="B19" s="45">
        <v>24836.0357</v>
      </c>
      <c r="C19" s="45" t="s">
        <v>258</v>
      </c>
      <c r="D19" s="45">
        <f>IF(10064.4466="","-",10064.4466/2560872.65018*100)</f>
        <v>0.3930084769850849</v>
      </c>
      <c r="E19" s="45">
        <f>IF(24836.0357="","-",24836.0357/2266944.54682*100)</f>
        <v>1.0955731464556215</v>
      </c>
      <c r="F19" s="117">
        <f>IF(OR(2487345.59713="",7792.71575="",10064.4466=""),"-",(10064.4466-7792.71575)/2487345.59713*100)</f>
        <v>9.1331532402301227E-2</v>
      </c>
      <c r="G19" s="117">
        <f>IF(OR(2560872.65018="",24836.0357="",10064.4466=""),"-",(24836.0357-10064.4466)/2560872.65018*100)</f>
        <v>0.5768185738936189</v>
      </c>
    </row>
    <row r="20" spans="1:7" s="14" customFormat="1" x14ac:dyDescent="0.25">
      <c r="A20" s="44" t="s">
        <v>8</v>
      </c>
      <c r="B20" s="45">
        <v>21538.357980000001</v>
      </c>
      <c r="C20" s="45">
        <f>IF(OR(28413.70117="",21538.35798=""),"-",21538.35798/28413.70117*100)</f>
        <v>75.802718734653325</v>
      </c>
      <c r="D20" s="45">
        <f>IF(28413.70117="","-",28413.70117/2560872.65018*100)</f>
        <v>1.1095319858253336</v>
      </c>
      <c r="E20" s="45">
        <f>IF(21538.35798="","-",21538.35798/2266944.54682*100)</f>
        <v>0.95010519821551642</v>
      </c>
      <c r="F20" s="117">
        <f>IF(OR(2487345.59713="",37491.77735="",28413.70117=""),"-",(28413.70117-37491.77735)/2487345.59713*100)</f>
        <v>-0.36497044039536153</v>
      </c>
      <c r="G20" s="117">
        <f>IF(OR(2560872.65018="",21538.35798="",28413.70117=""),"-",(21538.35798-28413.70117)/2560872.65018*100)</f>
        <v>-0.26847657533914238</v>
      </c>
    </row>
    <row r="21" spans="1:7" s="14" customFormat="1" x14ac:dyDescent="0.25">
      <c r="A21" s="44" t="s">
        <v>42</v>
      </c>
      <c r="B21" s="45">
        <v>11225.70426</v>
      </c>
      <c r="C21" s="45">
        <f>IF(OR(12602.53587="",11225.70426=""),"-",11225.70426/12602.53587*100)</f>
        <v>89.074963767589736</v>
      </c>
      <c r="D21" s="45">
        <f>IF(12602.53587="","-",12602.53587/2560872.65018*100)</f>
        <v>0.49211880446746092</v>
      </c>
      <c r="E21" s="45">
        <f>IF(11225.70426="","-",11225.70426/2266944.54682*100)</f>
        <v>0.4951909509982092</v>
      </c>
      <c r="F21" s="117">
        <f>IF(OR(2487345.59713="",13645.45087="",12602.53587=""),"-",(12602.53587-13645.45087)/2487345.59713*100)</f>
        <v>-4.1928833741614283E-2</v>
      </c>
      <c r="G21" s="117">
        <f>IF(OR(2560872.65018="",11225.70426="",12602.53587=""),"-",(11225.70426-12602.53587)/2560872.65018*100)</f>
        <v>-5.3764157694574308E-2</v>
      </c>
    </row>
    <row r="22" spans="1:7" s="14" customFormat="1" x14ac:dyDescent="0.25">
      <c r="A22" s="44" t="s">
        <v>48</v>
      </c>
      <c r="B22" s="45">
        <v>10082.09339</v>
      </c>
      <c r="C22" s="45">
        <f>IF(OR(9459.48893="",10082.09339=""),"-",10082.09339/9459.48893*100)</f>
        <v>106.58179807183305</v>
      </c>
      <c r="D22" s="45">
        <f>IF(9459.48893="","-",9459.48893/2560872.65018*100)</f>
        <v>0.36938537062103055</v>
      </c>
      <c r="E22" s="45">
        <f>IF(10082.09339="","-",10082.09339/2266944.54682*100)</f>
        <v>0.44474371480073699</v>
      </c>
      <c r="F22" s="117">
        <f>IF(OR(2487345.59713="",8575.90671="",9459.48893=""),"-",(9459.48893-8575.90671)/2487345.59713*100)</f>
        <v>3.5523098238520331E-2</v>
      </c>
      <c r="G22" s="117">
        <f>IF(OR(2560872.65018="",10082.09339="",9459.48893=""),"-",(10082.09339-9459.48893)/2560872.65018*100)</f>
        <v>2.4312199201168342E-2</v>
      </c>
    </row>
    <row r="23" spans="1:7" s="14" customFormat="1" x14ac:dyDescent="0.25">
      <c r="A23" s="44" t="s">
        <v>52</v>
      </c>
      <c r="B23" s="45">
        <v>9226.8996900000002</v>
      </c>
      <c r="C23" s="45">
        <f>IF(OR(8147.49899="",9226.89969=""),"-",9226.89969/8147.49899*100)</f>
        <v>113.2482458890124</v>
      </c>
      <c r="D23" s="45">
        <f>IF(8147.49899="","-",8147.49899/2560872.65018*100)</f>
        <v>0.31815322755027764</v>
      </c>
      <c r="E23" s="45">
        <f>IF(9226.89969="","-",9226.89969/2266944.54682*100)</f>
        <v>0.40701920578265632</v>
      </c>
      <c r="F23" s="117">
        <f>IF(OR(2487345.59713="",9350.49588="",8147.49899=""),"-",(8147.49899-9350.49588)/2487345.59713*100)</f>
        <v>-4.8364686088980431E-2</v>
      </c>
      <c r="G23" s="117">
        <f>IF(OR(2560872.65018="",9226.89969="",8147.49899=""),"-",(9226.89969-8147.49899)/2560872.65018*100)</f>
        <v>4.2149721889689858E-2</v>
      </c>
    </row>
    <row r="24" spans="1:7" s="14" customFormat="1" x14ac:dyDescent="0.25">
      <c r="A24" s="44" t="s">
        <v>45</v>
      </c>
      <c r="B24" s="45">
        <v>9056.5061499999993</v>
      </c>
      <c r="C24" s="45">
        <f>IF(OR(11941.48368="",9056.50615=""),"-",9056.50615/11941.48368*100)</f>
        <v>75.840711193770176</v>
      </c>
      <c r="D24" s="45">
        <f>IF(11941.48368="","-",11941.48368/2560872.65018*100)</f>
        <v>0.46630525259273042</v>
      </c>
      <c r="E24" s="45">
        <f>IF(9056.50615="","-",9056.50615/2266944.54682*100)</f>
        <v>0.39950276519574279</v>
      </c>
      <c r="F24" s="117">
        <f>IF(OR(2487345.59713="",16856.34919="",11941.48368=""),"-",(11941.48368-16856.34919)/2487345.59713*100)</f>
        <v>-0.19759479807192745</v>
      </c>
      <c r="G24" s="117">
        <f>IF(OR(2560872.65018="",9056.50615="",11941.48368=""),"-",(9056.50615-11941.48368)/2560872.65018*100)</f>
        <v>-0.11265603269249722</v>
      </c>
    </row>
    <row r="25" spans="1:7" s="14" customFormat="1" x14ac:dyDescent="0.25">
      <c r="A25" s="44" t="s">
        <v>44</v>
      </c>
      <c r="B25" s="45">
        <v>7064.4019900000003</v>
      </c>
      <c r="C25" s="45">
        <f>IF(OR(8013.90792="",7064.40199=""),"-",7064.40199/8013.90792*100)</f>
        <v>88.151773897596769</v>
      </c>
      <c r="D25" s="45">
        <f>IF(8013.90792="","-",8013.90792/2560872.65018*100)</f>
        <v>0.31293660461548972</v>
      </c>
      <c r="E25" s="45">
        <f>IF(7064.40199="","-",7064.40199/2266944.54682*100)</f>
        <v>0.31162659006854521</v>
      </c>
      <c r="F25" s="117">
        <f>IF(OR(2487345.59713="",8144.02548="",8013.90792=""),"-",(8013.90792-8144.02548)/2487345.59713*100)</f>
        <v>-5.2311813907217194E-3</v>
      </c>
      <c r="G25" s="117">
        <f>IF(OR(2560872.65018="",7064.40199="",8013.90792=""),"-",(7064.40199-8013.90792)/2560872.65018*100)</f>
        <v>-3.7077436472026833E-2</v>
      </c>
    </row>
    <row r="26" spans="1:7" s="9" customFormat="1" x14ac:dyDescent="0.25">
      <c r="A26" s="44" t="s">
        <v>46</v>
      </c>
      <c r="B26" s="45">
        <v>6589.2154899999996</v>
      </c>
      <c r="C26" s="45">
        <f>IF(OR(7027.04904="",6589.21549=""),"-",6589.21549/7027.04904*100)</f>
        <v>93.769311306812781</v>
      </c>
      <c r="D26" s="45">
        <f>IF(7027.04904="","-",7027.04904/2560872.65018*100)</f>
        <v>0.27440056574098204</v>
      </c>
      <c r="E26" s="45">
        <f>IF(6589.21549="","-",6589.21549/2266944.54682*100)</f>
        <v>0.29066504953741146</v>
      </c>
      <c r="F26" s="117">
        <f>IF(OR(2487345.59713="",5523.02639="",7027.04904=""),"-",(7027.04904-5523.02639)/2487345.59713*100)</f>
        <v>6.0466975386749715E-2</v>
      </c>
      <c r="G26" s="117">
        <f>IF(OR(2560872.65018="",6589.21549="",7027.04904=""),"-",(6589.21549-7027.04904)/2560872.65018*100)</f>
        <v>-1.7097045023665103E-2</v>
      </c>
    </row>
    <row r="27" spans="1:7" s="9" customFormat="1" x14ac:dyDescent="0.25">
      <c r="A27" s="44" t="s">
        <v>47</v>
      </c>
      <c r="B27" s="45">
        <v>5421.6066600000004</v>
      </c>
      <c r="C27" s="45" t="s">
        <v>104</v>
      </c>
      <c r="D27" s="45">
        <f>IF(3190.13203="","-",3190.13203/2560872.65018*100)</f>
        <v>0.12457206842268283</v>
      </c>
      <c r="E27" s="45">
        <f>IF(5421.60666="","-",5421.60666/2266944.54682*100)</f>
        <v>0.2391592095891919</v>
      </c>
      <c r="F27" s="117">
        <f>IF(OR(2487345.59713="",2862.43765="",3190.13203=""),"-",(3190.13203-2862.43765)/2487345.59713*100)</f>
        <v>1.3174461175725134E-2</v>
      </c>
      <c r="G27" s="117">
        <f>IF(OR(2560872.65018="",5421.60666="",3190.13203=""),"-",(5421.60666-3190.13203)/2560872.65018*100)</f>
        <v>8.7137274469433423E-2</v>
      </c>
    </row>
    <row r="28" spans="1:7" s="14" customFormat="1" x14ac:dyDescent="0.25">
      <c r="A28" s="44" t="s">
        <v>126</v>
      </c>
      <c r="B28" s="45">
        <v>2224.3791799999999</v>
      </c>
      <c r="C28" s="45" t="s">
        <v>96</v>
      </c>
      <c r="D28" s="45">
        <f>IF(1036.17238="","-",1036.17238/2560872.65018*100)</f>
        <v>4.0461691053913555E-2</v>
      </c>
      <c r="E28" s="45">
        <f>IF(2224.37918="","-",2224.37918/2266944.54682*100)</f>
        <v>9.8122346359124243E-2</v>
      </c>
      <c r="F28" s="117">
        <f>IF(OR(2487345.59713="",986.10014="",1036.17238=""),"-",(1036.17238-986.10014)/2487345.59713*100)</f>
        <v>2.0130793267238512E-3</v>
      </c>
      <c r="G28" s="117">
        <f>IF(OR(2560872.65018="",2224.37918="",1036.17238=""),"-",(2224.37918-1036.17238)/2560872.65018*100)</f>
        <v>4.6398511847767304E-2</v>
      </c>
    </row>
    <row r="29" spans="1:7" s="14" customFormat="1" x14ac:dyDescent="0.25">
      <c r="A29" s="44" t="s">
        <v>50</v>
      </c>
      <c r="B29" s="45">
        <v>1190.51334</v>
      </c>
      <c r="C29" s="45">
        <f>IF(OR(985.38078="",1190.51334=""),"-",1190.51334/985.38078*100)</f>
        <v>120.81759297152112</v>
      </c>
      <c r="D29" s="45">
        <f>IF(985.38078="","-",985.38078/2560872.65018*100)</f>
        <v>3.8478320268317087E-2</v>
      </c>
      <c r="E29" s="45">
        <f>IF(1190.51334="","-",1190.51334/2266944.54682*100)</f>
        <v>5.2516209171063116E-2</v>
      </c>
      <c r="F29" s="117">
        <f>IF(OR(2487345.59713="",345.09568="",985.38078=""),"-",(985.38078-345.09568)/2487345.59713*100)</f>
        <v>2.5741702348832697E-2</v>
      </c>
      <c r="G29" s="117">
        <f>IF(OR(2560872.65018="",1190.51334="",985.38078=""),"-",(1190.51334-985.38078)/2560872.65018*100)</f>
        <v>8.0102600957365679E-3</v>
      </c>
    </row>
    <row r="30" spans="1:7" s="9" customFormat="1" x14ac:dyDescent="0.25">
      <c r="A30" s="44" t="s">
        <v>49</v>
      </c>
      <c r="B30" s="45">
        <v>827.98816999999997</v>
      </c>
      <c r="C30" s="45">
        <f>IF(OR(775.30483="",827.98817=""),"-",827.98817/775.30483*100)</f>
        <v>106.79517758195831</v>
      </c>
      <c r="D30" s="45">
        <f>IF(775.30483="","-",775.30483/2560872.65018*100)</f>
        <v>3.0275024802404956E-2</v>
      </c>
      <c r="E30" s="45">
        <f>IF(827.98817="","-",827.98817/2266944.54682*100)</f>
        <v>3.6524412172387555E-2</v>
      </c>
      <c r="F30" s="117">
        <f>IF(OR(2487345.59713="",1548.56455="",775.30483=""),"-",(775.30483-1548.56455)/2487345.59713*100)</f>
        <v>-3.1087747552741296E-2</v>
      </c>
      <c r="G30" s="117">
        <f>IF(OR(2560872.65018="",827.98817="",775.30483=""),"-",(827.98817-775.30483)/2560872.65018*100)</f>
        <v>2.0572416983053376E-3</v>
      </c>
    </row>
    <row r="31" spans="1:7" s="9" customFormat="1" x14ac:dyDescent="0.25">
      <c r="A31" s="44" t="s">
        <v>54</v>
      </c>
      <c r="B31" s="45">
        <v>485.20666</v>
      </c>
      <c r="C31" s="45" t="s">
        <v>106</v>
      </c>
      <c r="D31" s="45">
        <f>IF(261.66933="","-",261.66933/2560872.65018*100)</f>
        <v>1.0217975110226886E-2</v>
      </c>
      <c r="E31" s="45">
        <f>IF(485.20666="","-",485.20666/2266944.54682*100)</f>
        <v>2.1403552225423114E-2</v>
      </c>
      <c r="F31" s="117">
        <f>IF(OR(2487345.59713="",327.70057="",261.66933=""),"-",(261.66933-327.70057)/2487345.59713*100)</f>
        <v>-2.6546869914735429E-3</v>
      </c>
      <c r="G31" s="117">
        <f>IF(OR(2560872.65018="",485.20666="",261.66933=""),"-",(485.20666-261.66933)/2560872.65018*100)</f>
        <v>8.7289514370926594E-3</v>
      </c>
    </row>
    <row r="32" spans="1:7" s="9" customFormat="1" x14ac:dyDescent="0.25">
      <c r="A32" s="44" t="s">
        <v>51</v>
      </c>
      <c r="B32" s="45">
        <v>400.11401999999998</v>
      </c>
      <c r="C32" s="45">
        <f>IF(OR(644.97691="",400.11402=""),"-",400.11402/644.97691*100)</f>
        <v>62.035402166567479</v>
      </c>
      <c r="D32" s="45">
        <f>IF(644.97691="","-",644.97691/2560872.65018*100)</f>
        <v>2.5185825228547211E-2</v>
      </c>
      <c r="E32" s="45">
        <f>IF(400.11402="","-",400.11402/2266944.54682*100)</f>
        <v>1.7649925339429568E-2</v>
      </c>
      <c r="F32" s="117">
        <f>IF(OR(2487345.59713="",730.94718="",644.97691=""),"-",(644.97691-730.94718)/2487345.59713*100)</f>
        <v>-3.4563057943856291E-3</v>
      </c>
      <c r="G32" s="117">
        <f>IF(OR(2560872.65018="",400.11402="",644.97691=""),"-",(400.11402-644.97691)/2560872.65018*100)</f>
        <v>-9.5616972590491355E-3</v>
      </c>
    </row>
    <row r="33" spans="1:7" s="9" customFormat="1" x14ac:dyDescent="0.25">
      <c r="A33" s="44" t="s">
        <v>53</v>
      </c>
      <c r="B33" s="45">
        <v>209.66290000000001</v>
      </c>
      <c r="C33" s="45" t="s">
        <v>259</v>
      </c>
      <c r="D33" s="45">
        <f>IF(64.00147="","-",64.00147/2560872.65018*100)</f>
        <v>2.499205495263555E-3</v>
      </c>
      <c r="E33" s="45">
        <f>IF(209.6629="","-",209.6629/2266944.54682*100)</f>
        <v>9.2486999866895157E-3</v>
      </c>
      <c r="F33" s="117">
        <f>IF(OR(2487345.59713="",7.42765="",64.00147=""),"-",(64.00147-7.42765)/2487345.59713*100)</f>
        <v>2.2744656016147158E-3</v>
      </c>
      <c r="G33" s="117">
        <f>IF(OR(2560872.65018="",209.6629="",64.00147=""),"-",(209.6629-64.00147)/2560872.65018*100)</f>
        <v>5.6879607031517822E-3</v>
      </c>
    </row>
    <row r="34" spans="1:7" s="9" customFormat="1" x14ac:dyDescent="0.25">
      <c r="A34" s="44" t="s">
        <v>55</v>
      </c>
      <c r="B34" s="45">
        <v>30.502649999999999</v>
      </c>
      <c r="C34" s="45">
        <f>IF(OR(64.42749="",30.50265=""),"-",30.50265/64.42749*100)</f>
        <v>47.344153869722376</v>
      </c>
      <c r="D34" s="45">
        <f>IF(64.42749="","-",64.42749/2560872.65018*100)</f>
        <v>2.5158412307410716E-3</v>
      </c>
      <c r="E34" s="45">
        <f>IF(30.50265="","-",30.50265/2266944.54682*100)</f>
        <v>1.3455401916552471E-3</v>
      </c>
      <c r="F34" s="117">
        <f>IF(OR(2487345.59713="",47.74534="",64.42749=""),"-",(64.42749-47.74534)/2487345.59713*100)</f>
        <v>6.7068082614850735E-4</v>
      </c>
      <c r="G34" s="117">
        <f>IF(OR(2560872.65018="",30.50265="",64.42749=""),"-",(30.50265-64.42749)/2560872.65018*100)</f>
        <v>-1.3247374873411014E-3</v>
      </c>
    </row>
    <row r="35" spans="1:7" s="9" customFormat="1" x14ac:dyDescent="0.25">
      <c r="A35" s="44" t="s">
        <v>56</v>
      </c>
      <c r="B35" s="45">
        <v>6.9843799999999998</v>
      </c>
      <c r="C35" s="45">
        <f>IF(OR(461.08919="",6.98438=""),"-",6.98438/461.08919*100)</f>
        <v>1.5147568304518264</v>
      </c>
      <c r="D35" s="45">
        <f>IF(461.08919="","-",461.08919/2560872.65018*100)</f>
        <v>1.8005158904234878E-2</v>
      </c>
      <c r="E35" s="45">
        <f>IF(6.98438="","-",6.98438/2266944.54682*100)</f>
        <v>3.0809664090802191E-4</v>
      </c>
      <c r="F35" s="117">
        <f>IF(OR(2487345.59713="",592.0215="",461.08919=""),"-",(461.08919-592.0215)/2487345.59713*100)</f>
        <v>-5.2639371927678631E-3</v>
      </c>
      <c r="G35" s="117">
        <f>IF(OR(2560872.65018="",6.98438="",461.08919=""),"-",(6.98438-461.08919)/2560872.65018*100)</f>
        <v>-1.7732424529899277E-2</v>
      </c>
    </row>
    <row r="36" spans="1:7" s="9" customFormat="1" x14ac:dyDescent="0.25">
      <c r="A36" s="42" t="s">
        <v>169</v>
      </c>
      <c r="B36" s="43">
        <v>339991.37352999998</v>
      </c>
      <c r="C36" s="43">
        <f>IF(404402.85635="","-",339991.37353/404402.85635*100)</f>
        <v>84.072446124303937</v>
      </c>
      <c r="D36" s="43">
        <f>IF(404402.85635="","-",404402.85635/2560872.65018*100)</f>
        <v>15.791603550515296</v>
      </c>
      <c r="E36" s="43">
        <f>IF(339991.37353="","-",339991.37353/2266944.54682*100)</f>
        <v>14.997780779725268</v>
      </c>
      <c r="F36" s="116">
        <f>IF(2487345.59713="","-",(404402.85635-386270.87004)/2487345.59713*100)</f>
        <v>0.72896932098705647</v>
      </c>
      <c r="G36" s="116">
        <f>IF(2560872.65018="","-",(339991.37353-404402.85635)/2560872.65018*100)</f>
        <v>-2.515216163344657</v>
      </c>
    </row>
    <row r="37" spans="1:7" s="9" customFormat="1" x14ac:dyDescent="0.25">
      <c r="A37" s="46" t="s">
        <v>127</v>
      </c>
      <c r="B37" s="45">
        <v>198062.13388000001</v>
      </c>
      <c r="C37" s="45">
        <f>IF(OR(234490.1799="",198062.13388=""),"-",198062.13388/234490.1799*100)</f>
        <v>84.465001461666773</v>
      </c>
      <c r="D37" s="45">
        <f>IF(234490.1799="","-",234490.1799/2560872.65018*100)</f>
        <v>9.1566513424054108</v>
      </c>
      <c r="E37" s="45">
        <f>IF(198062.13388="","-",198062.13388/2266944.54682*100)</f>
        <v>8.7369642172251396</v>
      </c>
      <c r="F37" s="117">
        <f>IF(OR(2487345.59713="",204607.79356="",234490.1799=""),"-",(234490.1799-204607.79356)/2487345.59713*100)</f>
        <v>1.2013765346672975</v>
      </c>
      <c r="G37" s="117">
        <f>IF(OR(2560872.65018="",198062.13388="",234490.1799=""),"-",(198062.13388-234490.1799)/2560872.65018*100)</f>
        <v>-1.4224856522029514</v>
      </c>
    </row>
    <row r="38" spans="1:7" s="9" customFormat="1" ht="14.25" customHeight="1" x14ac:dyDescent="0.25">
      <c r="A38" s="46" t="s">
        <v>11</v>
      </c>
      <c r="B38" s="45">
        <v>60401.051910000002</v>
      </c>
      <c r="C38" s="45">
        <f>IF(OR(73650.74697="",60401.05191=""),"-",60401.05191/73650.74697*100)</f>
        <v>82.010100908552957</v>
      </c>
      <c r="D38" s="45">
        <f>IF(73650.74697="","-",73650.74697/2560872.65018*100)</f>
        <v>2.8760019349194579</v>
      </c>
      <c r="E38" s="45">
        <f>IF(60401.05191="","-",60401.05191/2266944.54682*100)</f>
        <v>2.6644256470555816</v>
      </c>
      <c r="F38" s="117">
        <f>IF(OR(2487345.59713="",81245.68784="",73650.74697=""),"-",(73650.74697-81245.68784)/2487345.59713*100)</f>
        <v>-0.30534320919309949</v>
      </c>
      <c r="G38" s="117">
        <f>IF(OR(2560872.65018="",60401.05191="",73650.74697=""),"-",(60401.05191-73650.74697)/2560872.65018*100)</f>
        <v>-0.51738984596007498</v>
      </c>
    </row>
    <row r="39" spans="1:7" s="15" customFormat="1" ht="14.25" customHeight="1" x14ac:dyDescent="0.2">
      <c r="A39" s="46" t="s">
        <v>12</v>
      </c>
      <c r="B39" s="45">
        <v>59348.030850000003</v>
      </c>
      <c r="C39" s="45">
        <f>IF(OR(74024.81676="",59348.03085=""),"-",59348.03085/74024.81676*100)</f>
        <v>80.173154690021818</v>
      </c>
      <c r="D39" s="45">
        <f>IF(74024.81676="","-",74024.81676/2560872.65018*100)</f>
        <v>2.8906090568305656</v>
      </c>
      <c r="E39" s="45">
        <f>IF(59348.03085="","-",59348.03085/2266944.54682*100)</f>
        <v>2.6179745302218174</v>
      </c>
      <c r="F39" s="117">
        <f>IF(OR(2487345.59713="",72901.61265="",74024.81676=""),"-",(74024.81676-72901.61265)/2487345.59713*100)</f>
        <v>4.5156737017003359E-2</v>
      </c>
      <c r="G39" s="117">
        <f>IF(OR(2560872.65018="",59348.03085="",74024.81676=""),"-",(59348.03085-74024.81676)/2560872.65018*100)</f>
        <v>-0.57311658621401529</v>
      </c>
    </row>
    <row r="40" spans="1:7" s="15" customFormat="1" ht="14.25" customHeight="1" x14ac:dyDescent="0.2">
      <c r="A40" s="46" t="s">
        <v>13</v>
      </c>
      <c r="B40" s="45">
        <v>12802.520500000001</v>
      </c>
      <c r="C40" s="45">
        <f>IF(OR(9254.87877="",12802.5205=""),"-",12802.5205/9254.87877*100)</f>
        <v>138.33266559363045</v>
      </c>
      <c r="D40" s="45">
        <f>IF(9254.87877="","-",9254.87877/2560872.65018*100)</f>
        <v>0.36139550982160273</v>
      </c>
      <c r="E40" s="45">
        <f>IF(12802.5205="","-",12802.5205/2266944.54682*100)</f>
        <v>0.56474784608026618</v>
      </c>
      <c r="F40" s="117">
        <f>IF(OR(2487345.59713="",15245.00206="",9254.87877=""),"-",(9254.87877-15245.00206)/2487345.59713*100)</f>
        <v>-0.24082392478599066</v>
      </c>
      <c r="G40" s="117">
        <f>IF(OR(2560872.65018="",12802.5205="",9254.87877=""),"-",(12802.5205-9254.87877)/2560872.65018*100)</f>
        <v>0.13853253225031095</v>
      </c>
    </row>
    <row r="41" spans="1:7" s="15" customFormat="1" ht="14.25" customHeight="1" x14ac:dyDescent="0.2">
      <c r="A41" s="46" t="s">
        <v>15</v>
      </c>
      <c r="B41" s="45">
        <v>4146.3829800000003</v>
      </c>
      <c r="C41" s="45">
        <f>IF(OR(3142.33987="",4146.38298=""),"-",4146.38298/3142.33987*100)</f>
        <v>131.95208511929681</v>
      </c>
      <c r="D41" s="45">
        <f>IF(3142.33987="","-",3142.33987/2560872.65018*100)</f>
        <v>0.12270582333639783</v>
      </c>
      <c r="E41" s="45">
        <f>IF(4146.38298="","-",4146.38298/2266944.54682*100)</f>
        <v>0.18290623764116415</v>
      </c>
      <c r="F41" s="117">
        <f>IF(OR(2487345.59713="",3533.62766="",3142.33987=""),"-",(3142.33987-3533.62766)/2487345.59713*100)</f>
        <v>-1.5731138867533485E-2</v>
      </c>
      <c r="G41" s="117">
        <f>IF(OR(2560872.65018="",4146.38298="",3142.33987=""),"-",(4146.38298-3142.33987)/2560872.65018*100)</f>
        <v>3.9207069118779796E-2</v>
      </c>
    </row>
    <row r="42" spans="1:7" s="13" customFormat="1" ht="14.25" customHeight="1" x14ac:dyDescent="0.2">
      <c r="A42" s="46" t="s">
        <v>14</v>
      </c>
      <c r="B42" s="45">
        <v>2682.26694</v>
      </c>
      <c r="C42" s="45">
        <f>IF(OR(4425.65214="",2682.26694=""),"-",2682.26694/4425.65214*100)</f>
        <v>60.607269960444739</v>
      </c>
      <c r="D42" s="45">
        <f>IF(4425.65214="","-",4425.65214/2560872.65018*100)</f>
        <v>0.17281812665260521</v>
      </c>
      <c r="E42" s="45">
        <f>IF(2682.26694="","-",2682.26694/2266944.54682*100)</f>
        <v>0.11832080073430123</v>
      </c>
      <c r="F42" s="117">
        <f>IF(OR(2487345.59713="",4845.1286="",4425.65214=""),"-",(4425.65214-4845.1286)/2487345.59713*100)</f>
        <v>-1.6864422076450041E-2</v>
      </c>
      <c r="G42" s="117">
        <f>IF(OR(2560872.65018="",2682.26694="",4425.65214=""),"-",(2682.26694-4425.65214)/2560872.65018*100)</f>
        <v>-6.8077778091677477E-2</v>
      </c>
    </row>
    <row r="43" spans="1:7" s="15" customFormat="1" ht="14.25" customHeight="1" x14ac:dyDescent="0.2">
      <c r="A43" s="46" t="s">
        <v>17</v>
      </c>
      <c r="B43" s="45">
        <v>1143.2855400000001</v>
      </c>
      <c r="C43" s="45">
        <f>IF(OR(3475.33914="",1143.28554=""),"-",1143.28554/3475.33914*100)</f>
        <v>32.897092742436648</v>
      </c>
      <c r="D43" s="45">
        <f>IF(3475.33914="","-",3475.33914/2560872.65018*100)</f>
        <v>0.13570917475165054</v>
      </c>
      <c r="E43" s="45">
        <f>IF(1143.28554="","-",1143.28554/2266944.54682*100)</f>
        <v>5.0432885162707927E-2</v>
      </c>
      <c r="F43" s="117">
        <f>IF(OR(2487345.59713="",2033.43922="",3475.33914=""),"-",(3475.33914-2033.43922)/2487345.59713*100)</f>
        <v>5.7969424179081602E-2</v>
      </c>
      <c r="G43" s="117">
        <f>IF(OR(2560872.65018="",1143.28554="",3475.33914=""),"-",(1143.28554-3475.33914)/2560872.65018*100)</f>
        <v>-9.1064801673604645E-2</v>
      </c>
    </row>
    <row r="44" spans="1:7" s="13" customFormat="1" ht="14.25" customHeight="1" x14ac:dyDescent="0.2">
      <c r="A44" s="46" t="s">
        <v>129</v>
      </c>
      <c r="B44" s="45">
        <v>648.48671000000002</v>
      </c>
      <c r="C44" s="45">
        <f>IF(OR(1152.68556="",648.48671=""),"-",648.48671/1152.68556*100)</f>
        <v>56.258769303920154</v>
      </c>
      <c r="D44" s="45">
        <f>IF(1152.68556="","-",1152.68556/2560872.65018*100)</f>
        <v>4.5011436235182542E-2</v>
      </c>
      <c r="E44" s="45">
        <f>IF(648.48671="","-",648.48671/2266944.54682*100)</f>
        <v>2.8606200840231282E-2</v>
      </c>
      <c r="F44" s="117">
        <f>IF(OR(2487345.59713="",982.67023="",1152.68556=""),"-",(1152.68556-982.67023)/2487345.59713*100)</f>
        <v>6.8352114075410546E-3</v>
      </c>
      <c r="G44" s="117">
        <f>IF(OR(2560872.65018="",648.48671="",1152.68556=""),"-",(648.48671-1152.68556)/2560872.65018*100)</f>
        <v>-1.9688556163250073E-2</v>
      </c>
    </row>
    <row r="45" spans="1:7" s="13" customFormat="1" ht="14.25" customHeight="1" x14ac:dyDescent="0.2">
      <c r="A45" s="46" t="s">
        <v>16</v>
      </c>
      <c r="B45" s="45">
        <v>505.16886</v>
      </c>
      <c r="C45" s="45">
        <f>IF(OR(610.80186="",505.16886=""),"-",505.16886/610.80186*100)</f>
        <v>82.705848341719189</v>
      </c>
      <c r="D45" s="45">
        <f>IF(610.80186="","-",610.80186/2560872.65018*100)</f>
        <v>2.3851317243638325E-2</v>
      </c>
      <c r="E45" s="45">
        <f>IF(505.16886="","-",505.16886/2266944.54682*100)</f>
        <v>2.2284129565879121E-2</v>
      </c>
      <c r="F45" s="117">
        <f>IF(OR(2487345.59713="",554.38407="",610.80186=""),"-",(610.80186-554.38407)/2487345.59713*100)</f>
        <v>2.2681926494290626E-3</v>
      </c>
      <c r="G45" s="117">
        <f>IF(OR(2560872.65018="",505.16886="",610.80186=""),"-",(505.16886-610.80186)/2560872.65018*100)</f>
        <v>-4.1248829766124939E-3</v>
      </c>
    </row>
    <row r="46" spans="1:7" s="13" customFormat="1" ht="14.25" customHeight="1" x14ac:dyDescent="0.2">
      <c r="A46" s="46" t="s">
        <v>18</v>
      </c>
      <c r="B46" s="45">
        <v>252.04535999999999</v>
      </c>
      <c r="C46" s="45">
        <f>IF(OR(175.41538="",252.04536=""),"-",252.04536/175.41538*100)</f>
        <v>143.6848695935328</v>
      </c>
      <c r="D46" s="45">
        <f>IF(175.41538="","-",175.41538/2560872.65018*100)</f>
        <v>6.8498283187830638E-3</v>
      </c>
      <c r="E46" s="45">
        <f>IF(252.04536="","-",252.04536/2266944.54682*100)</f>
        <v>1.111828519817838E-2</v>
      </c>
      <c r="F46" s="117">
        <f>IF(OR(2487345.59713="",321.52415="",175.41538=""),"-",(175.41538-321.52415)/2487345.59713*100)</f>
        <v>-5.874084010223035E-3</v>
      </c>
      <c r="G46" s="117">
        <f>IF(OR(2560872.65018="",252.04536="",175.41538=""),"-",(252.04536-175.41538)/2560872.65018*100)</f>
        <v>2.9923385684412613E-3</v>
      </c>
    </row>
    <row r="47" spans="1:7" s="13" customFormat="1" ht="14.25" customHeight="1" x14ac:dyDescent="0.2">
      <c r="A47" s="42" t="s">
        <v>170</v>
      </c>
      <c r="B47" s="43">
        <v>406500.86057999998</v>
      </c>
      <c r="C47" s="43">
        <f>IF(519580.04548="","-",406500.86058/519580.04548*100)</f>
        <v>78.236426536447368</v>
      </c>
      <c r="D47" s="43">
        <f>IF(519580.04548="","-",519580.04548/2560872.65018*100)</f>
        <v>20.289179371862925</v>
      </c>
      <c r="E47" s="43">
        <f>IF(406500.86058="","-",406500.86058/2266944.54682*100)</f>
        <v>17.93166317853813</v>
      </c>
      <c r="F47" s="116">
        <f>IF(2487345.59713="","-",(519580.04548-449760.00991)/2487345.59713*100)</f>
        <v>2.8070098361305775</v>
      </c>
      <c r="G47" s="116">
        <f>IF(2560872.65018="","-",(406500.86058-519580.04548)/2560872.65018*100)</f>
        <v>-4.4156504577473559</v>
      </c>
    </row>
    <row r="48" spans="1:7" s="9" customFormat="1" x14ac:dyDescent="0.25">
      <c r="A48" s="46" t="s">
        <v>57</v>
      </c>
      <c r="B48" s="45">
        <v>150316.61056</v>
      </c>
      <c r="C48" s="45">
        <f>IF(OR(164832.9414="",150316.61056=""),"-",150316.61056/164832.9414*100)</f>
        <v>91.193307164996085</v>
      </c>
      <c r="D48" s="45">
        <f>IF(164832.9414="","-",164832.9414/2560872.65018*100)</f>
        <v>6.43659267431413</v>
      </c>
      <c r="E48" s="45">
        <f>IF(150316.61056="","-",150316.61056/2266944.54682*100)</f>
        <v>6.6308022739620833</v>
      </c>
      <c r="F48" s="117">
        <f>IF(OR(2487345.59713="",87084.92031="",164832.9414=""),"-",(164832.9414-87084.92031)/2487345.59713*100)</f>
        <v>3.125742606082115</v>
      </c>
      <c r="G48" s="117">
        <f>IF(OR(2560872.65018="",150316.61056="",164832.9414=""),"-",(150316.61056-164832.9414)/2560872.65018*100)</f>
        <v>-0.56685094586720974</v>
      </c>
    </row>
    <row r="49" spans="1:7" s="9" customFormat="1" x14ac:dyDescent="0.25">
      <c r="A49" s="46" t="s">
        <v>130</v>
      </c>
      <c r="B49" s="45">
        <v>55259.948420000001</v>
      </c>
      <c r="C49" s="45">
        <f>IF(OR(76992.99524="",55259.94842=""),"-",55259.94842/76992.99524*100)</f>
        <v>71.7726960066244</v>
      </c>
      <c r="D49" s="45">
        <f>IF(76992.99524="","-",76992.99524/2560872.65018*100)</f>
        <v>3.006514019140635</v>
      </c>
      <c r="E49" s="45">
        <f>IF(55259.94842="","-",55259.94842/2266944.54682*100)</f>
        <v>2.4376400603851103</v>
      </c>
      <c r="F49" s="117">
        <f>IF(OR(2487345.59713="",52495.7271="",76992.99524=""),"-",(76992.99524-52495.7271)/2487345.59713*100)</f>
        <v>0.98487593232986781</v>
      </c>
      <c r="G49" s="117">
        <f>IF(OR(2560872.65018="",55259.94842="",76992.99524=""),"-",(55259.94842-76992.99524)/2560872.65018*100)</f>
        <v>-0.8486578517862815</v>
      </c>
    </row>
    <row r="50" spans="1:7" s="14" customFormat="1" ht="25.5" x14ac:dyDescent="0.25">
      <c r="A50" s="46" t="s">
        <v>124</v>
      </c>
      <c r="B50" s="45">
        <v>39090.83685</v>
      </c>
      <c r="C50" s="45">
        <f>IF(OR(46066.78645="",39090.83685=""),"-",39090.83685/46066.78645*100)</f>
        <v>84.856878159774482</v>
      </c>
      <c r="D50" s="45">
        <f>IF(46066.78645="","-",46066.78645/2560872.65018*100)</f>
        <v>1.7988706485174901</v>
      </c>
      <c r="E50" s="45">
        <f>IF(39090.83685="","-",39090.83685/2266944.54682*100)</f>
        <v>1.7243843438885802</v>
      </c>
      <c r="F50" s="117">
        <f>IF(OR(2487345.59713="",74505.91507="",46066.78645=""),"-",(46066.78645-74505.91507)/2487345.59713*100)</f>
        <v>-1.1433525221752143</v>
      </c>
      <c r="G50" s="117">
        <f>IF(OR(2560872.65018="",39090.83685="",46066.78645=""),"-",(39090.83685-46066.78645)/2560872.65018*100)</f>
        <v>-0.27240517405305847</v>
      </c>
    </row>
    <row r="51" spans="1:7" s="16" customFormat="1" x14ac:dyDescent="0.25">
      <c r="A51" s="46" t="s">
        <v>19</v>
      </c>
      <c r="B51" s="45">
        <v>23922.343710000001</v>
      </c>
      <c r="C51" s="45">
        <f>IF(OR(22297.37521="",23922.34371=""),"-",23922.34371/22297.37521*100)</f>
        <v>107.28771204994223</v>
      </c>
      <c r="D51" s="45">
        <f>IF(22297.37521="","-",22297.37521/2560872.65018*100)</f>
        <v>0.87069441771861433</v>
      </c>
      <c r="E51" s="45">
        <f>IF(23922.34371="","-",23922.34371/2266944.54682*100)</f>
        <v>1.0552681468789138</v>
      </c>
      <c r="F51" s="117">
        <f>IF(OR(2487345.59713="",19828.81241="",22297.37521=""),"-",(22297.37521-19828.81241)/2487345.59713*100)</f>
        <v>9.9244865805874632E-2</v>
      </c>
      <c r="G51" s="117">
        <f>IF(OR(2560872.65018="",23922.34371="",22297.37521=""),"-",(23922.34371-22297.37521)/2560872.65018*100)</f>
        <v>6.3453701998253842E-2</v>
      </c>
    </row>
    <row r="52" spans="1:7" s="9" customFormat="1" x14ac:dyDescent="0.25">
      <c r="A52" s="46" t="s">
        <v>59</v>
      </c>
      <c r="B52" s="45">
        <v>22067.635399999999</v>
      </c>
      <c r="C52" s="45">
        <f>IF(OR(19544.44049="",22067.6354=""),"-",22067.6354/19544.44049*100)</f>
        <v>112.91003910442461</v>
      </c>
      <c r="D52" s="45">
        <f>IF(19544.44049="","-",19544.44049/2560872.65018*100)</f>
        <v>0.76319454966361766</v>
      </c>
      <c r="E52" s="45">
        <f>IF(22067.6354="","-",22067.6354/2266944.54682*100)</f>
        <v>0.97345281034579345</v>
      </c>
      <c r="F52" s="117">
        <f>IF(OR(2487345.59713="",19662.40849="",19544.44049=""),"-",(19544.44049-19662.40849)/2487345.59713*100)</f>
        <v>-4.7427265489812511E-3</v>
      </c>
      <c r="G52" s="117">
        <f>IF(OR(2560872.65018="",22067.6354="",19544.44049=""),"-",(22067.6354-19544.44049)/2560872.65018*100)</f>
        <v>9.8528714804410389E-2</v>
      </c>
    </row>
    <row r="53" spans="1:7" s="16" customFormat="1" x14ac:dyDescent="0.25">
      <c r="A53" s="46" t="s">
        <v>60</v>
      </c>
      <c r="B53" s="45">
        <v>11579.41418</v>
      </c>
      <c r="C53" s="45">
        <f>IF(OR(15922.64692="",11579.41418=""),"-",11579.41418/15922.64692*100)</f>
        <v>72.722922502636266</v>
      </c>
      <c r="D53" s="45">
        <f>IF(15922.64692="","-",15922.64692/2560872.65018*100)</f>
        <v>0.62176644820197602</v>
      </c>
      <c r="E53" s="45">
        <f>IF(11579.41418="","-",11579.41418/2266944.54682*100)</f>
        <v>0.51079388758067534</v>
      </c>
      <c r="F53" s="117">
        <f>IF(OR(2487345.59713="",17307.04632="",15922.64692=""),"-",(15922.64692-17307.04632)/2487345.59713*100)</f>
        <v>-5.5657701993537936E-2</v>
      </c>
      <c r="G53" s="117">
        <f>IF(OR(2560872.65018="",11579.41418="",15922.64692=""),"-",(11579.41418-15922.64692)/2560872.65018*100)</f>
        <v>-0.16959971592865894</v>
      </c>
    </row>
    <row r="54" spans="1:7" s="14" customFormat="1" x14ac:dyDescent="0.25">
      <c r="A54" s="46" t="s">
        <v>61</v>
      </c>
      <c r="B54" s="45">
        <v>11024.543369999999</v>
      </c>
      <c r="C54" s="45">
        <f>IF(OR(11497.22246="",11024.54337=""),"-",11024.54337/11497.22246*100)</f>
        <v>95.888754073912196</v>
      </c>
      <c r="D54" s="45">
        <f>IF(11497.22246="","-",11497.22246/2560872.65018*100)</f>
        <v>0.44895721226871155</v>
      </c>
      <c r="E54" s="45">
        <f>IF(11024.54337="","-",11024.54337/2266944.54682*100)</f>
        <v>0.48631729370993615</v>
      </c>
      <c r="F54" s="117">
        <f>IF(OR(2487345.59713="",13855.40273="",11497.22246=""),"-",(11497.22246-13855.40273)/2487345.59713*100)</f>
        <v>-9.4807101703959534E-2</v>
      </c>
      <c r="G54" s="117">
        <f>IF(OR(2560872.65018="",11024.54337="",11497.22246=""),"-",(11024.54337-11497.22246)/2560872.65018*100)</f>
        <v>-1.8457735099274755E-2</v>
      </c>
    </row>
    <row r="55" spans="1:7" s="9" customFormat="1" x14ac:dyDescent="0.25">
      <c r="A55" s="46" t="s">
        <v>67</v>
      </c>
      <c r="B55" s="45">
        <v>8622.3535900000006</v>
      </c>
      <c r="C55" s="45">
        <f>IF(OR(7796.09344="",8622.35359=""),"-",8622.35359/7796.09344*100)</f>
        <v>110.59838695314561</v>
      </c>
      <c r="D55" s="45">
        <f>IF(7796.09344="","-",7796.09344/2560872.65018*100)</f>
        <v>0.30443112582939347</v>
      </c>
      <c r="E55" s="45">
        <f>IF(8622.35359="","-",8622.35359/2266944.54682*100)</f>
        <v>0.38035132363935292</v>
      </c>
      <c r="F55" s="117">
        <f>IF(OR(2487345.59713="",19325.27332="",7796.09344=""),"-",(7796.09344-19325.27332)/2487345.59713*100)</f>
        <v>-0.46351338926536123</v>
      </c>
      <c r="G55" s="117">
        <f>IF(OR(2560872.65018="",8622.35359="",7796.09344=""),"-",(8622.35359-7796.09344)/2560872.65018*100)</f>
        <v>3.2264788721216749E-2</v>
      </c>
    </row>
    <row r="56" spans="1:7" s="9" customFormat="1" x14ac:dyDescent="0.25">
      <c r="A56" s="46" t="s">
        <v>58</v>
      </c>
      <c r="B56" s="45">
        <v>5947.9005900000002</v>
      </c>
      <c r="C56" s="45">
        <f>IF(OR(8219.10313="",5947.90059=""),"-",5947.90059/8219.10313*100)</f>
        <v>72.366783770968453</v>
      </c>
      <c r="D56" s="45">
        <f>IF(8219.10313="","-",8219.10313/2560872.65018*100)</f>
        <v>0.32094931114291414</v>
      </c>
      <c r="E56" s="45">
        <f>IF(5947.90059="","-",5947.90059/2266944.54682*100)</f>
        <v>0.26237521329507296</v>
      </c>
      <c r="F56" s="117">
        <f>IF(OR(2487345.59713="",10682.42535="",8219.10313=""),"-",(8219.10313-10682.42535)/2487345.59713*100)</f>
        <v>-9.9034176145135627E-2</v>
      </c>
      <c r="G56" s="117">
        <f>IF(OR(2560872.65018="",5947.90059="",8219.10313=""),"-",(5947.90059-8219.10313)/2560872.65018*100)</f>
        <v>-8.8688617133708694E-2</v>
      </c>
    </row>
    <row r="57" spans="1:7" s="16" customFormat="1" x14ac:dyDescent="0.25">
      <c r="A57" s="46" t="s">
        <v>66</v>
      </c>
      <c r="B57" s="45">
        <v>5087.4943800000001</v>
      </c>
      <c r="C57" s="45">
        <f>IF(OR(11760.4343="",5087.49438=""),"-",5087.49438/11760.4343*100)</f>
        <v>43.259409050905539</v>
      </c>
      <c r="D57" s="45">
        <f>IF(11760.4343="","-",11760.4343/2560872.65018*100)</f>
        <v>0.45923542114338944</v>
      </c>
      <c r="E57" s="45">
        <f>IF(5087.49438="","-",5087.49438/2266944.54682*100)</f>
        <v>0.22442076878927547</v>
      </c>
      <c r="F57" s="117">
        <f>IF(OR(2487345.59713="",6615.59665="",11760.4343=""),"-",(11760.4343-6615.59665)/2487345.59713*100)</f>
        <v>0.20684048312129694</v>
      </c>
      <c r="G57" s="117">
        <f>IF(OR(2560872.65018="",5087.49438="",11760.4343=""),"-",(5087.49438-11760.4343)/2560872.65018*100)</f>
        <v>-0.26057289180432186</v>
      </c>
    </row>
    <row r="58" spans="1:7" s="9" customFormat="1" x14ac:dyDescent="0.25">
      <c r="A58" s="46" t="s">
        <v>135</v>
      </c>
      <c r="B58" s="45">
        <v>4786.4011399999999</v>
      </c>
      <c r="C58" s="45" t="s">
        <v>287</v>
      </c>
      <c r="D58" s="45">
        <f>IF(1007.61255="","-",1007.61255/2560872.65018*100)</f>
        <v>3.9346452855794155E-2</v>
      </c>
      <c r="E58" s="45">
        <f>IF(4786.40114="","-",4786.40114/2266944.54682*100)</f>
        <v>0.21113887177850099</v>
      </c>
      <c r="F58" s="117">
        <f>IF(OR(2487345.59713="",1739.08352="",1007.61255=""),"-",(1007.61255-1739.08352)/2487345.59713*100)</f>
        <v>-2.9407693520514422E-2</v>
      </c>
      <c r="G58" s="117">
        <f>IF(OR(2560872.65018="",4786.40114="",1007.61255=""),"-",(4786.40114-1007.61255)/2560872.65018*100)</f>
        <v>0.14755862966221281</v>
      </c>
    </row>
    <row r="59" spans="1:7" s="14" customFormat="1" x14ac:dyDescent="0.25">
      <c r="A59" s="46" t="s">
        <v>63</v>
      </c>
      <c r="B59" s="45">
        <v>4668.4373299999997</v>
      </c>
      <c r="C59" s="45">
        <f>IF(OR(6061.2433="",4668.43733=""),"-",4668.43733/6061.2433*100)</f>
        <v>77.021117598100702</v>
      </c>
      <c r="D59" s="45">
        <f>IF(6061.2433="","-",6061.2433/2560872.65018*100)</f>
        <v>0.23668663490837641</v>
      </c>
      <c r="E59" s="45">
        <f>IF(4668.43733="","-",4668.43733/2266944.54682*100)</f>
        <v>0.20593522398016928</v>
      </c>
      <c r="F59" s="117">
        <f>IF(OR(2487345.59713="",4466.71456="",6061.2433=""),"-",(6061.2433-4466.71456)/2487345.59713*100)</f>
        <v>6.4105637022850034E-2</v>
      </c>
      <c r="G59" s="117">
        <f>IF(OR(2560872.65018="",4668.43733="",6061.2433=""),"-",(4668.43733-6061.2433)/2560872.65018*100)</f>
        <v>-5.4387943496608554E-2</v>
      </c>
    </row>
    <row r="60" spans="1:7" s="9" customFormat="1" x14ac:dyDescent="0.25">
      <c r="A60" s="46" t="s">
        <v>69</v>
      </c>
      <c r="B60" s="45">
        <v>4388.6450599999998</v>
      </c>
      <c r="C60" s="45">
        <f>IF(OR(6483.48389="",4388.64506=""),"-",4388.64506/6483.48389*100)</f>
        <v>67.689611549262281</v>
      </c>
      <c r="D60" s="45">
        <f>IF(6483.48389="","-",6483.48389/2560872.65018*100)</f>
        <v>0.25317478749067379</v>
      </c>
      <c r="E60" s="45">
        <f>IF(4388.64506="","-",4388.64506/2266944.54682*100)</f>
        <v>0.1935929604522641</v>
      </c>
      <c r="F60" s="117">
        <f>IF(OR(2487345.59713="",3992.33582="",6483.48389=""),"-",(6483.48389-3992.33582)/2487345.59713*100)</f>
        <v>0.10015287271999468</v>
      </c>
      <c r="G60" s="117">
        <f>IF(OR(2560872.65018="",4388.64506="",6483.48389=""),"-",(4388.64506-6483.48389)/2560872.65018*100)</f>
        <v>-8.1801757297566419E-2</v>
      </c>
    </row>
    <row r="61" spans="1:7" s="14" customFormat="1" x14ac:dyDescent="0.25">
      <c r="A61" s="46" t="s">
        <v>131</v>
      </c>
      <c r="B61" s="45">
        <v>3777.2446500000001</v>
      </c>
      <c r="C61" s="45">
        <f>IF(OR(14947.67113="",3777.24465=""),"-",3777.24465/14947.67113*100)</f>
        <v>25.26978695978308</v>
      </c>
      <c r="D61" s="45">
        <f>IF(14947.67113="","-",14947.67113/2560872.65018*100)</f>
        <v>0.5836944343542172</v>
      </c>
      <c r="E61" s="45">
        <f>IF(3777.24465="","-",3777.24465/2266944.54682*100)</f>
        <v>0.1666227193469996</v>
      </c>
      <c r="F61" s="117">
        <f>IF(OR(2487345.59713="",3435.28614="",14947.67113=""),"-",(14947.67113-3435.28614)/2487345.59713*100)</f>
        <v>0.4628381758965644</v>
      </c>
      <c r="G61" s="117">
        <f>IF(OR(2560872.65018="",3777.24465="",14947.67113=""),"-",(3777.24465-14947.67113)/2560872.65018*100)</f>
        <v>-0.43619609429679562</v>
      </c>
    </row>
    <row r="62" spans="1:7" s="9" customFormat="1" x14ac:dyDescent="0.25">
      <c r="A62" s="46" t="s">
        <v>38</v>
      </c>
      <c r="B62" s="45">
        <v>3701.5566800000001</v>
      </c>
      <c r="C62" s="45">
        <f>IF(OR(2857.79997="",3701.55668=""),"-",3701.55668/2857.79997*100)</f>
        <v>129.52469448027884</v>
      </c>
      <c r="D62" s="45">
        <f>IF(2857.79997="","-",2857.79997/2560872.65018*100)</f>
        <v>0.11159477101679108</v>
      </c>
      <c r="E62" s="45">
        <f>IF(3701.55668="","-",3701.55668/2266944.54682*100)</f>
        <v>0.16328395351321806</v>
      </c>
      <c r="F62" s="117">
        <f>IF(OR(2487345.59713="",6255.98838="",2857.79997=""),"-",(2857.79997-6255.98838)/2487345.59713*100)</f>
        <v>-0.13661906949806119</v>
      </c>
      <c r="G62" s="117">
        <f>IF(OR(2560872.65018="",3701.55668="",2857.79997=""),"-",(3701.55668-2857.79997)/2560872.65018*100)</f>
        <v>3.2948015198674317E-2</v>
      </c>
    </row>
    <row r="63" spans="1:7" s="14" customFormat="1" x14ac:dyDescent="0.25">
      <c r="A63" s="46" t="s">
        <v>68</v>
      </c>
      <c r="B63" s="45">
        <v>3143.2401199999999</v>
      </c>
      <c r="C63" s="45" t="s">
        <v>292</v>
      </c>
      <c r="D63" s="45">
        <f>IF(22.26872="","-",22.26872/2560872.65018*100)</f>
        <v>8.6957545500885268E-4</v>
      </c>
      <c r="E63" s="45">
        <f>IF(3143.24012="","-",3143.24012/2266944.54682*100)</f>
        <v>0.13865535989441119</v>
      </c>
      <c r="F63" s="117">
        <f>IF(OR(2487345.59713="",24.4608="",22.26872=""),"-",(22.26872-24.4608)/2487345.59713*100)</f>
        <v>-8.8129289413152361E-5</v>
      </c>
      <c r="G63" s="117">
        <f>IF(OR(2560872.65018="",3143.24012="",22.26872=""),"-",(3143.24012-22.26872)/2560872.65018*100)</f>
        <v>0.12187140191374342</v>
      </c>
    </row>
    <row r="64" spans="1:7" s="9" customFormat="1" x14ac:dyDescent="0.25">
      <c r="A64" s="46" t="s">
        <v>62</v>
      </c>
      <c r="B64" s="45">
        <v>2595.6631000000002</v>
      </c>
      <c r="C64" s="45">
        <f>IF(OR(9856.81362="",2595.6631=""),"-",2595.6631/9856.81362*100)</f>
        <v>26.333693626236993</v>
      </c>
      <c r="D64" s="45">
        <f>IF(9856.81362="","-",9856.81362/2560872.65018*100)</f>
        <v>0.38490057751630802</v>
      </c>
      <c r="E64" s="45">
        <f>IF(2595.6631="","-",2595.6631/2266944.54682*100)</f>
        <v>0.11450051143249695</v>
      </c>
      <c r="F64" s="117">
        <f>IF(OR(2487345.59713="",9237.38109="",9856.81362=""),"-",(9856.81362-9237.38109)/2487345.59713*100)</f>
        <v>2.4903356040058382E-2</v>
      </c>
      <c r="G64" s="117">
        <f>IF(OR(2560872.65018="",2595.6631="",9856.81362=""),"-",(2595.6631-9856.81362)/2560872.65018*100)</f>
        <v>-0.28354203866754663</v>
      </c>
    </row>
    <row r="65" spans="1:7" s="9" customFormat="1" x14ac:dyDescent="0.25">
      <c r="A65" s="46" t="s">
        <v>77</v>
      </c>
      <c r="B65" s="45">
        <v>2002.70171</v>
      </c>
      <c r="C65" s="45">
        <f>IF(OR(1705.77097="",2002.70171=""),"-",2002.70171/1705.77097*100)</f>
        <v>117.40742134918617</v>
      </c>
      <c r="D65" s="45">
        <f>IF(1705.77097="","-",1705.77097/2560872.65018*100)</f>
        <v>6.6608972917107143E-2</v>
      </c>
      <c r="E65" s="45">
        <f>IF(2002.70171="","-",2002.70171/2266944.54682*100)</f>
        <v>8.8343656787252631E-2</v>
      </c>
      <c r="F65" s="117">
        <f>IF(OR(2487345.59713="",1482.82934="",1705.77097=""),"-",(1705.77097-1482.82934)/2487345.59713*100)</f>
        <v>8.9630339369502609E-3</v>
      </c>
      <c r="G65" s="117">
        <f>IF(OR(2560872.65018="",2002.70171="",1705.77097=""),"-",(2002.70171-1705.77097)/2560872.65018*100)</f>
        <v>1.1594904572046141E-2</v>
      </c>
    </row>
    <row r="66" spans="1:7" s="14" customFormat="1" x14ac:dyDescent="0.25">
      <c r="A66" s="46" t="s">
        <v>40</v>
      </c>
      <c r="B66" s="45">
        <v>1882.15806</v>
      </c>
      <c r="C66" s="45">
        <f>IF(OR(1469.72551="",1882.15806=""),"-",1882.15806/1469.72551*100)</f>
        <v>128.06187598934716</v>
      </c>
      <c r="D66" s="45">
        <f>IF(1469.72551="","-",1469.72551/2560872.65018*100)</f>
        <v>5.7391589148202866E-2</v>
      </c>
      <c r="E66" s="45">
        <f>IF(1882.15806="","-",1882.15806/2266944.54682*100)</f>
        <v>8.3026206469859767E-2</v>
      </c>
      <c r="F66" s="117">
        <f>IF(OR(2487345.59713="",1603.42341="",1469.72551=""),"-",(1469.72551-1603.42341)/2487345.59713*100)</f>
        <v>-5.3751235917624861E-3</v>
      </c>
      <c r="G66" s="117">
        <f>IF(OR(2560872.65018="",1882.15806="",1469.72551=""),"-",(1882.15806-1469.72551)/2560872.65018*100)</f>
        <v>1.6105156575084306E-2</v>
      </c>
    </row>
    <row r="67" spans="1:7" s="16" customFormat="1" x14ac:dyDescent="0.25">
      <c r="A67" s="46" t="s">
        <v>267</v>
      </c>
      <c r="B67" s="45">
        <v>1524.28477</v>
      </c>
      <c r="C67" s="45">
        <f>IF(OR(1468.45099="",1524.28477=""),"-",1524.28477/1468.45099*100)</f>
        <v>103.80222291245825</v>
      </c>
      <c r="D67" s="45">
        <f>IF(1468.45099="","-",1468.45099/2560872.65018*100)</f>
        <v>5.7341820175899214E-2</v>
      </c>
      <c r="E67" s="45">
        <f>IF(1524.28477="","-",1524.28477/2266944.54682*100)</f>
        <v>6.723961431426366E-2</v>
      </c>
      <c r="F67" s="117">
        <f>IF(OR(2487345.59713="",1361.54403="",1468.45099=""),"-",(1468.45099-1361.54403)/2487345.59713*100)</f>
        <v>4.2980340216234366E-3</v>
      </c>
      <c r="G67" s="117">
        <f>IF(OR(2560872.65018="",1524.28477="",1468.45099=""),"-",(1524.28477-1468.45099)/2560872.65018*100)</f>
        <v>2.1802638251486443E-3</v>
      </c>
    </row>
    <row r="68" spans="1:7" s="9" customFormat="1" x14ac:dyDescent="0.25">
      <c r="A68" s="46" t="s">
        <v>143</v>
      </c>
      <c r="B68" s="45">
        <v>1505.42758</v>
      </c>
      <c r="C68" s="45">
        <f>IF(OR(1393.68599="",1505.42758=""),"-",1505.42758/1393.68599*100)</f>
        <v>108.0177020363102</v>
      </c>
      <c r="D68" s="45">
        <f>IF(1393.68599="","-",1393.68599/2560872.65018*100)</f>
        <v>5.4422307563870453E-2</v>
      </c>
      <c r="E68" s="45">
        <f>IF(1505.42758="","-",1505.42758/2266944.54682*100)</f>
        <v>6.6407781439196095E-2</v>
      </c>
      <c r="F68" s="117">
        <f>IF(OR(2487345.59713="",2201.12699="",1393.68599=""),"-",(1393.68599-2201.12699)/2487345.59713*100)</f>
        <v>-3.2461954660890642E-2</v>
      </c>
      <c r="G68" s="117">
        <f>IF(OR(2560872.65018="",1505.42758="",1393.68599=""),"-",(1505.42758-1393.68599)/2560872.65018*100)</f>
        <v>4.3634184617554464E-3</v>
      </c>
    </row>
    <row r="69" spans="1:7" s="9" customFormat="1" x14ac:dyDescent="0.25">
      <c r="A69" s="46" t="s">
        <v>39</v>
      </c>
      <c r="B69" s="45">
        <v>1435.14311</v>
      </c>
      <c r="C69" s="45" t="s">
        <v>104</v>
      </c>
      <c r="D69" s="45">
        <f>IF(846.63232="","-",846.63232/2560872.65018*100)</f>
        <v>3.306030543691782E-2</v>
      </c>
      <c r="E69" s="45">
        <f>IF(1435.14311="","-",1435.14311/2266944.54682*100)</f>
        <v>6.3307376089687534E-2</v>
      </c>
      <c r="F69" s="117">
        <f>IF(OR(2487345.59713="",655.59718="",846.63232=""),"-",(846.63232-655.59718)/2487345.59713*100)</f>
        <v>7.6802813497418342E-3</v>
      </c>
      <c r="G69" s="117">
        <f>IF(OR(2560872.65018="",1435.14311="",846.63232=""),"-",(1435.14311-846.63232)/2560872.65018*100)</f>
        <v>2.298086903925638E-2</v>
      </c>
    </row>
    <row r="70" spans="1:7" s="9" customFormat="1" x14ac:dyDescent="0.25">
      <c r="A70" s="46" t="s">
        <v>88</v>
      </c>
      <c r="B70" s="45">
        <v>1207.9650799999999</v>
      </c>
      <c r="C70" s="45" t="s">
        <v>268</v>
      </c>
      <c r="D70" s="45">
        <f>IF(504.2726="","-",504.2726/2560872.65018*100)</f>
        <v>1.9691436040935321E-2</v>
      </c>
      <c r="E70" s="45">
        <f>IF(1207.96508="","-",1207.96508/2266944.54682*100)</f>
        <v>5.3286044499610552E-2</v>
      </c>
      <c r="F70" s="117">
        <f>IF(OR(2487345.59713="",454.68826="",504.2726=""),"-",(504.2726-454.68826)/2487345.59713*100)</f>
        <v>1.9934640388216424E-3</v>
      </c>
      <c r="G70" s="117">
        <f>IF(OR(2560872.65018="",1207.96508="",504.2726=""),"-",(1207.96508-504.2726)/2560872.65018*100)</f>
        <v>2.7478620615927093E-2</v>
      </c>
    </row>
    <row r="71" spans="1:7" s="9" customFormat="1" x14ac:dyDescent="0.25">
      <c r="A71" s="46" t="s">
        <v>78</v>
      </c>
      <c r="B71" s="45">
        <v>1187.56132</v>
      </c>
      <c r="C71" s="45">
        <f>IF(OR(1512.59657="",1187.56132=""),"-",1187.56132/1512.59657*100)</f>
        <v>78.511438115980923</v>
      </c>
      <c r="D71" s="45">
        <f>IF(1512.59657="","-",1512.59657/2560872.65018*100)</f>
        <v>5.9065669270734013E-2</v>
      </c>
      <c r="E71" s="45">
        <f>IF(1187.56132="","-",1187.56132/2266944.54682*100)</f>
        <v>5.2385988958833354E-2</v>
      </c>
      <c r="F71" s="117">
        <f>IF(OR(2487345.59713="",1329.5241="",1512.59657=""),"-",(1512.59657-1329.5241)/2487345.59713*100)</f>
        <v>7.3601541422806801E-3</v>
      </c>
      <c r="G71" s="117">
        <f>IF(OR(2560872.65018="",1187.56132="",1512.59657=""),"-",(1187.56132-1512.59657)/2560872.65018*100)</f>
        <v>-1.2692362893451718E-2</v>
      </c>
    </row>
    <row r="72" spans="1:7" s="9" customFormat="1" x14ac:dyDescent="0.25">
      <c r="A72" s="46" t="s">
        <v>86</v>
      </c>
      <c r="B72" s="45">
        <v>1176.44867</v>
      </c>
      <c r="C72" s="45">
        <f>IF(OR(2039.53372="",1176.44867=""),"-",1176.44867/2039.53372*100)</f>
        <v>57.682236800674225</v>
      </c>
      <c r="D72" s="45">
        <f>IF(2039.53372="","-",2039.53372/2560872.65018*100)</f>
        <v>7.9642137607141228E-2</v>
      </c>
      <c r="E72" s="45">
        <f>IF(1176.44867="","-",1176.44867/2266944.54682*100)</f>
        <v>5.1895785084389738E-2</v>
      </c>
      <c r="F72" s="117">
        <f>IF(OR(2487345.59713="",1812.67369="",2039.53372=""),"-",(2039.53372-1812.67369)/2487345.59713*100)</f>
        <v>9.1205673333757918E-3</v>
      </c>
      <c r="G72" s="117">
        <f>IF(OR(2560872.65018="",1176.44867="",2039.53372=""),"-",(1176.44867-2039.53372)/2560872.65018*100)</f>
        <v>-3.3702771199471203E-2</v>
      </c>
    </row>
    <row r="73" spans="1:7" s="9" customFormat="1" x14ac:dyDescent="0.25">
      <c r="A73" s="46" t="s">
        <v>136</v>
      </c>
      <c r="B73" s="45">
        <v>1130.4907900000001</v>
      </c>
      <c r="C73" s="45" t="s">
        <v>243</v>
      </c>
      <c r="D73" s="45">
        <f>IF(636.4602="","-",636.4602/2560872.65018*100)</f>
        <v>2.4853254610504128E-2</v>
      </c>
      <c r="E73" s="45">
        <f>IF(1130.49079="","-",1130.49079/2266944.54682*100)</f>
        <v>4.9868480090782007E-2</v>
      </c>
      <c r="F73" s="117">
        <f>IF(OR(2487345.59713="",99.94="",636.4602=""),"-",(636.4602-99.94)/2487345.59713*100)</f>
        <v>2.1569990138043491E-2</v>
      </c>
      <c r="G73" s="117">
        <f>IF(OR(2560872.65018="",1130.49079="",636.4602=""),"-",(1130.49079-636.4602)/2560872.65018*100)</f>
        <v>1.9291493857192601E-2</v>
      </c>
    </row>
    <row r="74" spans="1:7" s="9" customFormat="1" x14ac:dyDescent="0.25">
      <c r="A74" s="46" t="s">
        <v>73</v>
      </c>
      <c r="B74" s="45">
        <v>980.37171999999998</v>
      </c>
      <c r="C74" s="45">
        <f>IF(OR(1273.68617="",980.37172=""),"-",980.37172/1273.68617*100)</f>
        <v>76.97121497362258</v>
      </c>
      <c r="D74" s="45">
        <f>IF(1273.68617="","-",1273.68617/2560872.65018*100)</f>
        <v>4.9736411918432359E-2</v>
      </c>
      <c r="E74" s="45">
        <f>IF(980.37172="","-",980.37172/2266944.54682*100)</f>
        <v>4.3246391773245414E-2</v>
      </c>
      <c r="F74" s="117">
        <f>IF(OR(2487345.59713="",981.8283="",1273.68617=""),"-",(1273.68617-981.8283)/2487345.59713*100)</f>
        <v>1.1733708027415142E-2</v>
      </c>
      <c r="G74" s="117">
        <f>IF(OR(2560872.65018="",980.37172="",1273.68617=""),"-",(980.37172-1273.68617)/2560872.65018*100)</f>
        <v>-1.1453691380529341E-2</v>
      </c>
    </row>
    <row r="75" spans="1:7" s="9" customFormat="1" x14ac:dyDescent="0.25">
      <c r="A75" s="46" t="s">
        <v>71</v>
      </c>
      <c r="B75" s="45">
        <v>950.17541000000006</v>
      </c>
      <c r="C75" s="45">
        <f>IF(OR(3063.88891="",950.17541=""),"-",950.17541/3063.88891*100)</f>
        <v>31.012071191575941</v>
      </c>
      <c r="D75" s="45">
        <f>IF(3063.88891="","-",3063.88891/2560872.65018*100)</f>
        <v>0.11964237697585799</v>
      </c>
      <c r="E75" s="45">
        <f>IF(950.17541="","-",950.17541/2266944.54682*100)</f>
        <v>4.1914364924932855E-2</v>
      </c>
      <c r="F75" s="117">
        <f>IF(OR(2487345.59713="",1602.46149="",3063.88891=""),"-",(3063.88891-1602.46149)/2487345.59713*100)</f>
        <v>5.8754498035425963E-2</v>
      </c>
      <c r="G75" s="117">
        <f>IF(OR(2560872.65018="",950.17541="",3063.88891=""),"-",(950.17541-3063.88891)/2560872.65018*100)</f>
        <v>-8.2538797852811235E-2</v>
      </c>
    </row>
    <row r="76" spans="1:7" s="9" customFormat="1" x14ac:dyDescent="0.25">
      <c r="A76" s="46" t="s">
        <v>94</v>
      </c>
      <c r="B76" s="45">
        <v>761.57689000000005</v>
      </c>
      <c r="C76" s="45" t="s">
        <v>288</v>
      </c>
      <c r="D76" s="45">
        <f>IF(278.26482="","-",278.26482/2560872.65018*100)</f>
        <v>1.0866015534995119E-2</v>
      </c>
      <c r="E76" s="45">
        <f>IF(761.57689="","-",761.57689/2266944.54682*100)</f>
        <v>3.3594861906450987E-2</v>
      </c>
      <c r="F76" s="117">
        <f>IF(OR(2487345.59713="",258.74034="",278.26482=""),"-",(278.26482-258.74034)/2487345.59713*100)</f>
        <v>7.8495244177279261E-4</v>
      </c>
      <c r="G76" s="117">
        <f>IF(OR(2560872.65018="",761.57689="",278.26482=""),"-",(761.57689-278.26482)/2560872.65018*100)</f>
        <v>1.8872944344422157E-2</v>
      </c>
    </row>
    <row r="77" spans="1:7" x14ac:dyDescent="0.25">
      <c r="A77" s="46" t="s">
        <v>37</v>
      </c>
      <c r="B77" s="45">
        <v>681.02799000000005</v>
      </c>
      <c r="C77" s="45" t="s">
        <v>96</v>
      </c>
      <c r="D77" s="45">
        <f>IF(319.50866="","-",319.50866/2560872.65018*100)</f>
        <v>1.2476554036279088E-2</v>
      </c>
      <c r="E77" s="45">
        <f>IF(681.02799="","-",681.02799/2266944.54682*100)</f>
        <v>3.0041669565994689E-2</v>
      </c>
      <c r="F77" s="117">
        <f>IF(OR(2487345.59713="",602.17041="",319.50866=""),"-",(319.50866-602.17041)/2487345.59713*100)</f>
        <v>-1.1363991812241389E-2</v>
      </c>
      <c r="G77" s="117">
        <f>IF(OR(2560872.65018="",681.02799="",319.50866=""),"-",(681.02799-319.50866)/2560872.65018*100)</f>
        <v>1.4117036627127452E-2</v>
      </c>
    </row>
    <row r="78" spans="1:7" x14ac:dyDescent="0.25">
      <c r="A78" s="46" t="s">
        <v>142</v>
      </c>
      <c r="B78" s="45">
        <v>607.33177999999998</v>
      </c>
      <c r="C78" s="45" t="s">
        <v>278</v>
      </c>
      <c r="D78" s="45">
        <f>IF(117.36746="","-",117.36746/2560872.65018*100)</f>
        <v>4.5831041224072746E-3</v>
      </c>
      <c r="E78" s="45">
        <f>IF(607.33178="","-",607.33178/2266944.54682*100)</f>
        <v>2.6790764725672111E-2</v>
      </c>
      <c r="F78" s="117">
        <f>IF(OR(2487345.59713="",146.18601="",117.36746=""),"-",(117.36746-146.18601)/2487345.59713*100)</f>
        <v>-1.1586065898221793E-3</v>
      </c>
      <c r="G78" s="117">
        <f>IF(OR(2560872.65018="",607.33178="",117.36746=""),"-",(607.33178-117.36746)/2560872.65018*100)</f>
        <v>1.9132709311630983E-2</v>
      </c>
    </row>
    <row r="79" spans="1:7" x14ac:dyDescent="0.25">
      <c r="A79" s="46" t="s">
        <v>103</v>
      </c>
      <c r="B79" s="45">
        <v>566.37030000000004</v>
      </c>
      <c r="C79" s="45" t="s">
        <v>288</v>
      </c>
      <c r="D79" s="45">
        <f>IF(209.59513="","-",209.59513/2560872.65018*100)</f>
        <v>8.1845198348800309E-3</v>
      </c>
      <c r="E79" s="45">
        <f>IF(566.3703="","-",566.3703/2266944.54682*100)</f>
        <v>2.4983862123777439E-2</v>
      </c>
      <c r="F79" s="117">
        <f>IF(OR(2487345.59713="",132.43385="",209.59513=""),"-",(209.59513-132.43385)/2487345.59713*100)</f>
        <v>3.1021535603669957E-3</v>
      </c>
      <c r="G79" s="117">
        <f>IF(OR(2560872.65018="",566.3703="",209.59513=""),"-",(566.3703-209.59513)/2560872.65018*100)</f>
        <v>1.3931781026866871E-2</v>
      </c>
    </row>
    <row r="80" spans="1:7" x14ac:dyDescent="0.25">
      <c r="A80" s="46" t="s">
        <v>76</v>
      </c>
      <c r="B80" s="45">
        <v>564.93462999999997</v>
      </c>
      <c r="C80" s="45">
        <f>IF(OR(1827.32418="",564.93463=""),"-",564.93463/1827.32418*100)</f>
        <v>30.915950009483261</v>
      </c>
      <c r="D80" s="45">
        <f>IF(1827.32418="","-",1827.32418/2560872.65018*100)</f>
        <v>7.1355527182172071E-2</v>
      </c>
      <c r="E80" s="45">
        <f>IF(564.93463="","-",564.93463/2266944.54682*100)</f>
        <v>2.4920531505390062E-2</v>
      </c>
      <c r="F80" s="117">
        <f>IF(OR(2487345.59713="",11603.42908="",1827.32418=""),"-",(1827.32418-11603.42908)/2487345.59713*100)</f>
        <v>-0.39303363840071381</v>
      </c>
      <c r="G80" s="117">
        <f>IF(OR(2560872.65018="",564.93463="",1827.32418=""),"-",(564.93463-1827.32418)/2560872.65018*100)</f>
        <v>-4.9295288069528508E-2</v>
      </c>
    </row>
    <row r="81" spans="1:7" x14ac:dyDescent="0.25">
      <c r="A81" s="46" t="s">
        <v>110</v>
      </c>
      <c r="B81" s="45">
        <v>557.97835999999995</v>
      </c>
      <c r="C81" s="45">
        <f>IF(OR(1245.47947="",557.97836=""),"-",557.97836/1245.47947*100)</f>
        <v>44.800285628152501</v>
      </c>
      <c r="D81" s="45">
        <f>IF(1245.47947="","-",1245.47947/2560872.65018*100)</f>
        <v>4.8634963160407725E-2</v>
      </c>
      <c r="E81" s="45">
        <f>IF(557.97836="","-",557.97836/2266944.54682*100)</f>
        <v>2.4613674859524676E-2</v>
      </c>
      <c r="F81" s="117">
        <f>IF(OR(2487345.59713="",574.97261="",1245.47947=""),"-",(1245.47947-574.97261)/2487345.59713*100)</f>
        <v>2.6956722892615241E-2</v>
      </c>
      <c r="G81" s="117">
        <f>IF(OR(2560872.65018="",557.97836="",1245.47947=""),"-",(557.97836-1245.47947)/2560872.65018*100)</f>
        <v>-2.6846360749398321E-2</v>
      </c>
    </row>
    <row r="82" spans="1:7" x14ac:dyDescent="0.25">
      <c r="A82" s="46" t="s">
        <v>97</v>
      </c>
      <c r="B82" s="45">
        <v>460.22179</v>
      </c>
      <c r="C82" s="45">
        <f>IF(OR(757.15518="",460.22179=""),"-",460.22179/757.15518*100)</f>
        <v>60.783020727666425</v>
      </c>
      <c r="D82" s="45">
        <f>IF(757.15518="","-",757.15518/2560872.65018*100)</f>
        <v>2.9566295690134404E-2</v>
      </c>
      <c r="E82" s="45">
        <f>IF(460.22179="","-",460.22179/2266944.54682*100)</f>
        <v>2.0301413664731455E-2</v>
      </c>
      <c r="F82" s="117">
        <f>IF(OR(2487345.59713="",559.15902="",757.15518=""),"-",(757.15518-559.15902)/2487345.59713*100)</f>
        <v>7.9601387209101895E-3</v>
      </c>
      <c r="G82" s="117">
        <f>IF(OR(2560872.65018="",460.22179="",757.15518=""),"-",(460.22179-757.15518)/2560872.65018*100)</f>
        <v>-1.1595008052396865E-2</v>
      </c>
    </row>
    <row r="83" spans="1:7" x14ac:dyDescent="0.25">
      <c r="A83" s="46" t="s">
        <v>65</v>
      </c>
      <c r="B83" s="45">
        <v>432.21897000000001</v>
      </c>
      <c r="C83" s="45">
        <f>IF(OR(1446.58019="",432.21897=""),"-",432.21897/1446.58019*100)</f>
        <v>29.878673369638779</v>
      </c>
      <c r="D83" s="45">
        <f>IF(1446.58019="","-",1446.58019/2560872.65018*100)</f>
        <v>5.6487783174158306E-2</v>
      </c>
      <c r="E83" s="45">
        <f>IF(432.21897="","-",432.21897/2266944.54682*100)</f>
        <v>1.9066146571882561E-2</v>
      </c>
      <c r="F83" s="117">
        <f>IF(OR(2487345.59713="",2709.28033="",1446.58019=""),"-",(1446.58019-2709.28033)/2487345.59713*100)</f>
        <v>-5.0764965731217832E-2</v>
      </c>
      <c r="G83" s="117">
        <f>IF(OR(2560872.65018="",432.21897="",1446.58019=""),"-",(432.21897-1446.58019)/2560872.65018*100)</f>
        <v>-3.9609982945801772E-2</v>
      </c>
    </row>
    <row r="84" spans="1:7" x14ac:dyDescent="0.25">
      <c r="A84" s="46" t="s">
        <v>166</v>
      </c>
      <c r="B84" s="45">
        <v>419.82076999999998</v>
      </c>
      <c r="C84" s="45">
        <f>IF(OR(427.85064="",419.82077=""),"-",419.82077/427.85064*100)</f>
        <v>98.123207201466371</v>
      </c>
      <c r="D84" s="45">
        <f>IF(427.85064="","-",427.85064/2560872.65018*100)</f>
        <v>1.6707220484779944E-2</v>
      </c>
      <c r="E84" s="45">
        <f>IF(419.82077="","-",419.82077/2266944.54682*100)</f>
        <v>1.8519234208393482E-2</v>
      </c>
      <c r="F84" s="117">
        <f>IF(OR(2487345.59713="",357.43307="",427.85064=""),"-",(427.85064-357.43307)/2487345.59713*100)</f>
        <v>2.8310328118959682E-3</v>
      </c>
      <c r="G84" s="117">
        <f>IF(OR(2560872.65018="",419.82077="",427.85064=""),"-",(419.82077-427.85064)/2560872.65018*100)</f>
        <v>-3.1355991089348427E-4</v>
      </c>
    </row>
    <row r="85" spans="1:7" x14ac:dyDescent="0.25">
      <c r="A85" s="46" t="s">
        <v>176</v>
      </c>
      <c r="B85" s="45">
        <v>418.78834999999998</v>
      </c>
      <c r="C85" s="45">
        <f>IF(OR(940.13015="",418.78835=""),"-",418.78835/940.13015*100)</f>
        <v>44.545784432081028</v>
      </c>
      <c r="D85" s="45">
        <f>IF(940.13015="","-",940.13015/2560872.65018*100)</f>
        <v>3.6711319867230398E-2</v>
      </c>
      <c r="E85" s="45">
        <f>IF(418.78835="","-",418.78835/2266944.54682*100)</f>
        <v>1.8473691850445281E-2</v>
      </c>
      <c r="F85" s="117">
        <f>IF(OR(2487345.59713="",998.92523="",940.13015=""),"-",(940.13015-998.92523)/2487345.59713*100)</f>
        <v>-2.3637680291729558E-3</v>
      </c>
      <c r="G85" s="117">
        <f>IF(OR(2560872.65018="",418.78835="",940.13015=""),"-",(418.78835-940.13015)/2560872.65018*100)</f>
        <v>-2.0357974457002211E-2</v>
      </c>
    </row>
    <row r="86" spans="1:7" x14ac:dyDescent="0.25">
      <c r="A86" s="46" t="s">
        <v>83</v>
      </c>
      <c r="B86" s="45">
        <v>381.03210000000001</v>
      </c>
      <c r="C86" s="45">
        <f>IF(OR(441.71995="",381.0321=""),"-",381.0321/441.71995*100)</f>
        <v>86.261012209206314</v>
      </c>
      <c r="D86" s="45">
        <f>IF(441.71995="","-",441.71995/2560872.65018*100)</f>
        <v>1.7248805791609832E-2</v>
      </c>
      <c r="E86" s="45">
        <f>IF(381.0321="","-",381.0321/2266944.54682*100)</f>
        <v>1.6808179120856758E-2</v>
      </c>
      <c r="F86" s="117">
        <f>IF(OR(2487345.59713="",1657.07725="",441.71995=""),"-",(441.71995-1657.07725)/2487345.59713*100)</f>
        <v>-4.886161783880489E-2</v>
      </c>
      <c r="G86" s="117">
        <f>IF(OR(2560872.65018="",381.0321="",441.71995=""),"-",(381.0321-441.71995)/2560872.65018*100)</f>
        <v>-2.3698113217669888E-3</v>
      </c>
    </row>
    <row r="87" spans="1:7" x14ac:dyDescent="0.25">
      <c r="A87" s="46" t="s">
        <v>175</v>
      </c>
      <c r="B87" s="45">
        <v>361.77183000000002</v>
      </c>
      <c r="C87" s="45" t="s">
        <v>242</v>
      </c>
      <c r="D87" s="45">
        <f>IF(165.45131="","-",165.45131/2560872.65018*100)</f>
        <v>6.4607394666177827E-3</v>
      </c>
      <c r="E87" s="45">
        <f>IF(361.77183="","-",361.77183/2266944.54682*100)</f>
        <v>1.5958565484430684E-2</v>
      </c>
      <c r="F87" s="117">
        <f>IF(OR(2487345.59713="",333.18916="",165.45131=""),"-",(165.45131-333.18916)/2487345.59713*100)</f>
        <v>-6.743648739183759E-3</v>
      </c>
      <c r="G87" s="117">
        <f>IF(OR(2560872.65018="",361.77183="",165.45131=""),"-",(361.77183-165.45131)/2560872.65018*100)</f>
        <v>7.666157080720157E-3</v>
      </c>
    </row>
    <row r="88" spans="1:7" x14ac:dyDescent="0.25">
      <c r="A88" s="46" t="s">
        <v>64</v>
      </c>
      <c r="B88" s="45">
        <v>347.45692000000003</v>
      </c>
      <c r="C88" s="45">
        <f>IF(OR(2417.41419="",347.45692=""),"-",347.45692/2417.41419*100)</f>
        <v>14.373081842462421</v>
      </c>
      <c r="D88" s="45">
        <f>IF(2417.41419="","-",2417.41419/2560872.65018*100)</f>
        <v>9.4398063481605912E-2</v>
      </c>
      <c r="E88" s="45">
        <f>IF(347.45692="","-",347.45692/2266944.54682*100)</f>
        <v>1.5327102751031203E-2</v>
      </c>
      <c r="F88" s="117">
        <f>IF(OR(2487345.59713="",1287.04318="",2417.41419=""),"-",(2417.41419-1287.04318)/2487345.59713*100)</f>
        <v>4.5444871484857909E-2</v>
      </c>
      <c r="G88" s="117">
        <f>IF(OR(2560872.65018="",347.45692="",2417.41419=""),"-",(347.45692-2417.41419)/2560872.65018*100)</f>
        <v>-8.0830152559695057E-2</v>
      </c>
    </row>
    <row r="89" spans="1:7" x14ac:dyDescent="0.25">
      <c r="A89" s="46" t="s">
        <v>92</v>
      </c>
      <c r="B89" s="45">
        <v>338.43874</v>
      </c>
      <c r="C89" s="45">
        <f>IF(OR(1198.82361="",338.43874=""),"-",338.43874/1198.82361*100)</f>
        <v>28.23090379409528</v>
      </c>
      <c r="D89" s="45">
        <f>IF(1198.82361="","-",1198.82361/2560872.65018*100)</f>
        <v>4.6813089667529402E-2</v>
      </c>
      <c r="E89" s="45">
        <f>IF(338.43874="","-",338.43874/2266944.54682*100)</f>
        <v>1.4929290638130142E-2</v>
      </c>
      <c r="F89" s="117">
        <f>IF(OR(2487345.59713="",1123.36773="",1198.82361=""),"-",(1198.82361-1123.36773)/2487345.59713*100)</f>
        <v>3.0335905105854217E-3</v>
      </c>
      <c r="G89" s="117">
        <f>IF(OR(2560872.65018="",338.43874="",1198.82361=""),"-",(338.43874-1198.82361)/2560872.65018*100)</f>
        <v>-3.3597331360445612E-2</v>
      </c>
    </row>
    <row r="90" spans="1:7" x14ac:dyDescent="0.25">
      <c r="A90" s="46" t="s">
        <v>137</v>
      </c>
      <c r="B90" s="45">
        <v>329.95236</v>
      </c>
      <c r="C90" s="45">
        <f>IF(OR(441.7962="",329.95236=""),"-",329.95236/441.7962*100)</f>
        <v>74.684291082630409</v>
      </c>
      <c r="D90" s="45">
        <f>IF(441.7962="","-",441.7962/2560872.65018*100)</f>
        <v>1.7251783292267456E-2</v>
      </c>
      <c r="E90" s="45">
        <f>IF(329.95236="","-",329.95236/2266944.54682*100)</f>
        <v>1.4554937414011605E-2</v>
      </c>
      <c r="F90" s="117">
        <f>IF(OR(2487345.59713="",497.59067="",441.7962=""),"-",(441.7962-497.59067)/2487345.59713*100)</f>
        <v>-2.2431330034868458E-3</v>
      </c>
      <c r="G90" s="117">
        <f>IF(OR(2560872.65018="",329.95236="",441.7962=""),"-",(329.95236-441.7962)/2560872.65018*100)</f>
        <v>-4.3674112413258298E-3</v>
      </c>
    </row>
    <row r="91" spans="1:7" x14ac:dyDescent="0.25">
      <c r="A91" s="46" t="s">
        <v>87</v>
      </c>
      <c r="B91" s="45">
        <v>324.46996999999999</v>
      </c>
      <c r="C91" s="45" t="s">
        <v>96</v>
      </c>
      <c r="D91" s="45">
        <f>IF(151.44216="","-",151.44216/2560872.65018*100)</f>
        <v>5.9136935212047879E-3</v>
      </c>
      <c r="E91" s="45">
        <f>IF(324.46997="","-",324.46997/2266944.54682*100)</f>
        <v>1.4313096915191705E-2</v>
      </c>
      <c r="F91" s="117">
        <f>IF(OR(2487345.59713="",282.3723="",151.44216=""),"-",(151.44216-282.3723)/2487345.59713*100)</f>
        <v>-5.2638499511717422E-3</v>
      </c>
      <c r="G91" s="117">
        <f>IF(OR(2560872.65018="",324.46997="",151.44216=""),"-",(324.46997-151.44216)/2560872.65018*100)</f>
        <v>6.7565956467159011E-3</v>
      </c>
    </row>
    <row r="92" spans="1:7" x14ac:dyDescent="0.25">
      <c r="A92" s="46" t="s">
        <v>72</v>
      </c>
      <c r="B92" s="45">
        <v>312.37617</v>
      </c>
      <c r="C92" s="45">
        <f>IF(OR(1639.55187="",312.37617=""),"-",312.37617/1639.55187*100)</f>
        <v>19.052533543815237</v>
      </c>
      <c r="D92" s="45">
        <f>IF(1639.55187="","-",1639.55187/2560872.65018*100)</f>
        <v>6.4023170768946994E-2</v>
      </c>
      <c r="E92" s="45">
        <f>IF(312.37617="","-",312.37617/2266944.54682*100)</f>
        <v>1.3779612317301352E-2</v>
      </c>
      <c r="F92" s="117">
        <f>IF(OR(2487345.59713="",1883.35473="",1639.55187=""),"-",(1639.55187-1883.35473)/2487345.59713*100)</f>
        <v>-9.80172840803906E-3</v>
      </c>
      <c r="G92" s="117">
        <f>IF(OR(2560872.65018="",312.37617="",1639.55187=""),"-",(312.37617-1639.55187)/2560872.65018*100)</f>
        <v>-5.1825134682379259E-2</v>
      </c>
    </row>
    <row r="93" spans="1:7" x14ac:dyDescent="0.25">
      <c r="A93" s="46" t="s">
        <v>171</v>
      </c>
      <c r="B93" s="45">
        <v>223.99680000000001</v>
      </c>
      <c r="C93" s="45">
        <f>IF(OR(197.6455="",223.9968=""),"-",223.9968/197.6455*100)</f>
        <v>113.33260812920103</v>
      </c>
      <c r="D93" s="45">
        <f>IF(197.6455="","-",197.6455/2560872.65018*100)</f>
        <v>7.717896475098354E-3</v>
      </c>
      <c r="E93" s="45">
        <f>IF(223.9968="","-",223.9968/2266944.54682*100)</f>
        <v>9.8810004115105435E-3</v>
      </c>
      <c r="F93" s="117">
        <f>IF(OR(2487345.59713="",149.798="",197.6455=""),"-",(197.6455-149.798)/2487345.59713*100)</f>
        <v>1.9236369909838174E-3</v>
      </c>
      <c r="G93" s="117">
        <f>IF(OR(2560872.65018="",223.9968="",197.6455=""),"-",(223.9968-197.6455)/2560872.65018*100)</f>
        <v>1.0289968928422824E-3</v>
      </c>
    </row>
    <row r="94" spans="1:7" x14ac:dyDescent="0.25">
      <c r="A94" s="46" t="s">
        <v>79</v>
      </c>
      <c r="B94" s="45">
        <v>222.64</v>
      </c>
      <c r="C94" s="45">
        <f>IF(OR(166.99478="",222.64=""),"-",222.64/166.99478*100)</f>
        <v>133.32153256526939</v>
      </c>
      <c r="D94" s="45">
        <f>IF(166.99478="","-",166.99478/2560872.65018*100)</f>
        <v>6.5210107182901962E-3</v>
      </c>
      <c r="E94" s="45">
        <f>IF(222.64="","-",222.64/2266944.54682*100)</f>
        <v>9.8211489254253059E-3</v>
      </c>
      <c r="F94" s="117">
        <f>IF(OR(2487345.59713="",393.07905="",166.99478=""),"-",(166.99478-393.07905)/2487345.59713*100)</f>
        <v>-9.0893790658147858E-3</v>
      </c>
      <c r="G94" s="117">
        <f>IF(OR(2560872.65018="",222.64="",166.99478=""),"-",(222.64-166.99478)/2560872.65018*100)</f>
        <v>2.172900710079776E-3</v>
      </c>
    </row>
    <row r="95" spans="1:7" x14ac:dyDescent="0.25">
      <c r="A95" s="46" t="s">
        <v>75</v>
      </c>
      <c r="B95" s="45">
        <v>215.83129</v>
      </c>
      <c r="C95" s="45">
        <f>IF(OR(711.50068="",215.83129=""),"-",215.83129/711.50068*100)</f>
        <v>30.334656883251327</v>
      </c>
      <c r="D95" s="45">
        <f>IF(711.50068="","-",711.50068/2560872.65018*100)</f>
        <v>2.7783524493105491E-2</v>
      </c>
      <c r="E95" s="45">
        <f>IF(215.83129="","-",215.83129/2266944.54682*100)</f>
        <v>9.5208014815696095E-3</v>
      </c>
      <c r="F95" s="117">
        <f>IF(OR(2487345.59713="",400.83821="",711.50068=""),"-",(711.50068-400.83821)/2487345.59713*100)</f>
        <v>1.2489718773235809E-2</v>
      </c>
      <c r="G95" s="117">
        <f>IF(OR(2560872.65018="",215.83129="",711.50068=""),"-",(215.83129-711.50068)/2560872.65018*100)</f>
        <v>-1.9355487668047851E-2</v>
      </c>
    </row>
    <row r="96" spans="1:7" x14ac:dyDescent="0.25">
      <c r="A96" s="46" t="s">
        <v>102</v>
      </c>
      <c r="B96" s="45">
        <v>214.90947</v>
      </c>
      <c r="C96" s="45">
        <f>IF(OR(541.91298="",214.90947=""),"-",214.90947/541.91298*100)</f>
        <v>39.657560887358706</v>
      </c>
      <c r="D96" s="45">
        <f>IF(541.91298="","-",541.91298/2560872.65018*100)</f>
        <v>2.1161262351796748E-2</v>
      </c>
      <c r="E96" s="45">
        <f>IF(214.90947="","-",214.90947/2266944.54682*100)</f>
        <v>9.4801379372719298E-3</v>
      </c>
      <c r="F96" s="117">
        <f>IF(OR(2487345.59713="",502.85877="",541.91298=""),"-",(541.91298-502.85877)/2487345.59713*100)</f>
        <v>1.5701159519232984E-3</v>
      </c>
      <c r="G96" s="117">
        <f>IF(OR(2560872.65018="",214.90947="",541.91298=""),"-",(214.90947-541.91298)/2560872.65018*100)</f>
        <v>-1.2769221850099237E-2</v>
      </c>
    </row>
    <row r="97" spans="1:7" x14ac:dyDescent="0.25">
      <c r="A97" s="46" t="s">
        <v>84</v>
      </c>
      <c r="B97" s="45">
        <v>212.65667999999999</v>
      </c>
      <c r="C97" s="45">
        <f>IF(OR(687.20973="",212.65668=""),"-",212.65668/687.20973*100)</f>
        <v>30.944946021064045</v>
      </c>
      <c r="D97" s="45">
        <f>IF(687.20973="","-",687.20973/2560872.65018*100)</f>
        <v>2.683498259672136E-2</v>
      </c>
      <c r="E97" s="45">
        <f>IF(212.65668="","-",212.65668/2266944.54682*100)</f>
        <v>9.3807623260263803E-3</v>
      </c>
      <c r="F97" s="117">
        <f>IF(OR(2487345.59713="",19.04348="",687.20973=""),"-",(687.20973-19.04348)/2487345.59713*100)</f>
        <v>2.6862622177270305E-2</v>
      </c>
      <c r="G97" s="117">
        <f>IF(OR(2560872.65018="",212.65668="",687.20973=""),"-",(212.65668-687.20973)/2560872.65018*100)</f>
        <v>-1.8530911717404005E-2</v>
      </c>
    </row>
    <row r="98" spans="1:7" x14ac:dyDescent="0.25">
      <c r="A98" s="46" t="s">
        <v>145</v>
      </c>
      <c r="B98" s="45">
        <v>191.75360000000001</v>
      </c>
      <c r="C98" s="45">
        <f>IF(OR(331.35627="",191.7536=""),"-",191.7536/331.35627*100)</f>
        <v>57.869313895886144</v>
      </c>
      <c r="D98" s="45">
        <f>IF(331.35627="","-",331.35627/2560872.65018*100)</f>
        <v>1.2939193597803838E-2</v>
      </c>
      <c r="E98" s="45">
        <f>IF(191.7536="","-",191.7536/2266944.54682*100)</f>
        <v>8.4586806619944034E-3</v>
      </c>
      <c r="F98" s="117">
        <f>IF(OR(2487345.59713="",741.84037="",331.35627=""),"-",(331.35627-741.84037)/2487345.59713*100)</f>
        <v>-1.6502897726541624E-2</v>
      </c>
      <c r="G98" s="117">
        <f>IF(OR(2560872.65018="",191.7536="",331.35627=""),"-",(191.7536-331.35627)/2560872.65018*100)</f>
        <v>-5.4513710390943311E-3</v>
      </c>
    </row>
    <row r="99" spans="1:7" x14ac:dyDescent="0.25">
      <c r="A99" s="46" t="s">
        <v>172</v>
      </c>
      <c r="B99" s="45">
        <v>184.41676000000001</v>
      </c>
      <c r="C99" s="45" t="s">
        <v>289</v>
      </c>
      <c r="D99" s="45">
        <f>IF(46.9476="","-",46.9476/2560872.65018*100)</f>
        <v>1.8332657032633045E-3</v>
      </c>
      <c r="E99" s="45">
        <f>IF(184.41676="","-",184.41676/2266944.54682*100)</f>
        <v>8.1350362212738812E-3</v>
      </c>
      <c r="F99" s="117">
        <f>IF(OR(2487345.59713="",512.45198="",46.9476=""),"-",(46.9476-512.45198)/2487345.59713*100)</f>
        <v>-1.871490558196327E-2</v>
      </c>
      <c r="G99" s="117">
        <f>IF(OR(2560872.65018="",184.41676="",46.9476=""),"-",(184.41676-46.9476)/2560872.65018*100)</f>
        <v>5.3680592039724237E-3</v>
      </c>
    </row>
    <row r="100" spans="1:7" x14ac:dyDescent="0.25">
      <c r="A100" s="46" t="s">
        <v>108</v>
      </c>
      <c r="B100" s="45">
        <v>140.09979000000001</v>
      </c>
      <c r="C100" s="45">
        <f>IF(OR(484.59242="",140.09979=""),"-",140.09979/484.59242*100)</f>
        <v>28.910850483381477</v>
      </c>
      <c r="D100" s="45">
        <f>IF(484.59242="","-",484.59242/2560872.65018*100)</f>
        <v>1.8922940973497403E-2</v>
      </c>
      <c r="E100" s="45">
        <f>IF(140.09979="","-",140.09979/2266944.54682*100)</f>
        <v>6.1801154420176568E-3</v>
      </c>
      <c r="F100" s="117">
        <f>IF(OR(2487345.59713="",548.03698="",484.59242=""),"-",(484.59242-548.03698)/2487345.59713*100)</f>
        <v>-2.5506934007564074E-3</v>
      </c>
      <c r="G100" s="117">
        <f>IF(OR(2560872.65018="",140.09979="",484.59242=""),"-",(140.09979-484.59242)/2560872.65018*100)</f>
        <v>-1.3452157801591036E-2</v>
      </c>
    </row>
    <row r="101" spans="1:7" x14ac:dyDescent="0.25">
      <c r="A101" s="46" t="s">
        <v>152</v>
      </c>
      <c r="B101" s="45">
        <v>129.72873000000001</v>
      </c>
      <c r="C101" s="45" t="s">
        <v>255</v>
      </c>
      <c r="D101" s="45">
        <f>IF(43.23246="","-",43.23246/2560872.65018*100)</f>
        <v>1.688192499418558E-3</v>
      </c>
      <c r="E101" s="45">
        <f>IF(129.72873="","-",129.72873/2266944.54682*100)</f>
        <v>5.7226247630088479E-3</v>
      </c>
      <c r="F101" s="117">
        <f>IF(OR(2487345.59713="",134.90109="",43.23246=""),"-",(43.23246-134.90109)/2487345.59713*100)</f>
        <v>-3.6853998135912831E-3</v>
      </c>
      <c r="G101" s="117">
        <f>IF(OR(2560872.65018="",129.72873="",43.23246=""),"-",(129.72873-43.23246)/2560872.65018*100)</f>
        <v>3.3776091909107748E-3</v>
      </c>
    </row>
    <row r="102" spans="1:7" x14ac:dyDescent="0.25">
      <c r="A102" s="46" t="s">
        <v>99</v>
      </c>
      <c r="B102" s="45">
        <v>129.41660999999999</v>
      </c>
      <c r="C102" s="45" t="s">
        <v>105</v>
      </c>
      <c r="D102" s="45">
        <f>IF(79.41187="","-",79.41187/2560872.65018*100)</f>
        <v>3.1009691166961487E-3</v>
      </c>
      <c r="E102" s="45">
        <f>IF(129.41661="","-",129.41661/2266944.54682*100)</f>
        <v>5.7088564509238503E-3</v>
      </c>
      <c r="F102" s="117">
        <f>IF(OR(2487345.59713="",115.99082="",79.41187=""),"-",(79.41187-115.99082)/2487345.59713*100)</f>
        <v>-1.4706018352337639E-3</v>
      </c>
      <c r="G102" s="117">
        <f>IF(OR(2560872.65018="",129.41661="",79.41187=""),"-",(129.41661-79.41187)/2560872.65018*100)</f>
        <v>1.9526445407773495E-3</v>
      </c>
    </row>
    <row r="103" spans="1:7" x14ac:dyDescent="0.25">
      <c r="A103" s="46" t="s">
        <v>132</v>
      </c>
      <c r="B103" s="45">
        <v>121.09235</v>
      </c>
      <c r="C103" s="45">
        <f>IF(OR(3265.33867="",121.09235=""),"-",121.09235/3265.33867*100)</f>
        <v>3.7084162544156558</v>
      </c>
      <c r="D103" s="45">
        <f>IF(3265.33867="","-",3265.33867/2560872.65018*100)</f>
        <v>0.12750882671852051</v>
      </c>
      <c r="E103" s="45">
        <f>IF(121.09235="","-",121.09235/2266944.54682*100)</f>
        <v>5.3416547030170911E-3</v>
      </c>
      <c r="F103" s="117">
        <f>IF(OR(2487345.59713="",72.77239="",3265.33867=""),"-",(3265.33867-72.77239)/2487345.59713*100)</f>
        <v>0.12835234008831392</v>
      </c>
      <c r="G103" s="117">
        <f>IF(OR(2560872.65018="",121.09235="",3265.33867=""),"-",(121.09235-3265.33867)/2560872.65018*100)</f>
        <v>-0.1227802686626762</v>
      </c>
    </row>
    <row r="104" spans="1:7" x14ac:dyDescent="0.25">
      <c r="A104" s="46" t="s">
        <v>91</v>
      </c>
      <c r="B104" s="45">
        <v>118.95241</v>
      </c>
      <c r="C104" s="45">
        <f>IF(OR(109.51939="",118.95241=""),"-",118.95241/109.51939*100)</f>
        <v>108.61310494881317</v>
      </c>
      <c r="D104" s="45">
        <f>IF(109.51939="","-",109.51939/2560872.65018*100)</f>
        <v>4.2766433540653431E-3</v>
      </c>
      <c r="E104" s="45">
        <f>IF(118.95241="","-",118.95241/2266944.54682*100)</f>
        <v>5.2472571579601623E-3</v>
      </c>
      <c r="F104" s="117">
        <f>IF(OR(2487345.59713="",130.40643="",109.51939=""),"-",(109.51939-130.40643)/2487345.59713*100)</f>
        <v>-8.3973212343714152E-4</v>
      </c>
      <c r="G104" s="117">
        <f>IF(OR(2560872.65018="",118.95241="",109.51939=""),"-",(118.95241-109.51939)/2560872.65018*100)</f>
        <v>3.6835178037209176E-4</v>
      </c>
    </row>
    <row r="105" spans="1:7" x14ac:dyDescent="0.25">
      <c r="A105" s="46" t="s">
        <v>95</v>
      </c>
      <c r="B105" s="45">
        <v>116.12427</v>
      </c>
      <c r="C105" s="45">
        <f>IF(OR(81.87974="",116.12427=""),"-",116.12427/81.87974*100)</f>
        <v>141.82295889068527</v>
      </c>
      <c r="D105" s="45">
        <f>IF(81.87974="","-",81.87974/2560872.65018*100)</f>
        <v>3.1973374386361927E-3</v>
      </c>
      <c r="E105" s="45">
        <f>IF(116.12427="","-",116.12427/2266944.54682*100)</f>
        <v>5.1225015699168982E-3</v>
      </c>
      <c r="F105" s="117">
        <f>IF(OR(2487345.59713="",23.65="",81.87974=""),"-",(81.87974-23.65)/2487345.59713*100)</f>
        <v>2.3410393821907106E-3</v>
      </c>
      <c r="G105" s="117">
        <f>IF(OR(2560872.65018="",116.12427="",81.87974=""),"-",(116.12427-81.87974)/2560872.65018*100)</f>
        <v>1.3372211225573048E-3</v>
      </c>
    </row>
    <row r="106" spans="1:7" x14ac:dyDescent="0.25">
      <c r="A106" s="46" t="s">
        <v>165</v>
      </c>
      <c r="B106" s="45">
        <v>109.128</v>
      </c>
      <c r="C106" s="45">
        <f>IF(OR(85.37911="",109.128=""),"-",109.128/85.37911*100)</f>
        <v>127.8158088085013</v>
      </c>
      <c r="D106" s="45">
        <f>IF(85.37911="","-",85.37911/2560872.65018*100)</f>
        <v>3.3339849989806728E-3</v>
      </c>
      <c r="E106" s="45">
        <f>IF(109.128="","-",109.128/2266944.54682*100)</f>
        <v>4.8138804344853257E-3</v>
      </c>
      <c r="F106" s="117">
        <f>IF(OR(2487345.59713="",80.10248="",85.37911=""),"-",(85.37911-80.10248)/2487345.59713*100)</f>
        <v>2.1213899693264926E-4</v>
      </c>
      <c r="G106" s="117">
        <f>IF(OR(2560872.65018="",109.128="",85.37911=""),"-",(109.128-85.37911)/2560872.65018*100)</f>
        <v>9.2737489302057753E-4</v>
      </c>
    </row>
    <row r="107" spans="1:7" x14ac:dyDescent="0.25">
      <c r="A107" s="46" t="s">
        <v>89</v>
      </c>
      <c r="B107" s="45">
        <v>98.864199999999997</v>
      </c>
      <c r="C107" s="45" t="s">
        <v>290</v>
      </c>
      <c r="D107" s="45">
        <f>IF(4.15058="","-",4.15058/2560872.65018*100)</f>
        <v>1.6207678268219473E-4</v>
      </c>
      <c r="E107" s="45">
        <f>IF(98.8642="","-",98.8642/2266944.54682*100)</f>
        <v>4.3611212342482596E-3</v>
      </c>
      <c r="F107" s="117">
        <f>IF(OR(2487345.59713="",6.71438="",4.15058=""),"-",(4.15058-6.71438)/2487345.59713*100)</f>
        <v>-1.0307373462530565E-4</v>
      </c>
      <c r="G107" s="117">
        <f>IF(OR(2560872.65018="",98.8642="",4.15058=""),"-",(98.8642-4.15058)/2560872.65018*100)</f>
        <v>3.69849004374906E-3</v>
      </c>
    </row>
    <row r="108" spans="1:7" x14ac:dyDescent="0.25">
      <c r="A108" s="46" t="s">
        <v>155</v>
      </c>
      <c r="B108" s="45">
        <v>93.004949999999994</v>
      </c>
      <c r="C108" s="45">
        <f>IF(OR(95.95616="",93.00495=""),"-",93.00495/95.95616*100)</f>
        <v>96.924418401069829</v>
      </c>
      <c r="D108" s="45">
        <f>IF(95.95616="","-",95.95616/2560872.65018*100)</f>
        <v>3.7470102229900182E-3</v>
      </c>
      <c r="E108" s="45">
        <f>IF(93.00495="","-",93.00495/2266944.54682*100)</f>
        <v>4.1026565969804812E-3</v>
      </c>
      <c r="F108" s="117">
        <f>IF(OR(2487345.59713="",0.34155="",95.95616=""),"-",(95.95616-0.34155)/2487345.59713*100)</f>
        <v>3.8440420225610791E-3</v>
      </c>
      <c r="G108" s="117">
        <f>IF(OR(2560872.65018="",93.00495="",95.95616=""),"-",(93.00495-95.95616)/2560872.65018*100)</f>
        <v>-1.1524235692831375E-4</v>
      </c>
    </row>
    <row r="109" spans="1:7" x14ac:dyDescent="0.25">
      <c r="A109" s="46" t="s">
        <v>286</v>
      </c>
      <c r="B109" s="45">
        <v>85.735709999999997</v>
      </c>
      <c r="C109" s="45">
        <f>IF(OR(316.61122="",85.73571=""),"-",85.73571/316.61122*100)</f>
        <v>27.079176158065398</v>
      </c>
      <c r="D109" s="45">
        <f>IF(316.61122="","-",316.61122/2560872.65018*100)</f>
        <v>1.2363411354240746E-2</v>
      </c>
      <c r="E109" s="45">
        <f>IF(85.73571="","-",85.73571/2266944.54682*100)</f>
        <v>3.7819941436268221E-3</v>
      </c>
      <c r="F109" s="117">
        <f>IF(OR(2487345.59713="",409.54415="",316.61122=""),"-",(316.61122-409.54415)/2487345.59713*100)</f>
        <v>-3.7362290992948373E-3</v>
      </c>
      <c r="G109" s="117">
        <f>IF(OR(2560872.65018="",85.73571="",316.61122=""),"-",(85.73571-316.61122)/2560872.65018*100)</f>
        <v>-9.0155014144796351E-3</v>
      </c>
    </row>
    <row r="110" spans="1:7" x14ac:dyDescent="0.25">
      <c r="A110" s="46" t="s">
        <v>177</v>
      </c>
      <c r="B110" s="45">
        <v>72.280500000000004</v>
      </c>
      <c r="C110" s="45">
        <f>IF(OR(661.53545="",72.2805=""),"-",72.2805/661.53545*100)</f>
        <v>10.926171832514797</v>
      </c>
      <c r="D110" s="45">
        <f>IF(661.53545="","-",661.53545/2560872.65018*100)</f>
        <v>2.5832422785783654E-2</v>
      </c>
      <c r="E110" s="45">
        <f>IF(72.2805="","-",72.2805/2266944.54682*100)</f>
        <v>3.1884547022287277E-3</v>
      </c>
      <c r="F110" s="117">
        <f>IF(OR(2487345.59713="",63.71608="",661.53545=""),"-",(661.53545-63.71608)/2487345.59713*100)</f>
        <v>2.4034431350825881E-2</v>
      </c>
      <c r="G110" s="117">
        <f>IF(OR(2560872.65018="",72.2805="",661.53545=""),"-",(72.2805-661.53545)/2560872.65018*100)</f>
        <v>-2.3009927883707228E-2</v>
      </c>
    </row>
    <row r="111" spans="1:7" x14ac:dyDescent="0.25">
      <c r="A111" s="46" t="s">
        <v>74</v>
      </c>
      <c r="B111" s="45">
        <v>70.052369999999996</v>
      </c>
      <c r="C111" s="45" t="s">
        <v>291</v>
      </c>
      <c r="D111" s="45">
        <f>IF(13.15254="","-",13.15254/2560872.65018*100)</f>
        <v>5.1359601966445025E-4</v>
      </c>
      <c r="E111" s="45">
        <f>IF(70.05237="","-",70.05237/2266944.54682*100)</f>
        <v>3.0901668988007366E-3</v>
      </c>
      <c r="F111" s="117">
        <f>IF(OR(2487345.59713="",188.42651="",13.15254=""),"-",(13.15254-188.42651)/2487345.59713*100)</f>
        <v>-7.0466271434994083E-3</v>
      </c>
      <c r="G111" s="117">
        <f>IF(OR(2560872.65018="",70.05237="",13.15254=""),"-",(70.05237-13.15254)/2560872.65018*100)</f>
        <v>2.2218922130313895E-3</v>
      </c>
    </row>
    <row r="112" spans="1:7" x14ac:dyDescent="0.25">
      <c r="A112" s="47" t="s">
        <v>70</v>
      </c>
      <c r="B112" s="48">
        <v>67.683099999999996</v>
      </c>
      <c r="C112" s="48">
        <f>IF(OR(240.51466="",67.6831=""),"-",67.6831/240.51466*100)</f>
        <v>28.140945753576936</v>
      </c>
      <c r="D112" s="48">
        <f>IF(240.51466="","-",240.51466/2560872.65018*100)</f>
        <v>9.3919024041704911E-3</v>
      </c>
      <c r="E112" s="48">
        <f>IF(67.6831="","-",67.6831/2266944.54682*100)</f>
        <v>2.9856530939384365E-3</v>
      </c>
      <c r="F112" s="118">
        <f>IF(OR(2487345.59713="",186.84761="",240.51466=""),"-",(240.51466-186.84761)/2487345.59713*100)</f>
        <v>2.1576032724171181E-3</v>
      </c>
      <c r="G112" s="118">
        <f>IF(OR(2560872.65018="",67.6831="",240.51466=""),"-",(67.6831-240.51466)/2560872.65018*100)</f>
        <v>-6.7489322433839857E-3</v>
      </c>
    </row>
    <row r="113" spans="1:7" x14ac:dyDescent="0.25">
      <c r="A113" s="49" t="s">
        <v>253</v>
      </c>
      <c r="B113" s="50">
        <v>62.405160000000002</v>
      </c>
      <c r="C113" s="50" t="s">
        <v>96</v>
      </c>
      <c r="D113" s="50">
        <f>IF(30.4369="","-",30.4369/2560872.65018*100)</f>
        <v>1.1885362592263477E-3</v>
      </c>
      <c r="E113" s="50">
        <f>IF(62.40516="","-",62.40516/2266944.54682*100)</f>
        <v>2.7528313424137365E-3</v>
      </c>
      <c r="F113" s="119">
        <f>IF(OR(2487345.59713="",74.18292="",30.4369=""),"-",(30.4369-74.18292)/2487345.59713*100)</f>
        <v>-1.7587431376836385E-3</v>
      </c>
      <c r="G113" s="119">
        <f>IF(OR(2560872.65018="",62.40516="",30.4369=""),"-",(62.40516-30.4369)/2560872.65018*100)</f>
        <v>1.2483346252205472E-3</v>
      </c>
    </row>
    <row r="114" spans="1:7" x14ac:dyDescent="0.25">
      <c r="A114" s="35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3"/>
  <sheetViews>
    <sheetView zoomScaleNormal="100" workbookViewId="0">
      <selection activeCell="H14" sqref="H14"/>
    </sheetView>
  </sheetViews>
  <sheetFormatPr defaultRowHeight="15.75" x14ac:dyDescent="0.25"/>
  <cols>
    <col min="1" max="1" width="27.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4" t="s">
        <v>158</v>
      </c>
      <c r="B1" s="94"/>
      <c r="C1" s="94"/>
      <c r="D1" s="94"/>
      <c r="E1" s="94"/>
      <c r="F1" s="94"/>
      <c r="G1" s="94"/>
    </row>
    <row r="2" spans="1:7" x14ac:dyDescent="0.25">
      <c r="A2" s="2"/>
    </row>
    <row r="3" spans="1:7" ht="55.5" customHeight="1" x14ac:dyDescent="0.25">
      <c r="A3" s="82"/>
      <c r="B3" s="85" t="s">
        <v>279</v>
      </c>
      <c r="C3" s="86"/>
      <c r="D3" s="85" t="s">
        <v>109</v>
      </c>
      <c r="E3" s="86"/>
      <c r="F3" s="87" t="s">
        <v>121</v>
      </c>
      <c r="G3" s="88"/>
    </row>
    <row r="4" spans="1:7" ht="21" customHeight="1" x14ac:dyDescent="0.25">
      <c r="A4" s="83"/>
      <c r="B4" s="89" t="s">
        <v>100</v>
      </c>
      <c r="C4" s="91" t="s">
        <v>282</v>
      </c>
      <c r="D4" s="93" t="s">
        <v>281</v>
      </c>
      <c r="E4" s="93"/>
      <c r="F4" s="93" t="s">
        <v>281</v>
      </c>
      <c r="G4" s="85"/>
    </row>
    <row r="5" spans="1:7" ht="33.75" customHeight="1" x14ac:dyDescent="0.25">
      <c r="A5" s="84"/>
      <c r="B5" s="90"/>
      <c r="C5" s="92"/>
      <c r="D5" s="28">
        <v>2019</v>
      </c>
      <c r="E5" s="28">
        <v>2020</v>
      </c>
      <c r="F5" s="28" t="s">
        <v>122</v>
      </c>
      <c r="G5" s="27" t="s">
        <v>141</v>
      </c>
    </row>
    <row r="6" spans="1:7" s="3" customFormat="1" ht="15" x14ac:dyDescent="0.25">
      <c r="A6" s="39" t="s">
        <v>133</v>
      </c>
      <c r="B6" s="40">
        <v>4848565.1917599998</v>
      </c>
      <c r="C6" s="40">
        <f>IF(5302814.4312="","-",4848565.19176/5302814.4312*100)</f>
        <v>91.433808492951428</v>
      </c>
      <c r="D6" s="40">
        <v>100</v>
      </c>
      <c r="E6" s="40">
        <v>100</v>
      </c>
      <c r="F6" s="65">
        <f>IF(5240739.99296="","-",(5302814.4312-5240739.99296)/5240739.99296*100)</f>
        <v>1.1844594145747736</v>
      </c>
      <c r="G6" s="65">
        <f>IF(5302814.4312="","-",(4848565.19176-5302814.4312)/5302814.4312*100)</f>
        <v>-8.5661915070485755</v>
      </c>
    </row>
    <row r="7" spans="1:7" s="3" customFormat="1" ht="15" x14ac:dyDescent="0.25">
      <c r="A7" s="41" t="s">
        <v>138</v>
      </c>
      <c r="B7" s="33"/>
      <c r="C7" s="33"/>
      <c r="D7" s="33"/>
      <c r="E7" s="33"/>
      <c r="F7" s="115"/>
      <c r="G7" s="115"/>
    </row>
    <row r="8" spans="1:7" ht="12.75" customHeight="1" x14ac:dyDescent="0.25">
      <c r="A8" s="42" t="s">
        <v>167</v>
      </c>
      <c r="B8" s="43">
        <v>2222741.9844</v>
      </c>
      <c r="C8" s="43">
        <f>IF(2588935.31918="","-",2222741.9844/2588935.31918*100)</f>
        <v>85.855446751910918</v>
      </c>
      <c r="D8" s="43">
        <f>IF(2588935.31918="","-",2588935.31918/5302814.4312*100)</f>
        <v>48.821910567859284</v>
      </c>
      <c r="E8" s="43">
        <f>IF(2222741.9844="","-",2222741.9844/4848565.19176*100)</f>
        <v>45.843293768174703</v>
      </c>
      <c r="F8" s="116">
        <f>IF(5240739.99296="","-",(2588935.31918-2558642.286)/5240739.99296*100)</f>
        <v>0.57802969085841971</v>
      </c>
      <c r="G8" s="116">
        <f>IF(5302814.4312="","-",(2222741.9844-2588935.31918)/5302814.4312*100)</f>
        <v>-6.9056411370052873</v>
      </c>
    </row>
    <row r="9" spans="1:7" x14ac:dyDescent="0.25">
      <c r="A9" s="46" t="s">
        <v>2</v>
      </c>
      <c r="B9" s="45">
        <v>568336.46993999998</v>
      </c>
      <c r="C9" s="45">
        <f>IF(OR(769966.3597="",568336.46994=""),"-",568336.46994/769966.3597*100)</f>
        <v>73.813155961961698</v>
      </c>
      <c r="D9" s="45">
        <f>IF(769966.3597="","-",769966.3597/5302814.4312*100)</f>
        <v>14.519956707701734</v>
      </c>
      <c r="E9" s="45">
        <f>IF(568336.46994="","-",568336.46994/4848565.19176*100)</f>
        <v>11.721745453807072</v>
      </c>
      <c r="F9" s="117">
        <f>IF(OR(5240739.99296="",774084.96154="",769966.3597=""),"-",(769966.3597-774084.96154)/5240739.99296*100)</f>
        <v>-7.8588173531459776E-2</v>
      </c>
      <c r="G9" s="117">
        <f>IF(OR(5302814.4312="",568336.46994="",769966.3597=""),"-",(568336.46994-769966.3597)/5302814.4312*100)</f>
        <v>-3.8023184174365352</v>
      </c>
    </row>
    <row r="10" spans="1:7" s="9" customFormat="1" x14ac:dyDescent="0.25">
      <c r="A10" s="46" t="s">
        <v>4</v>
      </c>
      <c r="B10" s="45">
        <v>409643.51497000002</v>
      </c>
      <c r="C10" s="45">
        <f>IF(OR(439569.07776="",409643.51497=""),"-",409643.51497/439569.07776*100)</f>
        <v>93.1920682540961</v>
      </c>
      <c r="D10" s="45">
        <f>IF(439569.07776="","-",439569.07776/5302814.4312*100)</f>
        <v>8.289354331800137</v>
      </c>
      <c r="E10" s="45">
        <f>IF(409643.51497="","-",409643.51497/4848565.19176*100)</f>
        <v>8.4487574935813523</v>
      </c>
      <c r="F10" s="117">
        <f>IF(OR(5240739.99296="",439094.25997="",439569.07776=""),"-",(439569.07776-439094.25997)/5240739.99296*100)</f>
        <v>9.060128734450364E-3</v>
      </c>
      <c r="G10" s="117">
        <f>IF(OR(5302814.4312="",409643.51497="",439569.07776=""),"-",(409643.51497-439569.07776)/5302814.4312*100)</f>
        <v>-0.5643335850850808</v>
      </c>
    </row>
    <row r="11" spans="1:7" s="9" customFormat="1" x14ac:dyDescent="0.25">
      <c r="A11" s="46" t="s">
        <v>3</v>
      </c>
      <c r="B11" s="45">
        <v>312135.77610000002</v>
      </c>
      <c r="C11" s="45">
        <f>IF(OR(373994.656="",312135.7761=""),"-",312135.7761/373994.656*100)</f>
        <v>83.459956203224465</v>
      </c>
      <c r="D11" s="45">
        <f>IF(373994.656="","-",373994.656/5302814.4312*100)</f>
        <v>7.0527577544395967</v>
      </c>
      <c r="E11" s="45">
        <f>IF(312135.7761="","-",312135.7761/4848565.19176*100)</f>
        <v>6.4376937043244462</v>
      </c>
      <c r="F11" s="117">
        <f>IF(OR(5240739.99296="",357547.87662="",373994.656=""),"-",(373994.656-357547.87662)/5240739.99296*100)</f>
        <v>0.31382551704708372</v>
      </c>
      <c r="G11" s="117">
        <f>IF(OR(5302814.4312="",312135.7761="",373994.656=""),"-",(312135.7761-373994.656)/5302814.4312*100)</f>
        <v>-1.166529221464792</v>
      </c>
    </row>
    <row r="12" spans="1:7" s="9" customFormat="1" x14ac:dyDescent="0.25">
      <c r="A12" s="46" t="s">
        <v>5</v>
      </c>
      <c r="B12" s="45">
        <v>195978.71544</v>
      </c>
      <c r="C12" s="45">
        <f>IF(OR(182042.72033="",195978.71544=""),"-",195978.71544/182042.72033*100)</f>
        <v>107.65534325390071</v>
      </c>
      <c r="D12" s="45">
        <f>IF(182042.72033="","-",182042.72033/5302814.4312*100)</f>
        <v>3.4329453291618321</v>
      </c>
      <c r="E12" s="45">
        <f>IF(195978.71544="","-",195978.71544/4848565.19176*100)</f>
        <v>4.0419940268733585</v>
      </c>
      <c r="F12" s="117">
        <f>IF(OR(5240739.99296="",183536.71578="",182042.72033=""),"-",(182042.72033-183536.71578)/5240739.99296*100)</f>
        <v>-2.8507337742511633E-2</v>
      </c>
      <c r="G12" s="117">
        <f>IF(OR(5302814.4312="",195978.71544="",182042.72033=""),"-",(195978.71544-182042.72033)/5302814.4312*100)</f>
        <v>0.2628037486660898</v>
      </c>
    </row>
    <row r="13" spans="1:7" s="9" customFormat="1" x14ac:dyDescent="0.25">
      <c r="A13" s="46" t="s">
        <v>125</v>
      </c>
      <c r="B13" s="45">
        <v>108051.5794</v>
      </c>
      <c r="C13" s="45">
        <f>IF(OR(135104.78956="",108051.5794=""),"-",108051.5794/135104.78956*100)</f>
        <v>79.976127975843752</v>
      </c>
      <c r="D13" s="45">
        <f>IF(135104.78956="","-",135104.78956/5302814.4312*100)</f>
        <v>2.5477940311297385</v>
      </c>
      <c r="E13" s="45">
        <f>IF(108051.5794="","-",108051.5794/4848565.19176*100)</f>
        <v>2.2285268966503868</v>
      </c>
      <c r="F13" s="117">
        <f>IF(OR(5240739.99296="",122099.96065="",135104.78956=""),"-",(135104.78956-122099.96065)/5240739.99296*100)</f>
        <v>0.24814871425542345</v>
      </c>
      <c r="G13" s="117">
        <f>IF(OR(5302814.4312="",108051.5794="",135104.78956=""),"-",(108051.5794-135104.78956)/5302814.4312*100)</f>
        <v>-0.51016701623251026</v>
      </c>
    </row>
    <row r="14" spans="1:7" s="9" customFormat="1" x14ac:dyDescent="0.25">
      <c r="A14" s="46" t="s">
        <v>43</v>
      </c>
      <c r="B14" s="45">
        <v>92226.311990000002</v>
      </c>
      <c r="C14" s="45">
        <f>IF(OR(102086.11968="",92226.31199=""),"-",92226.31199/102086.11968*100)</f>
        <v>90.34167649734691</v>
      </c>
      <c r="D14" s="45">
        <f>IF(102086.11968="","-",102086.11968/5302814.4312*100)</f>
        <v>1.9251309093405031</v>
      </c>
      <c r="E14" s="45">
        <f>IF(92226.31199="","-",92226.31199/4848565.19176*100)</f>
        <v>1.9021361648748383</v>
      </c>
      <c r="F14" s="117">
        <f>IF(OR(5240739.99296="",102896.79451="",102086.11968=""),"-",(102086.11968-102896.79451)/5240739.99296*100)</f>
        <v>-1.5468709210703081E-2</v>
      </c>
      <c r="G14" s="117">
        <f>IF(OR(5302814.4312="",92226.31199="",102086.11968=""),"-",(92226.31199-102086.11968)/5302814.4312*100)</f>
        <v>-0.18593537107367297</v>
      </c>
    </row>
    <row r="15" spans="1:7" s="9" customFormat="1" x14ac:dyDescent="0.25">
      <c r="A15" s="46" t="s">
        <v>7</v>
      </c>
      <c r="B15" s="45">
        <v>86037.527960000007</v>
      </c>
      <c r="C15" s="45">
        <f>IF(OR(104361.85913="",86037.52796=""),"-",86037.52796/104361.85913*100)</f>
        <v>82.441543948374857</v>
      </c>
      <c r="D15" s="45">
        <f>IF(104361.85913="","-",104361.85913/5302814.4312*100)</f>
        <v>1.9680466002349517</v>
      </c>
      <c r="E15" s="45">
        <f>IF(86037.52796="","-",86037.52796/4848565.19176*100)</f>
        <v>1.7744946093788398</v>
      </c>
      <c r="F15" s="117">
        <f>IF(OR(5240739.99296="",79075.61641="",104361.85913=""),"-",(104361.85913-79075.61641)/5240739.99296*100)</f>
        <v>0.48249374618789626</v>
      </c>
      <c r="G15" s="117">
        <f>IF(OR(5302814.4312="",86037.52796="",104361.85913=""),"-",(86037.52796-104361.85913)/5302814.4312*100)</f>
        <v>-0.34555859737775674</v>
      </c>
    </row>
    <row r="16" spans="1:7" s="9" customFormat="1" x14ac:dyDescent="0.25">
      <c r="A16" s="46" t="s">
        <v>41</v>
      </c>
      <c r="B16" s="45">
        <v>70845.675289999999</v>
      </c>
      <c r="C16" s="45">
        <f>IF(OR(72886.32739="",70845.67529=""),"-",70845.67529/72886.32739*100)</f>
        <v>97.200226471720981</v>
      </c>
      <c r="D16" s="45">
        <f>IF(72886.32739="","-",72886.32739/5302814.4312*100)</f>
        <v>1.3744838393959449</v>
      </c>
      <c r="E16" s="45">
        <f>IF(70845.67529="","-",70845.67529/4848565.19176*100)</f>
        <v>1.461167840135474</v>
      </c>
      <c r="F16" s="117">
        <f>IF(OR(5240739.99296="",69177.75776="",72886.32739=""),"-",(72886.32739-69177.75776)/5240739.99296*100)</f>
        <v>7.0764236252548587E-2</v>
      </c>
      <c r="G16" s="117">
        <f>IF(OR(5302814.4312="",70845.67529="",72886.32739=""),"-",(70845.67529-72886.32739)/5302814.4312*100)</f>
        <v>-3.8482434685880897E-2</v>
      </c>
    </row>
    <row r="17" spans="1:7" s="9" customFormat="1" x14ac:dyDescent="0.25">
      <c r="A17" s="46" t="s">
        <v>6</v>
      </c>
      <c r="B17" s="45">
        <v>58133.841209999999</v>
      </c>
      <c r="C17" s="45">
        <f>IF(OR(52681.94697="",58133.84121=""),"-",58133.84121/52681.94697*100)</f>
        <v>110.34869543281043</v>
      </c>
      <c r="D17" s="45">
        <f>IF(52681.94697="","-",52681.94697/5302814.4312*100)</f>
        <v>0.99347144150541844</v>
      </c>
      <c r="E17" s="45">
        <f>IF(58133.84121="","-",58133.84121/4848565.19176*100)</f>
        <v>1.1989906067221046</v>
      </c>
      <c r="F17" s="117">
        <f>IF(OR(5240739.99296="",60677.73917="",52681.94697=""),"-",(52681.94697-60677.73917)/5240739.99296*100)</f>
        <v>-0.15256990827136863</v>
      </c>
      <c r="G17" s="117">
        <f>IF(OR(5302814.4312="",58133.84121="",52681.94697=""),"-",(58133.84121-52681.94697)/5302814.4312*100)</f>
        <v>0.10281133369334716</v>
      </c>
    </row>
    <row r="18" spans="1:7" s="9" customFormat="1" x14ac:dyDescent="0.25">
      <c r="A18" s="46" t="s">
        <v>8</v>
      </c>
      <c r="B18" s="45">
        <v>57413.418519999999</v>
      </c>
      <c r="C18" s="45">
        <f>IF(OR(85371.17275="",57413.41852=""),"-",57413.41852/85371.17275*100)</f>
        <v>67.251528438210428</v>
      </c>
      <c r="D18" s="45">
        <f>IF(85371.17275="","-",85371.17275/5302814.4312*100)</f>
        <v>1.6099219359384773</v>
      </c>
      <c r="E18" s="45">
        <f>IF(57413.41852="","-",57413.41852/4848565.19176*100)</f>
        <v>1.1841321349576261</v>
      </c>
      <c r="F18" s="117">
        <f>IF(OR(5240739.99296="",97767.52498="",85371.17275=""),"-",(85371.17275-97767.52498)/5240739.99296*100)</f>
        <v>-0.23653820351042584</v>
      </c>
      <c r="G18" s="117">
        <f>IF(OR(5302814.4312="",57413.41852="",85371.17275=""),"-",(57413.41852-85371.17275)/5302814.4312*100)</f>
        <v>-0.52722482735782439</v>
      </c>
    </row>
    <row r="19" spans="1:7" s="9" customFormat="1" x14ac:dyDescent="0.25">
      <c r="A19" s="46" t="s">
        <v>10</v>
      </c>
      <c r="B19" s="45">
        <v>52654.41229</v>
      </c>
      <c r="C19" s="45">
        <f>IF(OR(51458.48973="",52654.41229=""),"-",52654.41229/51458.48973*100)</f>
        <v>102.32405297216249</v>
      </c>
      <c r="D19" s="45">
        <f>IF(51458.48973="","-",51458.48973/5302814.4312*100)</f>
        <v>0.97039959435946554</v>
      </c>
      <c r="E19" s="45">
        <f>IF(52654.41229="","-",52654.41229/4848565.19176*100)</f>
        <v>1.0859792579356198</v>
      </c>
      <c r="F19" s="117">
        <f>IF(OR(5240739.99296="",53925.05951="",51458.48973=""),"-",(51458.48973-53925.05951)/5240739.99296*100)</f>
        <v>-4.7065295803901633E-2</v>
      </c>
      <c r="G19" s="117">
        <f>IF(OR(5302814.4312="",52654.41229="",51458.48973=""),"-",(52654.41229-51458.48973)/5302814.4312*100)</f>
        <v>2.2552600614563986E-2</v>
      </c>
    </row>
    <row r="20" spans="1:7" s="9" customFormat="1" ht="15.75" customHeight="1" x14ac:dyDescent="0.25">
      <c r="A20" s="46" t="s">
        <v>42</v>
      </c>
      <c r="B20" s="45">
        <v>36785.402240000003</v>
      </c>
      <c r="C20" s="45">
        <f>IF(OR(37917.8618="",36785.40224=""),"-",36785.40224/37917.8618*100)</f>
        <v>97.013387606154538</v>
      </c>
      <c r="D20" s="45">
        <f>IF(37917.8618="","-",37917.8618/5302814.4312*100)</f>
        <v>0.71505164459280113</v>
      </c>
      <c r="E20" s="45">
        <f>IF(36785.40224="","-",36785.40224/4848565.19176*100)</f>
        <v>0.7586863491598661</v>
      </c>
      <c r="F20" s="117">
        <f>IF(OR(5240739.99296="",41737.71562="",37917.8618=""),"-",(37917.8618-41737.71562)/5240739.99296*100)</f>
        <v>-7.288768046366155E-2</v>
      </c>
      <c r="G20" s="117">
        <f>IF(OR(5302814.4312="",36785.40224="",37917.8618=""),"-",(36785.40224-37917.8618)/5302814.4312*100)</f>
        <v>-2.1355821039804438E-2</v>
      </c>
    </row>
    <row r="21" spans="1:7" s="9" customFormat="1" x14ac:dyDescent="0.25">
      <c r="A21" s="46" t="s">
        <v>45</v>
      </c>
      <c r="B21" s="45">
        <v>27570.271250000002</v>
      </c>
      <c r="C21" s="45">
        <f>IF(OR(30852.07158="",27570.27125=""),"-",27570.27125/30852.07158*100)</f>
        <v>89.362787774265897</v>
      </c>
      <c r="D21" s="45">
        <f>IF(30852.07158="","-",30852.07158/5302814.4312*100)</f>
        <v>0.58180560493455413</v>
      </c>
      <c r="E21" s="45">
        <f>IF(27570.27125="","-",27570.27125/4848565.19176*100)</f>
        <v>0.56862742191968263</v>
      </c>
      <c r="F21" s="117">
        <f>IF(OR(5240739.99296="",30200.92952="",30852.07158=""),"-",(30852.07158-30200.92952)/5240739.99296*100)</f>
        <v>1.2424620585541193E-2</v>
      </c>
      <c r="G21" s="117">
        <f>IF(OR(5302814.4312="",27570.27125="",30852.07158=""),"-",(27570.27125-30852.07158)/5302814.4312*100)</f>
        <v>-6.1887896938104682E-2</v>
      </c>
    </row>
    <row r="22" spans="1:7" s="9" customFormat="1" x14ac:dyDescent="0.25">
      <c r="A22" s="46" t="s">
        <v>53</v>
      </c>
      <c r="B22" s="45">
        <v>23945.076529999998</v>
      </c>
      <c r="C22" s="45">
        <f>IF(OR(21172.88665="",23945.07653=""),"-",23945.07653/21172.88665*100)</f>
        <v>113.09311255392754</v>
      </c>
      <c r="D22" s="45">
        <f>IF(21172.88665="","-",21172.88665/5302814.4312*100)</f>
        <v>0.39927640170521073</v>
      </c>
      <c r="E22" s="45">
        <f>IF(23945.07653="","-",23945.07653/4848565.19176*100)</f>
        <v>0.4938590197919579</v>
      </c>
      <c r="F22" s="117">
        <f>IF(OR(5240739.99296="",20974.81122="",21172.88665=""),"-",(21172.88665-20974.81122)/5240739.99296*100)</f>
        <v>3.7795317124314463E-3</v>
      </c>
      <c r="G22" s="117">
        <f>IF(OR(5302814.4312="",23945.07653="",21172.88665=""),"-",(23945.07653-21172.88665)/5302814.4312*100)</f>
        <v>5.2277708676535098E-2</v>
      </c>
    </row>
    <row r="23" spans="1:7" s="9" customFormat="1" x14ac:dyDescent="0.25">
      <c r="A23" s="46" t="s">
        <v>9</v>
      </c>
      <c r="B23" s="45">
        <v>21691.918849999998</v>
      </c>
      <c r="C23" s="45">
        <f>IF(OR(19778.95321="",21691.91885=""),"-",21691.91885/19778.95321*100)</f>
        <v>109.67172337023794</v>
      </c>
      <c r="D23" s="45">
        <f>IF(19778.95321="","-",19778.95321/5302814.4312*100)</f>
        <v>0.37298972963540272</v>
      </c>
      <c r="E23" s="45">
        <f>IF(21691.91885="","-",21691.91885/4848565.19176*100)</f>
        <v>0.44738841269711715</v>
      </c>
      <c r="F23" s="117">
        <f>IF(OR(5240739.99296="",21170.70343="",19778.95321=""),"-",(19778.95321-21170.70343)/5240739.99296*100)</f>
        <v>-2.6556368411132208E-2</v>
      </c>
      <c r="G23" s="117">
        <f>IF(OR(5302814.4312="",21691.91885="",19778.95321=""),"-",(21691.91885-19778.95321)/5302814.4312*100)</f>
        <v>3.607453484973458E-2</v>
      </c>
    </row>
    <row r="24" spans="1:7" s="9" customFormat="1" x14ac:dyDescent="0.25">
      <c r="A24" s="46" t="s">
        <v>51</v>
      </c>
      <c r="B24" s="45">
        <v>18950.101879999998</v>
      </c>
      <c r="C24" s="45">
        <f>IF(OR(23370.6343="",18950.10188=""),"-",18950.10188/23370.6343*100)</f>
        <v>81.085098661613969</v>
      </c>
      <c r="D24" s="45">
        <f>IF(23370.6343="","-",23370.6343/5302814.4312*100)</f>
        <v>0.44072133021466758</v>
      </c>
      <c r="E24" s="45">
        <f>IF(18950.10188="","-",18950.10188/4848565.19176*100)</f>
        <v>0.3908393747536934</v>
      </c>
      <c r="F24" s="117">
        <f>IF(OR(5240739.99296="",23590.5861="",23370.6343=""),"-",(23370.6343-23590.5861)/5240739.99296*100)</f>
        <v>-4.196960740190602E-3</v>
      </c>
      <c r="G24" s="117">
        <f>IF(OR(5302814.4312="",18950.10188="",23370.6343=""),"-",(18950.10188-23370.6343)/5302814.4312*100)</f>
        <v>-8.3362004787326846E-2</v>
      </c>
    </row>
    <row r="25" spans="1:7" s="9" customFormat="1" x14ac:dyDescent="0.25">
      <c r="A25" s="46" t="s">
        <v>52</v>
      </c>
      <c r="B25" s="45">
        <v>18326.897349999999</v>
      </c>
      <c r="C25" s="45">
        <f>IF(OR(18338.99891="",18326.89735=""),"-",18326.89735/18338.99891*100)</f>
        <v>99.934011883312778</v>
      </c>
      <c r="D25" s="45">
        <f>IF(18338.99891="","-",18338.99891/5302814.4312*100)</f>
        <v>0.34583520030607551</v>
      </c>
      <c r="E25" s="45">
        <f>IF(18326.89735="","-",18326.89735/4848565.19176*100)</f>
        <v>0.37798599431324642</v>
      </c>
      <c r="F25" s="117">
        <f>IF(OR(5240739.99296="",15610.06996="",18338.99891=""),"-",(18338.99891-15610.06996)/5240739.99296*100)</f>
        <v>5.207144322492295E-2</v>
      </c>
      <c r="G25" s="117">
        <f>IF(OR(5302814.4312="",18326.89735="",18338.99891=""),"-",(18326.89735-18338.99891)/5302814.4312*100)</f>
        <v>-2.2821013552346071E-4</v>
      </c>
    </row>
    <row r="26" spans="1:7" s="9" customFormat="1" x14ac:dyDescent="0.25">
      <c r="A26" s="46" t="s">
        <v>49</v>
      </c>
      <c r="B26" s="45">
        <v>12361.04205</v>
      </c>
      <c r="C26" s="45">
        <f>IF(OR(11502.66574="",12361.04205=""),"-",12361.04205/11502.66574*100)</f>
        <v>107.46241201302611</v>
      </c>
      <c r="D26" s="45">
        <f>IF(11502.66574="","-",11502.66574/5302814.4312*100)</f>
        <v>0.21691624116284614</v>
      </c>
      <c r="E26" s="45">
        <f>IF(12361.04205="","-",12361.04205/4848565.19176*100)</f>
        <v>0.25494226768379319</v>
      </c>
      <c r="F26" s="117">
        <f>IF(OR(5240739.99296="",14309.80157="",11502.66574=""),"-",(11502.66574-14309.80157)/5240739.99296*100)</f>
        <v>-5.3563730194035299E-2</v>
      </c>
      <c r="G26" s="117">
        <f>IF(OR(5302814.4312="",12361.04205="",11502.66574=""),"-",(12361.04205-11502.66574)/5302814.4312*100)</f>
        <v>1.6187183638740936E-2</v>
      </c>
    </row>
    <row r="27" spans="1:7" s="9" customFormat="1" x14ac:dyDescent="0.25">
      <c r="A27" s="46" t="s">
        <v>44</v>
      </c>
      <c r="B27" s="45">
        <v>11984.23244</v>
      </c>
      <c r="C27" s="45">
        <f>IF(OR(14275.29242="",11984.23244=""),"-",11984.23244/14275.29242*100)</f>
        <v>83.950871809881988</v>
      </c>
      <c r="D27" s="45">
        <f>IF(14275.29242="","-",14275.29242/5302814.4312*100)</f>
        <v>0.2692021869746925</v>
      </c>
      <c r="E27" s="45">
        <f>IF(11984.23244="","-",11984.23244/4848565.19176*100)</f>
        <v>0.24717069825866972</v>
      </c>
      <c r="F27" s="117">
        <f>IF(OR(5240739.99296="",12514.11905="",14275.29242=""),"-",(14275.29242-12514.11905)/5240739.99296*100)</f>
        <v>3.3605433056511543E-2</v>
      </c>
      <c r="G27" s="117">
        <f>IF(OR(5302814.4312="",11984.23244="",14275.29242=""),"-",(11984.23244-14275.29242)/5302814.4312*100)</f>
        <v>-4.3204604078169576E-2</v>
      </c>
    </row>
    <row r="28" spans="1:7" s="9" customFormat="1" x14ac:dyDescent="0.25">
      <c r="A28" s="46" t="s">
        <v>50</v>
      </c>
      <c r="B28" s="45">
        <v>10956.954250000001</v>
      </c>
      <c r="C28" s="45">
        <f>IF(OR(12515.56093="",10956.95425=""),"-",10956.95425/12515.56093*100)</f>
        <v>87.546649417334592</v>
      </c>
      <c r="D28" s="45">
        <f>IF(12515.56093="","-",12515.56093/5302814.4312*100)</f>
        <v>0.23601732801288672</v>
      </c>
      <c r="E28" s="45">
        <f>IF(10956.95425="","-",10956.95425/4848565.19176*100)</f>
        <v>0.2259834366798045</v>
      </c>
      <c r="F28" s="117">
        <f>IF(OR(5240739.99296="",12101.41764="",12515.56093=""),"-",(12515.56093-12101.41764)/5240739.99296*100)</f>
        <v>7.9023819261464529E-3</v>
      </c>
      <c r="G28" s="117">
        <f>IF(OR(5302814.4312="",10956.95425="",12515.56093=""),"-",(10956.95425-12515.56093)/5302814.4312*100)</f>
        <v>-2.9392065293284156E-2</v>
      </c>
    </row>
    <row r="29" spans="1:7" s="9" customFormat="1" x14ac:dyDescent="0.25">
      <c r="A29" s="46" t="s">
        <v>46</v>
      </c>
      <c r="B29" s="45">
        <v>10952.05552</v>
      </c>
      <c r="C29" s="45">
        <f>IF(OR(10209.80786="",10952.05552=""),"-",10952.05552/10209.80786*100)</f>
        <v>107.2699473895878</v>
      </c>
      <c r="D29" s="45">
        <f>IF(10209.80786="","-",10209.80786/5302814.4312*100)</f>
        <v>0.19253564295836717</v>
      </c>
      <c r="E29" s="45">
        <f>IF(10952.05552="","-",10952.05552/4848565.19176*100)</f>
        <v>0.22588240204777921</v>
      </c>
      <c r="F29" s="117">
        <f>IF(OR(5240739.99296="",11128.475="",10209.80786=""),"-",(10209.80786-11128.475)/5240739.99296*100)</f>
        <v>-1.7529340154903029E-2</v>
      </c>
      <c r="G29" s="117">
        <f>IF(OR(5302814.4312="",10952.05552="",10209.80786=""),"-",(10952.05552-10209.80786)/5302814.4312*100)</f>
        <v>1.3997239949277882E-2</v>
      </c>
    </row>
    <row r="30" spans="1:7" s="9" customFormat="1" x14ac:dyDescent="0.25">
      <c r="A30" s="46" t="s">
        <v>54</v>
      </c>
      <c r="B30" s="45">
        <v>6333.3958899999998</v>
      </c>
      <c r="C30" s="45">
        <f>IF(OR(7119.76373="",6333.39589=""),"-",6333.39589/7119.76373*100)</f>
        <v>88.955141352703293</v>
      </c>
      <c r="D30" s="45">
        <f>IF(7119.76373="","-",7119.76373/5302814.4312*100)</f>
        <v>0.13426386727979153</v>
      </c>
      <c r="E30" s="45">
        <f>IF(6333.39589="","-",6333.39589/4848565.19176*100)</f>
        <v>0.13062412568492279</v>
      </c>
      <c r="F30" s="117">
        <f>IF(OR(5240739.99296="",6093.18383="",7119.76373=""),"-",(7119.76373-6093.18383)/5240739.99296*100)</f>
        <v>1.9588453183692126E-2</v>
      </c>
      <c r="G30" s="117">
        <f>IF(OR(5302814.4312="",6333.39589="",7119.76373=""),"-",(6333.39589-7119.76373)/5302814.4312*100)</f>
        <v>-1.4829254355447033E-2</v>
      </c>
    </row>
    <row r="31" spans="1:7" s="9" customFormat="1" x14ac:dyDescent="0.25">
      <c r="A31" s="46" t="s">
        <v>126</v>
      </c>
      <c r="B31" s="45">
        <v>5750.6426700000002</v>
      </c>
      <c r="C31" s="45">
        <f>IF(OR(5318.46019="",5750.64267=""),"-",5750.64267/5318.46019*100)</f>
        <v>108.12608282398368</v>
      </c>
      <c r="D31" s="45">
        <f>IF(5318.46019="","-",5318.46019/5302814.4312*100)</f>
        <v>0.10029504631932705</v>
      </c>
      <c r="E31" s="45">
        <f>IF(5750.64267="","-",5750.64267/4848565.19176*100)</f>
        <v>0.11860503968829904</v>
      </c>
      <c r="F31" s="117">
        <f>IF(OR(5240739.99296="",2995.57155="",5318.46019=""),"-",(5318.46019-2995.57155)/5240739.99296*100)</f>
        <v>4.4323676486915708E-2</v>
      </c>
      <c r="G31" s="117">
        <f>IF(OR(5302814.4312="",5750.64267="",5318.46019=""),"-",(5750.64267-5318.46019)/5302814.4312*100)</f>
        <v>8.1500585322613235E-3</v>
      </c>
    </row>
    <row r="32" spans="1:7" s="9" customFormat="1" x14ac:dyDescent="0.25">
      <c r="A32" s="46" t="s">
        <v>47</v>
      </c>
      <c r="B32" s="45">
        <v>3757.5472500000001</v>
      </c>
      <c r="C32" s="45">
        <f>IF(OR(4425.42666="",3757.54725=""),"-",3757.54725/4425.42666*100)</f>
        <v>84.908135162723497</v>
      </c>
      <c r="D32" s="45">
        <f>IF(4425.42666="","-",4425.42666/5302814.4312*100)</f>
        <v>8.3454299927266135E-2</v>
      </c>
      <c r="E32" s="45">
        <f>IF(3757.54725="","-",3757.54725/4848565.19176*100)</f>
        <v>7.7498127825234686E-2</v>
      </c>
      <c r="F32" s="117">
        <f>IF(OR(5240739.99296="",4547.74125="",4425.42666=""),"-",(4425.42666-4547.74125)/5240739.99296*100)</f>
        <v>-2.3339183047490965E-3</v>
      </c>
      <c r="G32" s="117">
        <f>IF(OR(5302814.4312="",3757.54725="",4425.42666=""),"-",(3757.54725-4425.42666)/5302814.4312*100)</f>
        <v>-1.2594810145918347E-2</v>
      </c>
    </row>
    <row r="33" spans="1:7" s="9" customFormat="1" x14ac:dyDescent="0.25">
      <c r="A33" s="46" t="s">
        <v>55</v>
      </c>
      <c r="B33" s="45">
        <v>1228.4324999999999</v>
      </c>
      <c r="C33" s="45">
        <f>IF(OR(1864.58701="",1228.4325=""),"-",1228.4325/1864.58701*100)</f>
        <v>65.882283498263774</v>
      </c>
      <c r="D33" s="45">
        <f>IF(1864.58701="","-",1864.58701/5302814.4312*100)</f>
        <v>3.5162214974549903E-2</v>
      </c>
      <c r="E33" s="45">
        <f>IF(1228.4325="","-",1228.4325/4848565.19176*100)</f>
        <v>2.5336000474690666E-2</v>
      </c>
      <c r="F33" s="117">
        <f>IF(OR(5240739.99296="",888.28246="",1864.58701=""),"-",(1864.58701-888.28246)/5240739.99296*100)</f>
        <v>1.8629135414302007E-2</v>
      </c>
      <c r="G33" s="117">
        <f>IF(OR(5302814.4312="",1228.4325="",1864.58701=""),"-",(1228.4325-1864.58701)/5302814.4312*100)</f>
        <v>-1.199654482074798E-2</v>
      </c>
    </row>
    <row r="34" spans="1:7" s="9" customFormat="1" x14ac:dyDescent="0.25">
      <c r="A34" s="46" t="s">
        <v>48</v>
      </c>
      <c r="B34" s="45">
        <v>580.57122000000004</v>
      </c>
      <c r="C34" s="45">
        <f>IF(OR(651.775="",580.57122=""),"-",580.57122/651.775*100)</f>
        <v>89.075404855970248</v>
      </c>
      <c r="D34" s="45">
        <f>IF(651.775="","-",651.775/5302814.4312*100)</f>
        <v>1.2291114623305921E-2</v>
      </c>
      <c r="E34" s="45">
        <f>IF(580.57122="","-",580.57122/4848565.19176*100)</f>
        <v>1.1974082992359565E-2</v>
      </c>
      <c r="F34" s="117">
        <f>IF(OR(5240739.99296="",815.99669="",651.775=""),"-",(651.775-815.99669)/5240739.99296*100)</f>
        <v>-3.1335591962318781E-3</v>
      </c>
      <c r="G34" s="117">
        <f>IF(OR(5302814.4312="",580.57122="",651.775=""),"-",(580.57122-651.775)/5302814.4312*100)</f>
        <v>-1.3427545112848099E-3</v>
      </c>
    </row>
    <row r="35" spans="1:7" s="9" customFormat="1" x14ac:dyDescent="0.25">
      <c r="A35" s="46" t="s">
        <v>56</v>
      </c>
      <c r="B35" s="45">
        <v>110.1994</v>
      </c>
      <c r="C35" s="45">
        <f>IF(OR(97.05419="",110.1994=""),"-",110.1994/97.05419*100)</f>
        <v>113.54419628869191</v>
      </c>
      <c r="D35" s="45">
        <f>IF(97.05419="","-",97.05419/5302814.4312*100)</f>
        <v>1.8302392297374268E-3</v>
      </c>
      <c r="E35" s="45">
        <f>IF(110.1994="","-",110.1994/4848565.19176*100)</f>
        <v>2.2728249624709754E-3</v>
      </c>
      <c r="F35" s="117">
        <f>IF(OR(5240739.99296="",78.61421="",97.05419=""),"-",(97.05419-78.61421)/5240739.99296*100)</f>
        <v>3.518583258236591E-4</v>
      </c>
      <c r="G35" s="117">
        <f>IF(OR(5302814.4312="",110.1994="",97.05419=""),"-",(110.1994-97.05419)/5302814.4312*100)</f>
        <v>2.478911938282799E-4</v>
      </c>
    </row>
    <row r="36" spans="1:7" s="9" customFormat="1" x14ac:dyDescent="0.25">
      <c r="A36" s="42" t="s">
        <v>246</v>
      </c>
      <c r="B36" s="43">
        <v>1182765.47092</v>
      </c>
      <c r="C36" s="43">
        <f>IF(1277766.92066="","-",1182765.47092/1277766.92066*100)</f>
        <v>92.565040759473618</v>
      </c>
      <c r="D36" s="43">
        <f>IF(1277766.92066="","-",1277766.92066/5302814.4312*100)</f>
        <v>24.096014243720155</v>
      </c>
      <c r="E36" s="43">
        <f>IF(1182765.47092="","-",1182765.47092/4848565.19176*100)</f>
        <v>24.394133607403624</v>
      </c>
      <c r="F36" s="116">
        <f>IF(5240739.99296="","-",(1277766.92066-1299311.15354)/5240739.99296*100)</f>
        <v>-0.41109142809872001</v>
      </c>
      <c r="G36" s="116">
        <f>IF(5302814.4312="","-",(1182765.47092-1277766.92066)/5302814.4312*100)</f>
        <v>-1.7915288376120246</v>
      </c>
    </row>
    <row r="37" spans="1:7" s="9" customFormat="1" x14ac:dyDescent="0.25">
      <c r="A37" s="46" t="s">
        <v>127</v>
      </c>
      <c r="B37" s="45">
        <v>530473.14668999997</v>
      </c>
      <c r="C37" s="45">
        <f>IF(OR(614437.36705="",530473.14669=""),"-",530473.14669/614437.36705*100)</f>
        <v>86.334779610959529</v>
      </c>
      <c r="D37" s="45">
        <f>IF(614437.36705="","-",614437.36705/5302814.4312*100)</f>
        <v>11.58700488244232</v>
      </c>
      <c r="E37" s="45">
        <f>IF(530473.14669="","-",530473.14669/4848565.19176*100)</f>
        <v>10.940827352213892</v>
      </c>
      <c r="F37" s="117">
        <f>IF(OR(5240739.99296="",632061.52471="",614437.36705=""),"-",(614437.36705-632061.52471)/5240739.99296*100)</f>
        <v>-0.33629139556007243</v>
      </c>
      <c r="G37" s="117">
        <f>IF(OR(5302814.4312="",530473.14669="",614437.36705=""),"-",(530473.14669-614437.36705)/5302814.4312*100)</f>
        <v>-1.5833897536746226</v>
      </c>
    </row>
    <row r="38" spans="1:7" s="9" customFormat="1" x14ac:dyDescent="0.25">
      <c r="A38" s="46" t="s">
        <v>12</v>
      </c>
      <c r="B38" s="45">
        <v>477994.71807</v>
      </c>
      <c r="C38" s="45">
        <f>IF(OR(522801.51787="",477994.71807=""),"-",477994.71807/522801.51787*100)</f>
        <v>91.429481692679076</v>
      </c>
      <c r="D38" s="45">
        <f>IF(522801.51787="","-",522801.51787/5302814.4312*100)</f>
        <v>9.8589442390065418</v>
      </c>
      <c r="E38" s="45">
        <f>IF(477994.71807="","-",477994.71807/4848565.19176*100)</f>
        <v>9.8584776973265935</v>
      </c>
      <c r="F38" s="117">
        <f>IF(OR(5240739.99296="",527738.92147="",522801.51787=""),"-",(522801.51787-527738.92147)/5240739.99296*100)</f>
        <v>-9.4211954926832514E-2</v>
      </c>
      <c r="G38" s="117">
        <f>IF(OR(5302814.4312="",477994.71807="",522801.51787=""),"-",(477994.71807-522801.51787)/5302814.4312*100)</f>
        <v>-0.84496262091261642</v>
      </c>
    </row>
    <row r="39" spans="1:7" s="9" customFormat="1" x14ac:dyDescent="0.25">
      <c r="A39" s="46" t="s">
        <v>11</v>
      </c>
      <c r="B39" s="45">
        <v>103373.98002</v>
      </c>
      <c r="C39" s="45">
        <f>IF(OR(119562.59767="",103373.98002=""),"-",103373.98002/119562.59767*100)</f>
        <v>86.460132210675482</v>
      </c>
      <c r="D39" s="45">
        <f>IF(119562.59767="","-",119562.59767/5302814.4312*100)</f>
        <v>2.2547007673233548</v>
      </c>
      <c r="E39" s="45">
        <f>IF(103373.98002="","-",103373.98002/4848565.19176*100)</f>
        <v>2.132053008087448</v>
      </c>
      <c r="F39" s="117">
        <f>IF(OR(5240739.99296="",117678.47585="",119562.59767=""),"-",(119562.59767-117678.47585)/5240739.99296*100)</f>
        <v>3.5951446218110077E-2</v>
      </c>
      <c r="G39" s="117">
        <f>IF(OR(5302814.4312="",103373.98002="",119562.59767=""),"-",(103373.98002-119562.59767)/5302814.4312*100)</f>
        <v>-0.30528350294046774</v>
      </c>
    </row>
    <row r="40" spans="1:7" s="9" customFormat="1" x14ac:dyDescent="0.25">
      <c r="A40" s="46" t="s">
        <v>13</v>
      </c>
      <c r="B40" s="45">
        <v>57120.08352</v>
      </c>
      <c r="C40" s="45" t="s">
        <v>293</v>
      </c>
      <c r="D40" s="45">
        <f>IF(9677.21079="","-",9677.21079/5302814.4312*100)</f>
        <v>0.18249197507388723</v>
      </c>
      <c r="E40" s="45">
        <f>IF(57120.08352="","-",57120.08352/4848565.19176*100)</f>
        <v>1.1780822008348775</v>
      </c>
      <c r="F40" s="117">
        <f>IF(OR(5240739.99296="",5445.83466="",9677.21079=""),"-",(9677.21079-5445.83466)/5240739.99296*100)</f>
        <v>8.0740050750163106E-2</v>
      </c>
      <c r="G40" s="117">
        <f>IF(OR(5302814.4312="",57120.08352="",9677.21079=""),"-",(57120.08352-9677.21079)/5302814.4312*100)</f>
        <v>0.894673448327022</v>
      </c>
    </row>
    <row r="41" spans="1:7" s="9" customFormat="1" x14ac:dyDescent="0.25">
      <c r="A41" s="46" t="s">
        <v>15</v>
      </c>
      <c r="B41" s="45">
        <v>6920.6253299999998</v>
      </c>
      <c r="C41" s="45">
        <f>IF(OR(7225.68578="",6920.62533=""),"-",6920.62533/7225.68578*100)</f>
        <v>95.778110766394278</v>
      </c>
      <c r="D41" s="45">
        <f>IF(7225.68578="","-",7225.68578/5302814.4312*100)</f>
        <v>0.13626133581983302</v>
      </c>
      <c r="E41" s="45">
        <f>IF(6920.62533="","-",6920.62533/4848565.19176*100)</f>
        <v>0.14273553218922183</v>
      </c>
      <c r="F41" s="117">
        <f>IF(OR(5240739.99296="",3641.91019="",7225.68578=""),"-",(7225.68578-3641.91019)/5240739.99296*100)</f>
        <v>6.838300688097794E-2</v>
      </c>
      <c r="G41" s="117">
        <f>IF(OR(5302814.4312="",6920.62533="",7225.68578=""),"-",(6920.62533-7225.68578)/5302814.4312*100)</f>
        <v>-5.7528026665448727E-3</v>
      </c>
    </row>
    <row r="42" spans="1:7" s="9" customFormat="1" x14ac:dyDescent="0.25">
      <c r="A42" s="46" t="s">
        <v>14</v>
      </c>
      <c r="B42" s="45">
        <v>4156.7058100000004</v>
      </c>
      <c r="C42" s="45" t="s">
        <v>261</v>
      </c>
      <c r="D42" s="45">
        <f>IF(730.51247="","-",730.51247/5302814.4312*100)</f>
        <v>1.3775938786428335E-2</v>
      </c>
      <c r="E42" s="45">
        <f>IF(4156.70581="","-",4156.70581/4848565.19176*100)</f>
        <v>8.5730636705972418E-2</v>
      </c>
      <c r="F42" s="117">
        <f>IF(OR(5240739.99296="",545.4487="",730.51247=""),"-",(730.51247-545.4487)/5240739.99296*100)</f>
        <v>3.5312526522704841E-3</v>
      </c>
      <c r="G42" s="117">
        <f>IF(OR(5302814.4312="",4156.70581="",730.51247=""),"-",(4156.70581-730.51247)/5302814.4312*100)</f>
        <v>6.4610847399098406E-2</v>
      </c>
    </row>
    <row r="43" spans="1:7" s="9" customFormat="1" x14ac:dyDescent="0.25">
      <c r="A43" s="46" t="s">
        <v>16</v>
      </c>
      <c r="B43" s="45">
        <v>1655.1936599999999</v>
      </c>
      <c r="C43" s="45">
        <f>IF(OR(2197.27253="",1655.19366=""),"-",1655.19366/2197.27253*100)</f>
        <v>75.329465844639671</v>
      </c>
      <c r="D43" s="45">
        <f>IF(2197.27253="","-",2197.27253/5302814.4312*100)</f>
        <v>4.1435968739014846E-2</v>
      </c>
      <c r="E43" s="45">
        <f>IF(1655.19366="","-",1655.19366/4848565.19176*100)</f>
        <v>3.4137803546767917E-2</v>
      </c>
      <c r="F43" s="117">
        <f>IF(OR(5240739.99296="",10953.42423="",2197.27253=""),"-",(2197.27253-10953.42423)/5240739.99296*100)</f>
        <v>-0.16707853684331467</v>
      </c>
      <c r="G43" s="117">
        <f>IF(OR(5302814.4312="",1655.19366="",2197.27253=""),"-",(1655.19366-2197.27253)/5302814.4312*100)</f>
        <v>-1.022247482036309E-2</v>
      </c>
    </row>
    <row r="44" spans="1:7" s="9" customFormat="1" x14ac:dyDescent="0.25">
      <c r="A44" s="46" t="s">
        <v>17</v>
      </c>
      <c r="B44" s="45">
        <v>781.54484000000002</v>
      </c>
      <c r="C44" s="45">
        <f>IF(OR(973.76989="",781.54484=""),"-",781.54484/973.76989*100)</f>
        <v>80.259704887773836</v>
      </c>
      <c r="D44" s="45">
        <f>IF(973.76989="","-",973.76989/5302814.4312*100)</f>
        <v>1.8363265443924668E-2</v>
      </c>
      <c r="E44" s="45">
        <f>IF(781.54484="","-",781.54484/4848565.19176*100)</f>
        <v>1.6119095218688893E-2</v>
      </c>
      <c r="F44" s="117">
        <f>IF(OR(5240739.99296="",941.2944="",973.76989=""),"-",(973.76989-941.2944)/5240739.99296*100)</f>
        <v>6.1967374919620253E-4</v>
      </c>
      <c r="G44" s="117">
        <f>IF(OR(5302814.4312="",781.54484="",973.76989=""),"-",(781.54484-973.76989)/5302814.4312*100)</f>
        <v>-3.6249627908721753E-3</v>
      </c>
    </row>
    <row r="45" spans="1:7" s="9" customFormat="1" x14ac:dyDescent="0.25">
      <c r="A45" s="46" t="s">
        <v>129</v>
      </c>
      <c r="B45" s="45">
        <v>288.70215000000002</v>
      </c>
      <c r="C45" s="45" t="s">
        <v>243</v>
      </c>
      <c r="D45" s="45">
        <f>IF(160.85103="","-",160.85103/5302814.4312*100)</f>
        <v>3.0333143293419045E-3</v>
      </c>
      <c r="E45" s="45">
        <f>IF(288.70215="","-",288.70215/4848565.19176*100)</f>
        <v>5.9543831748543096E-3</v>
      </c>
      <c r="F45" s="117">
        <f>IF(OR(5240739.99296="",304.04573="",160.85103=""),"-",(160.85103-304.04573)/5240739.99296*100)</f>
        <v>-2.7323374216686293E-3</v>
      </c>
      <c r="G45" s="117">
        <f>IF(OR(5302814.4312="",288.70215="",160.85103=""),"-",(288.70215-160.85103)/5302814.4312*100)</f>
        <v>2.4110049796909061E-3</v>
      </c>
    </row>
    <row r="46" spans="1:7" s="9" customFormat="1" x14ac:dyDescent="0.25">
      <c r="A46" s="46" t="s">
        <v>18</v>
      </c>
      <c r="B46" s="45">
        <v>0.77083000000000002</v>
      </c>
      <c r="C46" s="45" t="s">
        <v>261</v>
      </c>
      <c r="D46" s="45">
        <f>IF(0.13558="","-",0.13558/5302814.4312*100)</f>
        <v>2.5567555070811507E-6</v>
      </c>
      <c r="E46" s="45">
        <f>IF(0.77083="","-",0.77083/4848565.19176*100)</f>
        <v>1.5898105305668654E-5</v>
      </c>
      <c r="F46" s="117">
        <f>IF(OR(5240739.99296="",0.2736="",0.13558=""),"-",(0.13558-0.2736)/5240739.99296*100)</f>
        <v>-2.6335975489225807E-6</v>
      </c>
      <c r="G46" s="117">
        <f>IF(OR(5302814.4312="",0.77083="",0.13558=""),"-",(0.77083-0.13558)/5302814.4312*100)</f>
        <v>1.1979487652111674E-5</v>
      </c>
    </row>
    <row r="47" spans="1:7" s="9" customFormat="1" x14ac:dyDescent="0.25">
      <c r="A47" s="42" t="s">
        <v>168</v>
      </c>
      <c r="B47" s="43">
        <v>1443057.7364399999</v>
      </c>
      <c r="C47" s="43">
        <f>IF(1436112.19136="","-",1443057.73644/1436112.19136*100)</f>
        <v>100.48363527040478</v>
      </c>
      <c r="D47" s="43">
        <f>IF(1436112.19136="","-",1436112.19136/5302814.4312*100)</f>
        <v>27.082075188420557</v>
      </c>
      <c r="E47" s="43">
        <f>IF(1443057.73644="","-",1443057.73644/4848565.19176*100)</f>
        <v>29.762572624421672</v>
      </c>
      <c r="F47" s="116">
        <f>IF(5240739.99296="","-",(1436112.19136-1382786.55342)/5240739.99296*100)</f>
        <v>1.0175211518150782</v>
      </c>
      <c r="G47" s="116">
        <f>IF(5302814.4312="","-",(1443057.73644-1436112.19136)/5302814.4312*100)</f>
        <v>0.13097846756874149</v>
      </c>
    </row>
    <row r="48" spans="1:7" s="9" customFormat="1" x14ac:dyDescent="0.25">
      <c r="A48" s="51" t="s">
        <v>60</v>
      </c>
      <c r="B48" s="45">
        <v>574507.19001999998</v>
      </c>
      <c r="C48" s="45">
        <f>IF(OR(542665.24114="",574507.19002=""),"-",574507.19002/542665.24114*100)</f>
        <v>105.8676964113471</v>
      </c>
      <c r="D48" s="45">
        <f>IF(542665.24114="","-",542665.24114/5302814.4312*100)</f>
        <v>10.233532554847438</v>
      </c>
      <c r="E48" s="45">
        <f>IF(574507.19002="","-",574507.19002/4848565.19176*100)</f>
        <v>11.849014446507985</v>
      </c>
      <c r="F48" s="117">
        <f>IF(OR(5240739.99296="",549496.49353="",542665.24114=""),"-",(542665.24114-549496.49353)/5240739.99296*100)</f>
        <v>-0.13034900413255554</v>
      </c>
      <c r="G48" s="117">
        <f>IF(OR(5302814.4312="",574507.19002="",542665.24114=""),"-",(574507.19002-542665.24114)/5302814.4312*100)</f>
        <v>0.60047262247482136</v>
      </c>
    </row>
    <row r="49" spans="1:7" s="9" customFormat="1" x14ac:dyDescent="0.25">
      <c r="A49" s="51" t="s">
        <v>57</v>
      </c>
      <c r="B49" s="45">
        <v>340192.50354000001</v>
      </c>
      <c r="C49" s="45">
        <f>IF(OR(357742.40242="",340192.50354=""),"-",340192.50354/357742.40242*100)</f>
        <v>95.094263704475296</v>
      </c>
      <c r="D49" s="45">
        <f>IF(357742.40242="","-",357742.40242/5302814.4312*100)</f>
        <v>6.7462742108259048</v>
      </c>
      <c r="E49" s="45">
        <f>IF(340192.50354="","-",340192.50354/4848565.19176*100)</f>
        <v>7.0163541189081577</v>
      </c>
      <c r="F49" s="117">
        <f>IF(OR(5240739.99296="",307887.07404="",357742.40242=""),"-",(357742.40242-307887.07404)/5240739.99296*100)</f>
        <v>0.95130322143383883</v>
      </c>
      <c r="G49" s="117">
        <f>IF(OR(5302814.4312="",340192.50354="",357742.40242=""),"-",(340192.50354-357742.40242)/5302814.4312*100)</f>
        <v>-0.3309544225561093</v>
      </c>
    </row>
    <row r="50" spans="1:7" s="9" customFormat="1" x14ac:dyDescent="0.25">
      <c r="A50" s="51" t="s">
        <v>19</v>
      </c>
      <c r="B50" s="45">
        <v>59992.422630000001</v>
      </c>
      <c r="C50" s="45">
        <f>IF(OR(68583.36672="",59992.42263=""),"-",59992.42263/68583.36672*100)</f>
        <v>87.473720668928976</v>
      </c>
      <c r="D50" s="45">
        <f>IF(68583.36672="","-",68583.36672/5302814.4312*100)</f>
        <v>1.2933389921487397</v>
      </c>
      <c r="E50" s="45">
        <f>IF(59992.42263="","-",59992.42263/4848565.19176*100)</f>
        <v>1.2373232133076284</v>
      </c>
      <c r="F50" s="117">
        <f>IF(OR(5240739.99296="",65910.36737="",68583.36672=""),"-",(68583.36672-65910.36737)/5240739.99296*100)</f>
        <v>5.1004235157452886E-2</v>
      </c>
      <c r="G50" s="117">
        <f>IF(OR(5302814.4312="",59992.42263="",68583.36672=""),"-",(59992.42263-68583.36672)/5302814.4312*100)</f>
        <v>-0.16200725485420986</v>
      </c>
    </row>
    <row r="51" spans="1:7" s="9" customFormat="1" x14ac:dyDescent="0.25">
      <c r="A51" s="51" t="s">
        <v>77</v>
      </c>
      <c r="B51" s="45">
        <v>49189.172899999998</v>
      </c>
      <c r="C51" s="45">
        <f>IF(OR(45991.48649="",49189.1729=""),"-",49189.1729/45991.48649*100)</f>
        <v>106.95277899029263</v>
      </c>
      <c r="D51" s="45">
        <f>IF(45991.48649="","-",45991.48649/5302814.4312*100)</f>
        <v>0.86730333649620761</v>
      </c>
      <c r="E51" s="45">
        <f>IF(49189.1729="","-",49189.1729/4848565.19176*100)</f>
        <v>1.0145098798216763</v>
      </c>
      <c r="F51" s="117">
        <f>IF(OR(5240739.99296="",49536.26998="",45991.48649=""),"-",(45991.48649-49536.26998)/5240739.99296*100)</f>
        <v>-6.7638987905558737E-2</v>
      </c>
      <c r="G51" s="117">
        <f>IF(OR(5302814.4312="",49189.1729="",45991.48649=""),"-",(49189.1729-45991.48649)/5302814.4312*100)</f>
        <v>6.030168416201534E-2</v>
      </c>
    </row>
    <row r="52" spans="1:7" s="9" customFormat="1" ht="25.5" x14ac:dyDescent="0.25">
      <c r="A52" s="51" t="s">
        <v>124</v>
      </c>
      <c r="B52" s="45">
        <v>44293.360220000002</v>
      </c>
      <c r="C52" s="45">
        <f>IF(OR(52443.58632="",44293.36022=""),"-",44293.36022/52443.58632*100)</f>
        <v>84.459060350546977</v>
      </c>
      <c r="D52" s="45">
        <f>IF(52443.58632="","-",52443.58632/5302814.4312*100)</f>
        <v>0.98897645769837517</v>
      </c>
      <c r="E52" s="45">
        <f>IF(44293.36022="","-",44293.36022/4848565.19176*100)</f>
        <v>0.9135354165243631</v>
      </c>
      <c r="F52" s="117">
        <f>IF(OR(5240739.99296="",54666.35931="",52443.58632=""),"-",(52443.58632-54666.35931)/5240739.99296*100)</f>
        <v>-4.2413342256740399E-2</v>
      </c>
      <c r="G52" s="117">
        <f>IF(OR(5302814.4312="",44293.36022="",52443.58632=""),"-",(44293.36022-52443.58632)/5302814.4312*100)</f>
        <v>-0.15369623443820274</v>
      </c>
    </row>
    <row r="53" spans="1:7" s="9" customFormat="1" x14ac:dyDescent="0.25">
      <c r="A53" s="51" t="s">
        <v>73</v>
      </c>
      <c r="B53" s="45">
        <v>40122.81755</v>
      </c>
      <c r="C53" s="45">
        <f>IF(OR(44735.2055="",40122.81755=""),"-",40122.81755/44735.2055*100)</f>
        <v>89.689579161539797</v>
      </c>
      <c r="D53" s="45">
        <f>IF(44735.2055="","-",44735.2055/5302814.4312*100)</f>
        <v>0.84361250201011928</v>
      </c>
      <c r="E53" s="45">
        <f>IF(40122.81755="","-",40122.81755/4848565.19176*100)</f>
        <v>0.82751939930987417</v>
      </c>
      <c r="F53" s="117">
        <f>IF(OR(5240739.99296="",34785.51415="",44735.2055=""),"-",(44735.2055-34785.51415)/5240739.99296*100)</f>
        <v>0.18985279489853779</v>
      </c>
      <c r="G53" s="117">
        <f>IF(OR(5302814.4312="",40122.81755="",44735.2055=""),"-",(40122.81755-44735.2055)/5302814.4312*100)</f>
        <v>-8.6979999203106867E-2</v>
      </c>
    </row>
    <row r="54" spans="1:7" s="9" customFormat="1" x14ac:dyDescent="0.25">
      <c r="A54" s="51" t="s">
        <v>37</v>
      </c>
      <c r="B54" s="45">
        <v>39034.004309999997</v>
      </c>
      <c r="C54" s="45">
        <f>IF(OR(36799.79564="",39034.00431=""),"-",39034.00431/36799.79564*100)</f>
        <v>106.07125292720782</v>
      </c>
      <c r="D54" s="45">
        <f>IF(36799.79564="","-",36799.79564/5302814.4312*100)</f>
        <v>0.69396725300214568</v>
      </c>
      <c r="E54" s="45">
        <f>IF(39034.00431="","-",39034.00431/4848565.19176*100)</f>
        <v>0.80506299835541428</v>
      </c>
      <c r="F54" s="117">
        <f>IF(OR(5240739.99296="",36955.65102="",36799.79564=""),"-",(36799.79564-36955.65102)/5240739.99296*100)</f>
        <v>-2.9739193359976795E-3</v>
      </c>
      <c r="G54" s="117">
        <f>IF(OR(5302814.4312="",39034.00431="",36799.79564=""),"-",(39034.00431-36799.79564)/5302814.4312*100)</f>
        <v>4.2132507161756552E-2</v>
      </c>
    </row>
    <row r="55" spans="1:7" s="9" customFormat="1" x14ac:dyDescent="0.25">
      <c r="A55" s="51" t="s">
        <v>70</v>
      </c>
      <c r="B55" s="45">
        <v>36553.556700000001</v>
      </c>
      <c r="C55" s="45">
        <f>IF(OR(32825.14109="",36553.5567=""),"-",36553.5567/32825.14109*100)</f>
        <v>111.35841457551525</v>
      </c>
      <c r="D55" s="45">
        <f>IF(32825.14109="","-",32825.14109/5302814.4312*100)</f>
        <v>0.61901357318611339</v>
      </c>
      <c r="E55" s="45">
        <f>IF(36553.5567="","-",36553.5567/4848565.19176*100)</f>
        <v>0.75390461413454313</v>
      </c>
      <c r="F55" s="117">
        <f>IF(OR(5240739.99296="",27307.07464="",32825.14109=""),"-",(32825.14109-27307.07464)/5240739.99296*100)</f>
        <v>0.10529174233815332</v>
      </c>
      <c r="G55" s="117">
        <f>IF(OR(5302814.4312="",36553.5567="",32825.14109=""),"-",(36553.5567-32825.14109)/5302814.4312*100)</f>
        <v>7.0310127921189236E-2</v>
      </c>
    </row>
    <row r="56" spans="1:7" s="9" customFormat="1" x14ac:dyDescent="0.25">
      <c r="A56" s="51" t="s">
        <v>67</v>
      </c>
      <c r="B56" s="45">
        <v>31866.164509999999</v>
      </c>
      <c r="C56" s="45">
        <f>IF(OR(21896.81935="",31866.16451=""),"-",31866.16451/21896.81935*100)</f>
        <v>145.52873639157093</v>
      </c>
      <c r="D56" s="45">
        <f>IF(21896.81935="","-",21896.81935/5302814.4312*100)</f>
        <v>0.41292825977779613</v>
      </c>
      <c r="E56" s="45">
        <f>IF(31866.16451="","-",31866.16451/4848565.19176*100)</f>
        <v>0.65722875221221422</v>
      </c>
      <c r="F56" s="117">
        <f>IF(OR(5240739.99296="",25223.06168="",21896.81935=""),"-",(21896.81935-25223.06168)/5240739.99296*100)</f>
        <v>-6.3468943974862538E-2</v>
      </c>
      <c r="G56" s="117">
        <f>IF(OR(5302814.4312="",31866.16451="",21896.81935=""),"-",(31866.16451-21896.81935)/5302814.4312*100)</f>
        <v>0.18800101888053403</v>
      </c>
    </row>
    <row r="57" spans="1:7" s="9" customFormat="1" x14ac:dyDescent="0.25">
      <c r="A57" s="51" t="s">
        <v>130</v>
      </c>
      <c r="B57" s="45">
        <v>30533.199420000001</v>
      </c>
      <c r="C57" s="45">
        <f>IF(OR(31659.26398="",30533.19942=""),"-",30533.19942/31659.26398*100)</f>
        <v>96.443175177062344</v>
      </c>
      <c r="D57" s="45">
        <f>IF(31659.26398="","-",31659.26398/5302814.4312*100)</f>
        <v>0.59702756697891213</v>
      </c>
      <c r="E57" s="45">
        <f>IF(30533.19942="","-",30533.19942/4848565.19176*100)</f>
        <v>0.62973680279457345</v>
      </c>
      <c r="F57" s="117">
        <f>IF(OR(5240739.99296="",30920.44855="",31659.26398=""),"-",(31659.26398-30920.44855)/5240739.99296*100)</f>
        <v>1.4097540251805386E-2</v>
      </c>
      <c r="G57" s="117">
        <f>IF(OR(5302814.4312="",30533.19942="",31659.26398=""),"-",(30533.19942-31659.26398)/5302814.4312*100)</f>
        <v>-2.1235224702086664E-2</v>
      </c>
    </row>
    <row r="58" spans="1:7" s="9" customFormat="1" x14ac:dyDescent="0.25">
      <c r="A58" s="51" t="s">
        <v>80</v>
      </c>
      <c r="B58" s="45">
        <v>17528.09635</v>
      </c>
      <c r="C58" s="45">
        <f>IF(OR(15129.50332="",17528.09635=""),"-",17528.09635/15129.50332*100)</f>
        <v>115.85374601709</v>
      </c>
      <c r="D58" s="45">
        <f>IF(15129.50332="","-",15129.50332/5302814.4312*100)</f>
        <v>0.2853108196844118</v>
      </c>
      <c r="E58" s="45">
        <f>IF(17528.09635="","-",17528.09635/4848565.19176*100)</f>
        <v>0.36151099669214526</v>
      </c>
      <c r="F58" s="117">
        <f>IF(OR(5240739.99296="",13395.59334="",15129.50332=""),"-",(15129.50332-13395.59334)/5240739.99296*100)</f>
        <v>3.3085212819739182E-2</v>
      </c>
      <c r="G58" s="117">
        <f>IF(OR(5302814.4312="",17528.09635="",15129.50332=""),"-",(17528.09635-15129.50332)/5302814.4312*100)</f>
        <v>4.5232452712044277E-2</v>
      </c>
    </row>
    <row r="59" spans="1:7" s="9" customFormat="1" x14ac:dyDescent="0.25">
      <c r="A59" s="51" t="s">
        <v>71</v>
      </c>
      <c r="B59" s="45">
        <v>15559.64264</v>
      </c>
      <c r="C59" s="45">
        <f>IF(OR(19749.07179="",15559.64264=""),"-",15559.64264/19749.07179*100)</f>
        <v>78.786703524358387</v>
      </c>
      <c r="D59" s="45">
        <f>IF(19749.07179="","-",19749.07179/5302814.4312*100)</f>
        <v>0.37242622849110119</v>
      </c>
      <c r="E59" s="45">
        <f>IF(15559.64264="","-",15559.64264/4848565.19176*100)</f>
        <v>0.32091231167610523</v>
      </c>
      <c r="F59" s="117">
        <f>IF(OR(5240739.99296="",18488.41289="",19749.07179=""),"-",(19749.07179-18488.41289)/5240739.99296*100)</f>
        <v>2.4054978909342432E-2</v>
      </c>
      <c r="G59" s="117">
        <f>IF(OR(5302814.4312="",15559.64264="",19749.07179=""),"-",(15559.64264-19749.07179)/5302814.4312*100)</f>
        <v>-7.9003880002867732E-2</v>
      </c>
    </row>
    <row r="60" spans="1:7" s="9" customFormat="1" x14ac:dyDescent="0.25">
      <c r="A60" s="51" t="s">
        <v>62</v>
      </c>
      <c r="B60" s="45">
        <v>11561.62314</v>
      </c>
      <c r="C60" s="45">
        <f>IF(OR(11291.55979="",11561.62314=""),"-",11561.62314/11291.55979*100)</f>
        <v>102.39172758257166</v>
      </c>
      <c r="D60" s="45">
        <f>IF(11291.55979="","-",11291.55979/5302814.4312*100)</f>
        <v>0.21293522404940685</v>
      </c>
      <c r="E60" s="45">
        <f>IF(11561.62314="","-",11561.62314/4848565.19176*100)</f>
        <v>0.23845452588012331</v>
      </c>
      <c r="F60" s="117">
        <f>IF(OR(5240739.99296="",9365.38851="",11291.55979=""),"-",(11291.55979-9365.38851)/5240739.99296*100)</f>
        <v>3.6753803519874416E-2</v>
      </c>
      <c r="G60" s="117">
        <f>IF(OR(5302814.4312="",11561.62314="",11291.55979=""),"-",(11561.62314-11291.55979)/5302814.4312*100)</f>
        <v>5.0928304866004219E-3</v>
      </c>
    </row>
    <row r="61" spans="1:7" s="9" customFormat="1" x14ac:dyDescent="0.25">
      <c r="A61" s="51" t="s">
        <v>72</v>
      </c>
      <c r="B61" s="45">
        <v>9646.2814500000004</v>
      </c>
      <c r="C61" s="45">
        <f>IF(OR(9212.92977="",9646.28145=""),"-",9646.28145/9212.92977*100)</f>
        <v>104.70373367450514</v>
      </c>
      <c r="D61" s="45">
        <f>IF(9212.92977="","-",9212.92977/5302814.4312*100)</f>
        <v>0.17373660514677225</v>
      </c>
      <c r="E61" s="45">
        <f>IF(9646.28145="","-",9646.28145/4848565.19176*100)</f>
        <v>0.1989512581246424</v>
      </c>
      <c r="F61" s="117">
        <f>IF(OR(5240739.99296="",10066.94872="",9212.92977=""),"-",(9212.92977-10066.94872)/5240739.99296*100)</f>
        <v>-1.6295770275709571E-2</v>
      </c>
      <c r="G61" s="117">
        <f>IF(OR(5302814.4312="",9646.28145="",9212.92977=""),"-",(9646.28145-9212.92977)/5302814.4312*100)</f>
        <v>8.1721072012307713E-3</v>
      </c>
    </row>
    <row r="62" spans="1:7" s="9" customFormat="1" x14ac:dyDescent="0.25">
      <c r="A62" s="51" t="s">
        <v>63</v>
      </c>
      <c r="B62" s="45">
        <v>9028.2840899999992</v>
      </c>
      <c r="C62" s="45">
        <f>IF(OR(9769.89774="",9028.28409=""),"-",9028.28409/9769.89774*100)</f>
        <v>92.409197417044808</v>
      </c>
      <c r="D62" s="45">
        <f>IF(9769.89774="","-",9769.89774/5302814.4312*100)</f>
        <v>0.18423985728252462</v>
      </c>
      <c r="E62" s="45">
        <f>IF(9028.28409="","-",9028.28409/4848565.19176*100)</f>
        <v>0.18620527378580604</v>
      </c>
      <c r="F62" s="117">
        <f>IF(OR(5240739.99296="",11800.90053="",9769.89774=""),"-",(9769.89774-11800.90053)/5240739.99296*100)</f>
        <v>-3.875412237066312E-2</v>
      </c>
      <c r="G62" s="117">
        <f>IF(OR(5302814.4312="",9028.28409="",9769.89774=""),"-",(9028.28409-9769.89774)/5302814.4312*100)</f>
        <v>-1.3985283845434841E-2</v>
      </c>
    </row>
    <row r="63" spans="1:7" s="9" customFormat="1" x14ac:dyDescent="0.25">
      <c r="A63" s="51" t="s">
        <v>83</v>
      </c>
      <c r="B63" s="45">
        <v>9025.3281000000006</v>
      </c>
      <c r="C63" s="45">
        <f>IF(OR(9133.00392="",9025.3281=""),"-",9025.3281/9133.00392*100)</f>
        <v>98.821025141966672</v>
      </c>
      <c r="D63" s="45">
        <f>IF(9133.00392="","-",9133.00392/5302814.4312*100)</f>
        <v>0.17222937061995675</v>
      </c>
      <c r="E63" s="45">
        <f>IF(9025.3281="","-",9025.3281/4848565.19176*100)</f>
        <v>0.1861443075023162</v>
      </c>
      <c r="F63" s="117">
        <f>IF(OR(5240739.99296="",8971.03233="",9133.00392=""),"-",(9133.00392-8971.03233)/5240739.99296*100)</f>
        <v>3.0906244197876471E-3</v>
      </c>
      <c r="G63" s="117">
        <f>IF(OR(5302814.4312="",9025.3281="",9133.00392=""),"-",(9025.3281-9133.00392)/5302814.4312*100)</f>
        <v>-2.0305409777583347E-3</v>
      </c>
    </row>
    <row r="64" spans="1:7" s="9" customFormat="1" x14ac:dyDescent="0.25">
      <c r="A64" s="51" t="s">
        <v>75</v>
      </c>
      <c r="B64" s="45">
        <v>8903.0529000000006</v>
      </c>
      <c r="C64" s="45">
        <f>IF(OR(6051.77623="",8903.0529=""),"-",8903.0529/6051.77623*100)</f>
        <v>147.11470751125245</v>
      </c>
      <c r="D64" s="45">
        <f>IF(6051.77623="","-",6051.77623/5302814.4312*100)</f>
        <v>0.11412385457792672</v>
      </c>
      <c r="E64" s="45">
        <f>IF(8903.0529="","-",8903.0529/4848565.19176*100)</f>
        <v>0.18362242329195633</v>
      </c>
      <c r="F64" s="117">
        <f>IF(OR(5240739.99296="",4175.16948="",6051.77623=""),"-",(6051.77623-4175.16948)/5240739.99296*100)</f>
        <v>3.5808049102242952E-2</v>
      </c>
      <c r="G64" s="117">
        <f>IF(OR(5302814.4312="",8903.0529="",6051.77623=""),"-",(8903.0529-6051.77623)/5302814.4312*100)</f>
        <v>5.3769120284957263E-2</v>
      </c>
    </row>
    <row r="65" spans="1:7" s="9" customFormat="1" x14ac:dyDescent="0.25">
      <c r="A65" s="51" t="s">
        <v>84</v>
      </c>
      <c r="B65" s="45">
        <v>8552.5558799999999</v>
      </c>
      <c r="C65" s="45">
        <f>IF(OR(9350.08498="",8552.55588=""),"-",8552.55588/9350.08498*100)</f>
        <v>91.470354529333918</v>
      </c>
      <c r="D65" s="45">
        <f>IF(9350.08498="","-",9350.08498/5302814.4312*100)</f>
        <v>0.17632306582306939</v>
      </c>
      <c r="E65" s="45">
        <f>IF(8552.55588="","-",8552.55588/4848565.19176*100)</f>
        <v>0.17639354204280533</v>
      </c>
      <c r="F65" s="117">
        <f>IF(OR(5240739.99296="",11005.16502="",9350.08498=""),"-",(9350.08498-11005.16502)/5240739.99296*100)</f>
        <v>-3.1581037071545345E-2</v>
      </c>
      <c r="G65" s="117">
        <f>IF(OR(5302814.4312="",8552.55588="",9350.08498=""),"-",(8552.55588-9350.08498)/5302814.4312*100)</f>
        <v>-1.5039732397717016E-2</v>
      </c>
    </row>
    <row r="66" spans="1:7" s="9" customFormat="1" x14ac:dyDescent="0.25">
      <c r="A66" s="51" t="s">
        <v>79</v>
      </c>
      <c r="B66" s="45">
        <v>7574.7605400000002</v>
      </c>
      <c r="C66" s="45">
        <f>IF(OR(8071.88939="",7574.76054=""),"-",7574.76054/8071.88939*100)</f>
        <v>93.841233124231408</v>
      </c>
      <c r="D66" s="45">
        <f>IF(8071.88939="","-",8071.88939/5302814.4312*100)</f>
        <v>0.15221896777129673</v>
      </c>
      <c r="E66" s="45">
        <f>IF(7574.76054="","-",7574.76054/4848565.19176*100)</f>
        <v>0.15622684733358011</v>
      </c>
      <c r="F66" s="117">
        <f>IF(OR(5240739.99296="",7473.53283="",8071.88939=""),"-",(8071.88939-7473.53283)/5240739.99296*100)</f>
        <v>1.1417405954193216E-2</v>
      </c>
      <c r="G66" s="117">
        <f>IF(OR(5302814.4312="",7574.76054="",8071.88939=""),"-",(7574.76054-8071.88939)/5302814.4312*100)</f>
        <v>-9.3748113657355029E-3</v>
      </c>
    </row>
    <row r="67" spans="1:7" s="9" customFormat="1" x14ac:dyDescent="0.25">
      <c r="A67" s="51" t="s">
        <v>64</v>
      </c>
      <c r="B67" s="45">
        <v>6470.6576100000002</v>
      </c>
      <c r="C67" s="45">
        <f>IF(OR(7690.46223="",6470.65761=""),"-",6470.65761/7690.46223*100)</f>
        <v>84.138734662246691</v>
      </c>
      <c r="D67" s="45">
        <f>IF(7690.46223="","-",7690.46223/5302814.4312*100)</f>
        <v>0.14502604852155249</v>
      </c>
      <c r="E67" s="45">
        <f>IF(6470.65761="","-",6470.65761/4848565.19176*100)</f>
        <v>0.13345510174838324</v>
      </c>
      <c r="F67" s="117">
        <f>IF(OR(5240739.99296="",6968.4442="",7690.46223=""),"-",(7690.46223-6968.4442)/5240739.99296*100)</f>
        <v>1.3777024446354954E-2</v>
      </c>
      <c r="G67" s="117">
        <f>IF(OR(5302814.4312="",6470.65761="",7690.46223=""),"-",(6470.65761-7690.46223)/5302814.4312*100)</f>
        <v>-2.3002966364862293E-2</v>
      </c>
    </row>
    <row r="68" spans="1:7" s="9" customFormat="1" x14ac:dyDescent="0.25">
      <c r="A68" s="51" t="s">
        <v>66</v>
      </c>
      <c r="B68" s="45">
        <v>6166.1893499999996</v>
      </c>
      <c r="C68" s="45">
        <f>IF(OR(5738.43734="",6166.18935=""),"-",6166.18935/5738.43734*100)</f>
        <v>107.45415493201149</v>
      </c>
      <c r="D68" s="45">
        <f>IF(5738.43734="","-",5738.43734/5302814.4312*100)</f>
        <v>0.10821493783069118</v>
      </c>
      <c r="E68" s="45">
        <f>IF(6166.18935="","-",6166.18935/4848565.19176*100)</f>
        <v>0.12717554794311656</v>
      </c>
      <c r="F68" s="117">
        <f>IF(OR(5240739.99296="",5096.83243="",5738.43734=""),"-",(5738.43734-5096.83243)/5240739.99296*100)</f>
        <v>1.224263960551147E-2</v>
      </c>
      <c r="G68" s="117">
        <f>IF(OR(5302814.4312="",6166.18935="",5738.43734=""),"-",(6166.18935-5738.43734)/5302814.4312*100)</f>
        <v>8.0665091254796383E-3</v>
      </c>
    </row>
    <row r="69" spans="1:7" s="9" customFormat="1" x14ac:dyDescent="0.25">
      <c r="A69" s="51" t="s">
        <v>85</v>
      </c>
      <c r="B69" s="45">
        <v>5687.9843899999996</v>
      </c>
      <c r="C69" s="45">
        <f>IF(OR(6510.07494="",5687.98439=""),"-",5687.98439/6510.07494*100)</f>
        <v>87.37202631956184</v>
      </c>
      <c r="D69" s="45">
        <f>IF(6510.07494="","-",6510.07494/5302814.4312*100)</f>
        <v>0.12276641063841268</v>
      </c>
      <c r="E69" s="45">
        <f>IF(5687.98439="","-",5687.98439/4848565.19176*100)</f>
        <v>0.11731273407783749</v>
      </c>
      <c r="F69" s="117">
        <f>IF(OR(5240739.99296="",5125.26619="",6510.07494=""),"-",(6510.07494-5125.26619)/5240739.99296*100)</f>
        <v>2.6423916314494589E-2</v>
      </c>
      <c r="G69" s="117">
        <f>IF(OR(5302814.4312="",5687.98439="",6510.07494=""),"-",(5687.98439-6510.07494)/5302814.4312*100)</f>
        <v>-1.5502910023837394E-2</v>
      </c>
    </row>
    <row r="70" spans="1:7" s="9" customFormat="1" x14ac:dyDescent="0.25">
      <c r="A70" s="51" t="s">
        <v>69</v>
      </c>
      <c r="B70" s="45">
        <v>5614.4861600000004</v>
      </c>
      <c r="C70" s="45">
        <f>IF(OR(5698.86078="",5614.48616=""),"-",5614.48616/5698.86078*100)</f>
        <v>98.519447600894026</v>
      </c>
      <c r="D70" s="45">
        <f>IF(5698.86078="","-",5698.86078/5302814.4312*100)</f>
        <v>0.10746860660387801</v>
      </c>
      <c r="E70" s="45">
        <f>IF(5614.48616="","-",5614.48616/4848565.19176*100)</f>
        <v>0.11579685820336419</v>
      </c>
      <c r="F70" s="117">
        <f>IF(OR(5240739.99296="",7839.77541="",5698.86078=""),"-",(5698.86078-7839.77541)/5240739.99296*100)</f>
        <v>-4.0851380394294264E-2</v>
      </c>
      <c r="G70" s="117">
        <f>IF(OR(5302814.4312="",5614.48616="",5698.86078=""),"-",(5614.48616-5698.86078)/5302814.4312*100)</f>
        <v>-1.5911290333594803E-3</v>
      </c>
    </row>
    <row r="71" spans="1:7" s="9" customFormat="1" x14ac:dyDescent="0.25">
      <c r="A71" s="51" t="s">
        <v>143</v>
      </c>
      <c r="B71" s="45">
        <v>5431.0684899999997</v>
      </c>
      <c r="C71" s="45">
        <f>IF(OR(4122.18615="",5431.06849=""),"-",5431.06849/4122.18615*100)</f>
        <v>131.75214054804388</v>
      </c>
      <c r="D71" s="45">
        <f>IF(4122.18615="","-",4122.18615/5302814.4312*100)</f>
        <v>7.7735817526376649E-2</v>
      </c>
      <c r="E71" s="45">
        <f>IF(5431.06849="","-",5431.06849/4848565.19176*100)</f>
        <v>0.11201393144573879</v>
      </c>
      <c r="F71" s="117">
        <f>IF(OR(5240739.99296="",4221.27856="",4122.18615=""),"-",(4122.18615-4221.27856)/5240739.99296*100)</f>
        <v>-1.8908095065412953E-3</v>
      </c>
      <c r="G71" s="117">
        <f>IF(OR(5302814.4312="",5431.06849="",4122.18615=""),"-",(5431.06849-4122.18615)/5302814.4312*100)</f>
        <v>2.4682786037146045E-2</v>
      </c>
    </row>
    <row r="72" spans="1:7" s="9" customFormat="1" x14ac:dyDescent="0.25">
      <c r="A72" s="51" t="s">
        <v>86</v>
      </c>
      <c r="B72" s="45">
        <v>4685.32492</v>
      </c>
      <c r="C72" s="45">
        <f>IF(OR(7667.7624="",4685.32492=""),"-",4685.32492/7667.7624*100)</f>
        <v>61.104200620509573</v>
      </c>
      <c r="D72" s="45">
        <f>IF(7667.7624="","-",7667.7624/5302814.4312*100)</f>
        <v>0.1445979771587976</v>
      </c>
      <c r="E72" s="45">
        <f>IF(4685.32492="","-",4685.32492/4848565.19176*100)</f>
        <v>9.6633225185103797E-2</v>
      </c>
      <c r="F72" s="117">
        <f>IF(OR(5240739.99296="",5881.33716="",7667.7624=""),"-",(7667.7624-5881.33716)/5240739.99296*100)</f>
        <v>3.4087270927383222E-2</v>
      </c>
      <c r="G72" s="117">
        <f>IF(OR(5302814.4312="",4685.32492="",7667.7624=""),"-",(4685.32492-7667.7624)/5302814.4312*100)</f>
        <v>-5.6242539102487291E-2</v>
      </c>
    </row>
    <row r="73" spans="1:7" s="9" customFormat="1" x14ac:dyDescent="0.25">
      <c r="A73" s="51" t="s">
        <v>76</v>
      </c>
      <c r="B73" s="45">
        <v>4623.6825200000003</v>
      </c>
      <c r="C73" s="45">
        <f>IF(OR(4547.85527="",4623.68252=""),"-",4623.68252/4547.85527*100)</f>
        <v>101.66731888985554</v>
      </c>
      <c r="D73" s="45">
        <f>IF(4547.85527="","-",4547.85527/5302814.4312*100)</f>
        <v>8.5763047698632036E-2</v>
      </c>
      <c r="E73" s="45">
        <f>IF(4623.68252="","-",4623.68252/4848565.19176*100)</f>
        <v>9.5361871752447896E-2</v>
      </c>
      <c r="F73" s="117">
        <f>IF(OR(5240739.99296="",4295.00822="",4547.85527=""),"-",(4547.85527-4295.00822)/5240739.99296*100)</f>
        <v>4.8246440453000002E-3</v>
      </c>
      <c r="G73" s="117">
        <f>IF(OR(5302814.4312="",4623.68252="",4547.85527=""),"-",(4623.68252-4547.85527)/5302814.4312*100)</f>
        <v>1.4299434947951015E-3</v>
      </c>
    </row>
    <row r="74" spans="1:7" s="9" customFormat="1" x14ac:dyDescent="0.25">
      <c r="A74" s="51" t="s">
        <v>59</v>
      </c>
      <c r="B74" s="45">
        <v>4233.4258200000004</v>
      </c>
      <c r="C74" s="45" t="s">
        <v>128</v>
      </c>
      <c r="D74" s="45">
        <f>IF(2734.06263="","-",2734.06263/5302814.4312*100)</f>
        <v>5.1558708408004673E-2</v>
      </c>
      <c r="E74" s="45">
        <f>IF(4233.42582="","-",4233.42582/4848565.19176*100)</f>
        <v>8.7312960691847324E-2</v>
      </c>
      <c r="F74" s="117">
        <f>IF(OR(5240739.99296="",2523.50762="",2734.06263=""),"-",(2734.06263-2523.50762)/5240739.99296*100)</f>
        <v>4.0176580078928386E-3</v>
      </c>
      <c r="G74" s="117">
        <f>IF(OR(5302814.4312="",4233.42582="",2734.06263=""),"-",(4233.42582-2734.06263)/5302814.4312*100)</f>
        <v>2.8274856860504963E-2</v>
      </c>
    </row>
    <row r="75" spans="1:7" s="9" customFormat="1" x14ac:dyDescent="0.25">
      <c r="A75" s="51" t="s">
        <v>81</v>
      </c>
      <c r="B75" s="45">
        <v>3942.6717600000002</v>
      </c>
      <c r="C75" s="45">
        <f>IF(OR(4894.526="",3942.67176=""),"-",3942.67176/4894.526*100)</f>
        <v>80.552677828251404</v>
      </c>
      <c r="D75" s="45">
        <f>IF(4894.526="","-",4894.526/5302814.4312*100)</f>
        <v>9.23005333017545E-2</v>
      </c>
      <c r="E75" s="45">
        <f>IF(3942.67176="","-",3942.67176/4848565.19176*100)</f>
        <v>8.1316257574518325E-2</v>
      </c>
      <c r="F75" s="117">
        <f>IF(OR(5240739.99296="",6380.40014="",4894.526=""),"-",(4894.526-6380.40014)/5240739.99296*100)</f>
        <v>-2.8352372794605472E-2</v>
      </c>
      <c r="G75" s="117">
        <f>IF(OR(5302814.4312="",3942.67176="",4894.526=""),"-",(3942.67176-4894.526)/5302814.4312*100)</f>
        <v>-1.7949982077434302E-2</v>
      </c>
    </row>
    <row r="76" spans="1:7" s="9" customFormat="1" x14ac:dyDescent="0.25">
      <c r="A76" s="51" t="s">
        <v>82</v>
      </c>
      <c r="B76" s="45">
        <v>3940.1323200000002</v>
      </c>
      <c r="C76" s="45">
        <f>IF(OR(3482.87943="",3940.13232=""),"-",3940.13232/3482.87943*100)</f>
        <v>113.12858797411774</v>
      </c>
      <c r="D76" s="45">
        <f>IF(3482.87943="","-",3482.87943/5302814.4312*100)</f>
        <v>6.5679828611536789E-2</v>
      </c>
      <c r="E76" s="45">
        <f>IF(3940.13232="","-",3940.13232/4848565.19176*100)</f>
        <v>8.1263882492415368E-2</v>
      </c>
      <c r="F76" s="117">
        <f>IF(OR(5240739.99296="",4599.66553="",3482.87943=""),"-",(3482.87943-4599.66553)/5240739.99296*100)</f>
        <v>-2.130970247522684E-2</v>
      </c>
      <c r="G76" s="117">
        <f>IF(OR(5302814.4312="",3940.13232="",3482.87943=""),"-",(3940.13232-3482.87943)/5302814.4312*100)</f>
        <v>8.6228340805153559E-3</v>
      </c>
    </row>
    <row r="77" spans="1:7" s="9" customFormat="1" x14ac:dyDescent="0.25">
      <c r="A77" s="51" t="s">
        <v>87</v>
      </c>
      <c r="B77" s="45">
        <v>3538.9832299999998</v>
      </c>
      <c r="C77" s="45">
        <f>IF(OR(3754.07111="",3538.98323=""),"-",3538.98323/3754.07111*100)</f>
        <v>94.270543266294169</v>
      </c>
      <c r="D77" s="45">
        <f>IF(3754.07111="","-",3754.07111/5302814.4312*100)</f>
        <v>7.0793937044304076E-2</v>
      </c>
      <c r="E77" s="45">
        <f>IF(3538.98323="","-",3538.98323/4848565.19176*100)</f>
        <v>7.2990319610725302E-2</v>
      </c>
      <c r="F77" s="117">
        <f>IF(OR(5240739.99296="",1628.8538="",3754.07111=""),"-",(3754.07111-1628.8538)/5240739.99296*100)</f>
        <v>4.0551855517633968E-2</v>
      </c>
      <c r="G77" s="117">
        <f>IF(OR(5302814.4312="",3538.98323="",3754.07111=""),"-",(3538.98323-3754.07111)/5302814.4312*100)</f>
        <v>-4.0561079930403433E-3</v>
      </c>
    </row>
    <row r="78" spans="1:7" s="9" customFormat="1" x14ac:dyDescent="0.25">
      <c r="A78" s="51" t="s">
        <v>40</v>
      </c>
      <c r="B78" s="45">
        <v>3479.5109000000002</v>
      </c>
      <c r="C78" s="45">
        <f>IF(OR(3307.75807="",3479.5109=""),"-",3479.5109/3307.75807*100)</f>
        <v>105.19242418475909</v>
      </c>
      <c r="D78" s="45">
        <f>IF(3307.75807="","-",3307.75807/5302814.4312*100)</f>
        <v>6.2377405676092477E-2</v>
      </c>
      <c r="E78" s="45">
        <f>IF(3479.5109="","-",3479.5109/4848565.19176*100)</f>
        <v>7.176372313016087E-2</v>
      </c>
      <c r="F78" s="117">
        <f>IF(OR(5240739.99296="",4128.50508="",3307.75807=""),"-",(3307.75807-4128.50508)/5240739.99296*100)</f>
        <v>-1.5660899245192993E-2</v>
      </c>
      <c r="G78" s="117">
        <f>IF(OR(5302814.4312="",3479.5109="",3307.75807=""),"-",(3479.5109-3307.75807)/5302814.4312*100)</f>
        <v>3.238899498150712E-3</v>
      </c>
    </row>
    <row r="79" spans="1:7" s="9" customFormat="1" x14ac:dyDescent="0.25">
      <c r="A79" s="51" t="s">
        <v>38</v>
      </c>
      <c r="B79" s="45">
        <v>3171.05159</v>
      </c>
      <c r="C79" s="45">
        <f>IF(OR(2663.25954="",3171.05159=""),"-",3171.05159/2663.25954*100)</f>
        <v>119.06656269782854</v>
      </c>
      <c r="D79" s="45">
        <f>IF(2663.25954="","-",2663.25954/5302814.4312*100)</f>
        <v>5.0223510072882518E-2</v>
      </c>
      <c r="E79" s="45">
        <f>IF(3171.05159="","-",3171.05159/4848565.19176*100)</f>
        <v>6.5401855282653784E-2</v>
      </c>
      <c r="F79" s="117">
        <f>IF(OR(5240739.99296="",1629.35459="",2663.25954=""),"-",(2663.25954-1629.35459)/5240739.99296*100)</f>
        <v>1.9728224475720355E-2</v>
      </c>
      <c r="G79" s="117">
        <f>IF(OR(5302814.4312="",3171.05159="",2663.25954=""),"-",(3171.05159-2663.25954)/5302814.4312*100)</f>
        <v>9.5758970370963779E-3</v>
      </c>
    </row>
    <row r="80" spans="1:7" s="9" customFormat="1" x14ac:dyDescent="0.25">
      <c r="A80" s="51" t="s">
        <v>88</v>
      </c>
      <c r="B80" s="45">
        <v>2742.9702900000002</v>
      </c>
      <c r="C80" s="45">
        <f>IF(OR(2672.40516="",2742.97029=""),"-",2742.97029/2672.40516*100)</f>
        <v>102.64051016875003</v>
      </c>
      <c r="D80" s="45">
        <f>IF(2672.40516="","-",2672.40516/5302814.4312*100)</f>
        <v>5.0395977356410111E-2</v>
      </c>
      <c r="E80" s="45">
        <f>IF(2742.97029="","-",2742.97029/4848565.19176*100)</f>
        <v>5.6572824774256958E-2</v>
      </c>
      <c r="F80" s="117">
        <f>IF(OR(5240739.99296="",2547.33703="",2672.40516=""),"-",(2672.40516-2547.33703)/5240739.99296*100)</f>
        <v>2.3864593581823636E-3</v>
      </c>
      <c r="G80" s="117">
        <f>IF(OR(5302814.4312="",2742.97029="",2672.40516=""),"-",(2742.97029-2672.40516)/5302814.4312*100)</f>
        <v>1.3307109067369697E-3</v>
      </c>
    </row>
    <row r="81" spans="1:7" s="9" customFormat="1" x14ac:dyDescent="0.25">
      <c r="A81" s="51" t="s">
        <v>92</v>
      </c>
      <c r="B81" s="45">
        <v>2338.5201099999999</v>
      </c>
      <c r="C81" s="45">
        <f>IF(OR(2254.4422="",2338.52011=""),"-",2338.52011/2254.4422*100)</f>
        <v>103.72943293911017</v>
      </c>
      <c r="D81" s="45">
        <f>IF(2254.4422="","-",2254.4422/5302814.4312*100)</f>
        <v>4.2514069259818148E-2</v>
      </c>
      <c r="E81" s="45">
        <f>IF(2338.52011="","-",2338.52011/4848565.19176*100)</f>
        <v>4.8231178039520831E-2</v>
      </c>
      <c r="F81" s="117">
        <f>IF(OR(5240739.99296="",1788.61169="",2254.4422=""),"-",(2254.4422-1788.61169)/5240739.99296*100)</f>
        <v>8.8886399749989534E-3</v>
      </c>
      <c r="G81" s="117">
        <f>IF(OR(5302814.4312="",2338.52011="",2254.4422=""),"-",(2338.52011-2254.4422)/5302814.4312*100)</f>
        <v>1.5855337027317691E-3</v>
      </c>
    </row>
    <row r="82" spans="1:7" s="9" customFormat="1" x14ac:dyDescent="0.25">
      <c r="A82" s="51" t="s">
        <v>39</v>
      </c>
      <c r="B82" s="45">
        <v>2194.2363999999998</v>
      </c>
      <c r="C82" s="45">
        <f>IF(OR(3149.93387="",2194.2364=""),"-",2194.2364/3149.93387*100)</f>
        <v>69.659760825391544</v>
      </c>
      <c r="D82" s="45">
        <f>IF(3149.93387="","-",3149.93387/5302814.4312*100)</f>
        <v>5.9401171036022569E-2</v>
      </c>
      <c r="E82" s="45">
        <f>IF(2194.2364="","-",2194.2364/4848565.19176*100)</f>
        <v>4.5255375832195528E-2</v>
      </c>
      <c r="F82" s="117">
        <f>IF(OR(5240739.99296="",2470.54669="",3149.93387=""),"-",(3149.93387-2470.54669)/5240739.99296*100)</f>
        <v>1.2963573482230283E-2</v>
      </c>
      <c r="G82" s="117">
        <f>IF(OR(5302814.4312="",2194.2364="",3149.93387=""),"-",(2194.2364-3149.93387)/5302814.4312*100)</f>
        <v>-1.8022457364847491E-2</v>
      </c>
    </row>
    <row r="83" spans="1:7" s="9" customFormat="1" x14ac:dyDescent="0.25">
      <c r="A83" s="51" t="s">
        <v>257</v>
      </c>
      <c r="B83" s="45">
        <v>2080.05143</v>
      </c>
      <c r="C83" s="45">
        <f>IF(OR(2368.9057="",2080.05143=""),"-",2080.05143/2368.9057*100)</f>
        <v>87.806425979725574</v>
      </c>
      <c r="D83" s="45">
        <f>IF(2368.9057="","-",2368.9057/5302814.4312*100)</f>
        <v>4.4672611699593801E-2</v>
      </c>
      <c r="E83" s="45">
        <f>IF(2080.05143="","-",2080.05143/4848565.19176*100)</f>
        <v>4.2900349850611245E-2</v>
      </c>
      <c r="F83" s="117">
        <f>IF(OR(5240739.99296="",2082.43093="",2368.9057=""),"-",(2368.9057-2082.43093)/5240739.99296*100)</f>
        <v>5.466303811767566E-3</v>
      </c>
      <c r="G83" s="117">
        <f>IF(OR(5302814.4312="",2080.05143="",2368.9057=""),"-",(2080.05143-2368.9057)/5302814.4312*100)</f>
        <v>-5.4471879743797393E-3</v>
      </c>
    </row>
    <row r="84" spans="1:7" s="9" customFormat="1" x14ac:dyDescent="0.25">
      <c r="A84" s="51" t="s">
        <v>146</v>
      </c>
      <c r="B84" s="45">
        <v>1863.80359</v>
      </c>
      <c r="C84" s="45">
        <f>IF(OR(2471.29859="",1863.80359=""),"-",1863.80359/2471.29859*100)</f>
        <v>75.417984598939142</v>
      </c>
      <c r="D84" s="45">
        <f>IF(2471.29859="","-",2471.29859/5302814.4312*100)</f>
        <v>4.66035276561763E-2</v>
      </c>
      <c r="E84" s="45">
        <f>IF(1863.80359="","-",1863.80359/4848565.19176*100)</f>
        <v>3.844031205700775E-2</v>
      </c>
      <c r="F84" s="117">
        <f>IF(OR(5240739.99296="",1239.03633="",2471.29859=""),"-",(2471.29859-1239.03633)/5240739.99296*100)</f>
        <v>2.3513134817894507E-2</v>
      </c>
      <c r="G84" s="117">
        <f>IF(OR(5302814.4312="",1863.80359="",2471.29859=""),"-",(1863.80359-2471.29859)/5302814.4312*100)</f>
        <v>-1.1456086345878915E-2</v>
      </c>
    </row>
    <row r="85" spans="1:7" s="9" customFormat="1" x14ac:dyDescent="0.25">
      <c r="A85" s="51" t="s">
        <v>89</v>
      </c>
      <c r="B85" s="45">
        <v>1807.69308</v>
      </c>
      <c r="C85" s="45">
        <f>IF(OR(2227.85236="",1807.69308=""),"-",1807.69308/2227.85236*100)</f>
        <v>81.14061382415845</v>
      </c>
      <c r="D85" s="45">
        <f>IF(2227.85236="","-",2227.85236/5302814.4312*100)</f>
        <v>4.2012640436596381E-2</v>
      </c>
      <c r="E85" s="45">
        <f>IF(1807.69308="","-",1807.69308/4848565.19176*100)</f>
        <v>3.7283051964983854E-2</v>
      </c>
      <c r="F85" s="117">
        <f>IF(OR(5240739.99296="",4071.09238="",2227.85236=""),"-",(2227.85236-4071.09238)/5240739.99296*100)</f>
        <v>-3.517136935768736E-2</v>
      </c>
      <c r="G85" s="117">
        <f>IF(OR(5302814.4312="",1807.69308="",2227.85236=""),"-",(1807.69308-2227.85236)/5302814.4312*100)</f>
        <v>-7.9233261026054776E-3</v>
      </c>
    </row>
    <row r="86" spans="1:7" s="9" customFormat="1" x14ac:dyDescent="0.25">
      <c r="A86" s="51" t="s">
        <v>74</v>
      </c>
      <c r="B86" s="45">
        <v>1735.70363</v>
      </c>
      <c r="C86" s="45">
        <f>IF(OR(1386.09226="",1735.70363=""),"-",1735.70363/1386.09226*100)</f>
        <v>125.222806597304</v>
      </c>
      <c r="D86" s="45">
        <f>IF(1386.09226="","-",1386.09226/5302814.4312*100)</f>
        <v>2.6138803799067398E-2</v>
      </c>
      <c r="E86" s="45">
        <f>IF(1735.70363="","-",1735.70363/4848565.19176*100)</f>
        <v>3.5798294162359197E-2</v>
      </c>
      <c r="F86" s="117">
        <f>IF(OR(5240739.99296="",2002.93463="",1386.09226=""),"-",(1386.09226-2002.93463)/5240739.99296*100)</f>
        <v>-1.1770138774841296E-2</v>
      </c>
      <c r="G86" s="117">
        <f>IF(OR(5302814.4312="",1735.70363="",1386.09226=""),"-",(1735.70363-1386.09226)/5302814.4312*100)</f>
        <v>6.5929399290875195E-3</v>
      </c>
    </row>
    <row r="87" spans="1:7" s="9" customFormat="1" x14ac:dyDescent="0.25">
      <c r="A87" s="51" t="s">
        <v>145</v>
      </c>
      <c r="B87" s="45">
        <v>1465.1285</v>
      </c>
      <c r="C87" s="45" t="s">
        <v>291</v>
      </c>
      <c r="D87" s="45">
        <f>IF(275.70553="","-",275.70553/5302814.4312*100)</f>
        <v>5.1992302121273599E-3</v>
      </c>
      <c r="E87" s="45">
        <f>IF(1465.1285="","-",1465.1285/4848565.19176*100)</f>
        <v>3.0217774579785885E-2</v>
      </c>
      <c r="F87" s="117">
        <f>IF(OR(5240739.99296="",244.3242="",275.70553=""),"-",(275.70553-244.3242)/5240739.99296*100)</f>
        <v>5.9879578155289592E-4</v>
      </c>
      <c r="G87" s="117">
        <f>IF(OR(5302814.4312="",1465.1285="",275.70553=""),"-",(1465.1285-275.70553)/5302814.4312*100)</f>
        <v>2.2430031927985827E-2</v>
      </c>
    </row>
    <row r="88" spans="1:7" s="9" customFormat="1" x14ac:dyDescent="0.25">
      <c r="A88" s="51" t="s">
        <v>68</v>
      </c>
      <c r="B88" s="45">
        <v>1360.84376</v>
      </c>
      <c r="C88" s="45">
        <f>IF(OR(1735.19737="",1360.84376=""),"-",1360.84376/1735.19737*100)</f>
        <v>78.425877282190669</v>
      </c>
      <c r="D88" s="45">
        <f>IF(1735.19737="","-",1735.19737/5302814.4312*100)</f>
        <v>3.2722196722379623E-2</v>
      </c>
      <c r="E88" s="45">
        <f>IF(1360.84376="","-",1360.84376/4848565.19176*100)</f>
        <v>2.8066937458378731E-2</v>
      </c>
      <c r="F88" s="117">
        <f>IF(OR(5240739.99296="",1667.86448="",1735.19737=""),"-",(1735.19737-1667.86448)/5240739.99296*100)</f>
        <v>1.2847973776689908E-3</v>
      </c>
      <c r="G88" s="117">
        <f>IF(OR(5302814.4312="",1360.84376="",1735.19737=""),"-",(1360.84376-1735.19737)/5302814.4312*100)</f>
        <v>-7.0595268768491627E-3</v>
      </c>
    </row>
    <row r="89" spans="1:7" x14ac:dyDescent="0.25">
      <c r="A89" s="51" t="s">
        <v>90</v>
      </c>
      <c r="B89" s="45">
        <v>1224.2745</v>
      </c>
      <c r="C89" s="45">
        <f>IF(OR(1131.25214="",1224.2745=""),"-",1224.2745/1131.25214*100)</f>
        <v>108.22295549425436</v>
      </c>
      <c r="D89" s="45">
        <f>IF(1131.25214="","-",1131.25214/5302814.4312*100)</f>
        <v>2.133305162149533E-2</v>
      </c>
      <c r="E89" s="45">
        <f>IF(1224.2745="","-",1224.2745/4848565.19176*100)</f>
        <v>2.5250243145758255E-2</v>
      </c>
      <c r="F89" s="117">
        <f>IF(OR(5240739.99296="",1083.53379="",1131.25214=""),"-",(1131.25214-1083.53379)/5240739.99296*100)</f>
        <v>9.1052694970750691E-4</v>
      </c>
      <c r="G89" s="117">
        <f>IF(OR(5302814.4312="",1224.2745="",1131.25214=""),"-",(1224.2745-1131.25214)/5302814.4312*100)</f>
        <v>1.7542073404018671E-3</v>
      </c>
    </row>
    <row r="90" spans="1:7" x14ac:dyDescent="0.25">
      <c r="A90" s="51" t="s">
        <v>98</v>
      </c>
      <c r="B90" s="45">
        <v>1184.84573</v>
      </c>
      <c r="C90" s="45">
        <f>IF(OR(953.56773="",1184.84573=""),"-",1184.84573/953.56773*100)</f>
        <v>124.25396673186498</v>
      </c>
      <c r="D90" s="45">
        <f>IF(953.56773="","-",953.56773/5302814.4312*100)</f>
        <v>1.7982294918515798E-2</v>
      </c>
      <c r="E90" s="45">
        <f>IF(1184.84573="","-",1184.84573/4848565.19176*100)</f>
        <v>2.4437038239964515E-2</v>
      </c>
      <c r="F90" s="117">
        <f>IF(OR(5240739.99296="",1203.04472="",953.56773=""),"-",(953.56773-1203.04472)/5240739.99296*100)</f>
        <v>-4.7603390043224423E-3</v>
      </c>
      <c r="G90" s="117">
        <f>IF(OR(5302814.4312="",1184.84573="",953.56773=""),"-",(1184.84573-953.56773)/5302814.4312*100)</f>
        <v>4.3614198271626665E-3</v>
      </c>
    </row>
    <row r="91" spans="1:7" x14ac:dyDescent="0.25">
      <c r="A91" s="51" t="s">
        <v>65</v>
      </c>
      <c r="B91" s="45">
        <v>1145.7426</v>
      </c>
      <c r="C91" s="45" t="s">
        <v>104</v>
      </c>
      <c r="D91" s="45">
        <f>IF(678.24416="","-",678.24416/5302814.4312*100)</f>
        <v>1.2790267673887218E-2</v>
      </c>
      <c r="E91" s="45">
        <f>IF(1145.7426="","-",1145.7426/4848565.19176*100)</f>
        <v>2.3630549547877737E-2</v>
      </c>
      <c r="F91" s="117">
        <f>IF(OR(5240739.99296="",465.19785="",678.24416=""),"-",(678.24416-465.19785)/5240739.99296*100)</f>
        <v>4.0651951878206069E-3</v>
      </c>
      <c r="G91" s="117">
        <f>IF(OR(5302814.4312="",1145.7426="",678.24416=""),"-",(1145.7426-678.24416)/5302814.4312*100)</f>
        <v>8.8160437455513142E-3</v>
      </c>
    </row>
    <row r="92" spans="1:7" x14ac:dyDescent="0.25">
      <c r="A92" s="51" t="s">
        <v>173</v>
      </c>
      <c r="B92" s="45">
        <v>1008.70258</v>
      </c>
      <c r="C92" s="45">
        <f>IF(OR(965.23069="",1008.70258=""),"-",1008.70258/965.23069*100)</f>
        <v>104.50378240667007</v>
      </c>
      <c r="D92" s="45">
        <f>IF(965.23069="","-",965.23069/5302814.4312*100)</f>
        <v>1.8202233974489147E-2</v>
      </c>
      <c r="E92" s="45">
        <f>IF(1008.70258="","-",1008.70258/4848565.19176*100)</f>
        <v>2.080414597114754E-2</v>
      </c>
      <c r="F92" s="117">
        <f>IF(OR(5240739.99296="",1040.17875="",965.23069=""),"-",(965.23069-1040.17875)/5240739.99296*100)</f>
        <v>-1.4301045291443461E-3</v>
      </c>
      <c r="G92" s="117">
        <f>IF(OR(5302814.4312="",1008.70258="",965.23069=""),"-",(1008.70258-965.23069)/5302814.4312*100)</f>
        <v>8.1978901136396285E-4</v>
      </c>
    </row>
    <row r="93" spans="1:7" x14ac:dyDescent="0.25">
      <c r="A93" s="51" t="s">
        <v>94</v>
      </c>
      <c r="B93" s="45">
        <v>1001.75167</v>
      </c>
      <c r="C93" s="45">
        <f>IF(OR(828.87496="",1001.75167=""),"-",1001.75167/828.87496*100)</f>
        <v>120.85679002777452</v>
      </c>
      <c r="D93" s="45">
        <f>IF(828.87496="","-",828.87496/5302814.4312*100)</f>
        <v>1.5630849820487302E-2</v>
      </c>
      <c r="E93" s="45">
        <f>IF(1001.75167="","-",1001.75167/4848565.19176*100)</f>
        <v>2.0660785827989872E-2</v>
      </c>
      <c r="F93" s="117">
        <f>IF(OR(5240739.99296="",881.01766="",828.87496=""),"-",(828.87496-881.01766)/5240739.99296*100)</f>
        <v>-9.9494918790179261E-4</v>
      </c>
      <c r="G93" s="117">
        <f>IF(OR(5302814.4312="",1001.75167="",828.87496=""),"-",(1001.75167-828.87496)/5302814.4312*100)</f>
        <v>3.2600935266158064E-3</v>
      </c>
    </row>
    <row r="94" spans="1:7" x14ac:dyDescent="0.25">
      <c r="A94" s="51" t="s">
        <v>172</v>
      </c>
      <c r="B94" s="45">
        <v>696.43613000000005</v>
      </c>
      <c r="C94" s="45">
        <f>IF(OR(846.75754="",696.43613=""),"-",696.43613/846.75754*100)</f>
        <v>82.247408154168909</v>
      </c>
      <c r="D94" s="45">
        <f>IF(846.75754="","-",846.75754/5302814.4312*100)</f>
        <v>1.5968077913833069E-2</v>
      </c>
      <c r="E94" s="45">
        <f>IF(696.43613="","-",696.43613/4848565.19176*100)</f>
        <v>1.4363757162295633E-2</v>
      </c>
      <c r="F94" s="117">
        <f>IF(OR(5240739.99296="",599.65134="",846.75754=""),"-",(846.75754-599.65134)/5240739.99296*100)</f>
        <v>4.7151013088217132E-3</v>
      </c>
      <c r="G94" s="117">
        <f>IF(OR(5302814.4312="",696.43613="",846.75754=""),"-",(696.43613-846.75754)/5302814.4312*100)</f>
        <v>-2.8347476976670841E-3</v>
      </c>
    </row>
    <row r="95" spans="1:7" x14ac:dyDescent="0.25">
      <c r="A95" s="51" t="s">
        <v>178</v>
      </c>
      <c r="B95" s="45">
        <v>625.28049999999996</v>
      </c>
      <c r="C95" s="45" t="str">
        <f>IF(OR(""="",625.2805=""),"-",625.2805/""*100)</f>
        <v>-</v>
      </c>
      <c r="D95" s="45" t="str">
        <f>IF(""="","-",""/5302814.4312*100)</f>
        <v>-</v>
      </c>
      <c r="E95" s="45">
        <f>IF(625.2805="","-",625.2805/4848565.19176*100)</f>
        <v>1.289619661219873E-2</v>
      </c>
      <c r="F95" s="117" t="str">
        <f>IF(OR(5240739.99296="",16.63="",""=""),"-",(""-16.63)/5240739.99296*100)</f>
        <v>-</v>
      </c>
      <c r="G95" s="117" t="str">
        <f>IF(OR(5302814.4312="",625.2805="",""=""),"-",(625.2805-"")/5302814.4312*100)</f>
        <v>-</v>
      </c>
    </row>
    <row r="96" spans="1:7" x14ac:dyDescent="0.25">
      <c r="A96" s="51" t="s">
        <v>102</v>
      </c>
      <c r="B96" s="45">
        <v>608.12064999999996</v>
      </c>
      <c r="C96" s="45">
        <f>IF(OR(1279.94603="",608.12065=""),"-",608.12065/1279.94603*100)</f>
        <v>47.511429056114181</v>
      </c>
      <c r="D96" s="45">
        <f>IF(1279.94603="","-",1279.94603/5302814.4312*100)</f>
        <v>2.4137107692647555E-2</v>
      </c>
      <c r="E96" s="45">
        <f>IF(608.12065="","-",608.12065/4848565.19176*100)</f>
        <v>1.2542280570620849E-2</v>
      </c>
      <c r="F96" s="117">
        <f>IF(OR(5240739.99296="",880.87785="",1279.94603=""),"-",(1279.94603-880.87785)/5240739.99296*100)</f>
        <v>7.6147296094841001E-3</v>
      </c>
      <c r="G96" s="117">
        <f>IF(OR(5302814.4312="",608.12065="",1279.94603=""),"-",(608.12065-1279.94603)/5302814.4312*100)</f>
        <v>-1.2669222895057435E-2</v>
      </c>
    </row>
    <row r="97" spans="1:7" x14ac:dyDescent="0.25">
      <c r="A97" s="51" t="s">
        <v>93</v>
      </c>
      <c r="B97" s="45">
        <v>579.60837000000004</v>
      </c>
      <c r="C97" s="45">
        <f>IF(OR(735.64911="",579.60837=""),"-",579.60837/735.64911*100)</f>
        <v>78.788699955064189</v>
      </c>
      <c r="D97" s="45">
        <f>IF(735.64911="","-",735.64911/5302814.4312*100)</f>
        <v>1.3872805083875551E-2</v>
      </c>
      <c r="E97" s="45">
        <f>IF(579.60837="","-",579.60837/4848565.19176*100)</f>
        <v>1.1954224540180013E-2</v>
      </c>
      <c r="F97" s="117">
        <f>IF(OR(5240739.99296="",1090.80581="",735.64911=""),"-",(735.64911-1090.80581)/5240739.99296*100)</f>
        <v>-6.7768425924027865E-3</v>
      </c>
      <c r="G97" s="117">
        <f>IF(OR(5302814.4312="",579.60837="",735.64911=""),"-",(579.60837-735.64911)/5302814.4312*100)</f>
        <v>-2.9426023109899524E-3</v>
      </c>
    </row>
    <row r="98" spans="1:7" x14ac:dyDescent="0.25">
      <c r="A98" s="51" t="s">
        <v>95</v>
      </c>
      <c r="B98" s="45">
        <v>533.69770000000005</v>
      </c>
      <c r="C98" s="45">
        <f>IF(OR(385.09815="",533.6977=""),"-",533.6977/385.09815*100)</f>
        <v>138.58744842061694</v>
      </c>
      <c r="D98" s="45">
        <f>IF(385.09815="","-",385.09815/5302814.4312*100)</f>
        <v>7.2621464506510023E-3</v>
      </c>
      <c r="E98" s="45">
        <f>IF(533.6977="","-",533.6977/4848565.19176*100)</f>
        <v>1.1007332662186418E-2</v>
      </c>
      <c r="F98" s="117">
        <f>IF(OR(5240739.99296="",538.27567="",385.09815=""),"-",(385.09815-538.27567)/5240739.99296*100)</f>
        <v>-2.9228223534418173E-3</v>
      </c>
      <c r="G98" s="117">
        <f>IF(OR(5302814.4312="",533.6977="",385.09815=""),"-",(533.6977-385.09815)/5302814.4312*100)</f>
        <v>2.8022770158746199E-3</v>
      </c>
    </row>
    <row r="99" spans="1:7" x14ac:dyDescent="0.25">
      <c r="A99" s="51" t="s">
        <v>103</v>
      </c>
      <c r="B99" s="45">
        <v>532.55507999999998</v>
      </c>
      <c r="C99" s="45">
        <f>IF(OR(413.81226="",532.55508=""),"-",532.55508/413.81226*100)</f>
        <v>128.69485307177703</v>
      </c>
      <c r="D99" s="45">
        <f>IF(413.81226="","-",413.81226/5302814.4312*100)</f>
        <v>7.8036345674339638E-3</v>
      </c>
      <c r="E99" s="45">
        <f>IF(532.55508="","-",532.55508/4848565.19176*100)</f>
        <v>1.0983766515196338E-2</v>
      </c>
      <c r="F99" s="117">
        <f>IF(OR(5240739.99296="",637.68884="",413.81226=""),"-",(413.81226-637.68884)/5240739.99296*100)</f>
        <v>-4.2718505459293597E-3</v>
      </c>
      <c r="G99" s="117">
        <f>IF(OR(5302814.4312="",532.55508="",413.81226=""),"-",(532.55508-413.81226)/5302814.4312*100)</f>
        <v>2.2392414733835801E-3</v>
      </c>
    </row>
    <row r="100" spans="1:7" x14ac:dyDescent="0.25">
      <c r="A100" s="51" t="s">
        <v>112</v>
      </c>
      <c r="B100" s="45">
        <v>510.06297999999998</v>
      </c>
      <c r="C100" s="45">
        <f>IF(OR(453.80553="",510.06298=""),"-",510.06298/453.80553*100)</f>
        <v>112.39681896340048</v>
      </c>
      <c r="D100" s="45">
        <f>IF(453.80553="","-",453.80553/5302814.4312*100)</f>
        <v>8.5578240741361576E-3</v>
      </c>
      <c r="E100" s="45">
        <f>IF(510.06298="","-",510.06298/4848565.19176*100)</f>
        <v>1.0519874639756059E-2</v>
      </c>
      <c r="F100" s="117">
        <f>IF(OR(5240739.99296="",75.01705="",453.80553=""),"-",(453.80553-75.01705)/5240739.99296*100)</f>
        <v>7.2277670807716988E-3</v>
      </c>
      <c r="G100" s="117">
        <f>IF(OR(5302814.4312="",510.06298="",453.80553=""),"-",(510.06298-453.80553)/5302814.4312*100)</f>
        <v>1.0608979576769619E-3</v>
      </c>
    </row>
    <row r="101" spans="1:7" x14ac:dyDescent="0.25">
      <c r="A101" s="51" t="s">
        <v>91</v>
      </c>
      <c r="B101" s="45">
        <v>485.54444000000001</v>
      </c>
      <c r="C101" s="45">
        <f>IF(OR(457.07598="",485.54444=""),"-",485.54444/457.07598*100)</f>
        <v>106.22838679906128</v>
      </c>
      <c r="D101" s="45">
        <f>IF(457.07598="","-",457.07598/5302814.4312*100)</f>
        <v>8.6194979275668535E-3</v>
      </c>
      <c r="E101" s="45">
        <f>IF(485.54444="","-",485.54444/4848565.19176*100)</f>
        <v>1.0014188131886297E-2</v>
      </c>
      <c r="F101" s="117">
        <f>IF(OR(5240739.99296="",1215.09836="",457.07598=""),"-",(457.07598-1215.09836)/5240739.99296*100)</f>
        <v>-1.4464033342968127E-2</v>
      </c>
      <c r="G101" s="117">
        <f>IF(OR(5302814.4312="",485.54444="",457.07598=""),"-",(485.54444-457.07598)/5302814.4312*100)</f>
        <v>5.3685567106593474E-4</v>
      </c>
    </row>
    <row r="102" spans="1:7" x14ac:dyDescent="0.25">
      <c r="A102" s="51" t="s">
        <v>134</v>
      </c>
      <c r="B102" s="45">
        <v>358.25169</v>
      </c>
      <c r="C102" s="45">
        <f>IF(OR(933.35531="",358.25169=""),"-",358.25169/933.35531*100)</f>
        <v>38.383205855442128</v>
      </c>
      <c r="D102" s="45">
        <f>IF(933.35531="","-",933.35531/5302814.4312*100)</f>
        <v>1.7601130910945086E-2</v>
      </c>
      <c r="E102" s="45">
        <f>IF(358.25169="","-",358.25169/4848565.19176*100)</f>
        <v>7.3888186676099284E-3</v>
      </c>
      <c r="F102" s="117">
        <f>IF(OR(5240739.99296="",1599.82487="",933.35531=""),"-",(933.35531-1599.82487)/5240739.99296*100)</f>
        <v>-1.2717088825152229E-2</v>
      </c>
      <c r="G102" s="117">
        <f>IF(OR(5302814.4312="",358.25169="",933.35531=""),"-",(358.25169-933.35531)/5302814.4312*100)</f>
        <v>-1.0845252600511179E-2</v>
      </c>
    </row>
    <row r="103" spans="1:7" x14ac:dyDescent="0.25">
      <c r="A103" s="51" t="s">
        <v>99</v>
      </c>
      <c r="B103" s="45">
        <v>353.11860000000001</v>
      </c>
      <c r="C103" s="45">
        <f>IF(OR(745.88363="",353.1186=""),"-",353.1186/745.88363*100)</f>
        <v>47.34231799670949</v>
      </c>
      <c r="D103" s="45">
        <f>IF(745.88363="","-",745.88363/5302814.4312*100)</f>
        <v>1.4065806746158574E-2</v>
      </c>
      <c r="E103" s="45">
        <f>IF(353.1186="","-",353.1186/4848565.19176*100)</f>
        <v>7.2829504406811962E-3</v>
      </c>
      <c r="F103" s="117">
        <f>IF(OR(5240739.99296="",664.81322="",745.88363=""),"-",(745.88363-664.81322)/5240739.99296*100)</f>
        <v>1.5469267719616635E-3</v>
      </c>
      <c r="G103" s="117">
        <f>IF(OR(5302814.4312="",353.1186="",745.88363=""),"-",(353.1186-745.88363)/5302814.4312*100)</f>
        <v>-7.4067277875895657E-3</v>
      </c>
    </row>
    <row r="104" spans="1:7" x14ac:dyDescent="0.25">
      <c r="A104" s="51" t="s">
        <v>135</v>
      </c>
      <c r="B104" s="45">
        <v>266.80648000000002</v>
      </c>
      <c r="C104" s="45">
        <f>IF(OR(216.44155="",266.80648=""),"-",266.80648/216.44155*100)</f>
        <v>123.26952934868561</v>
      </c>
      <c r="D104" s="45">
        <f>IF(216.44155="","-",216.44155/5302814.4312*100)</f>
        <v>4.081635380761766E-3</v>
      </c>
      <c r="E104" s="45">
        <f>IF(266.80648="","-",266.80648/4848565.19176*100)</f>
        <v>5.5027924643238817E-3</v>
      </c>
      <c r="F104" s="117">
        <f>IF(OR(5240739.99296="",190.71019="",216.44155=""),"-",(216.44155-190.71019)/5240739.99296*100)</f>
        <v>4.9098715132911549E-4</v>
      </c>
      <c r="G104" s="117">
        <f>IF(OR(5302814.4312="",266.80648="",216.44155=""),"-",(266.80648-216.44155)/5302814.4312*100)</f>
        <v>9.4977734283269437E-4</v>
      </c>
    </row>
    <row r="105" spans="1:7" x14ac:dyDescent="0.25">
      <c r="A105" s="51" t="s">
        <v>108</v>
      </c>
      <c r="B105" s="45">
        <v>253.72402</v>
      </c>
      <c r="C105" s="45">
        <f>IF(OR(273.72948="",253.72402=""),"-",253.72402/273.72948*100)</f>
        <v>92.691521570858924</v>
      </c>
      <c r="D105" s="45">
        <f>IF(273.72948="","-",273.72948/5302814.4312*100)</f>
        <v>5.1619660380621008E-3</v>
      </c>
      <c r="E105" s="45">
        <f>IF(253.72402="","-",253.72402/4848565.19176*100)</f>
        <v>5.2329711979782565E-3</v>
      </c>
      <c r="F105" s="117">
        <f>IF(OR(5240739.99296="",56.54058="",273.72948=""),"-",(273.72948-56.54058)/5240739.99296*100)</f>
        <v>4.1442410860251522E-3</v>
      </c>
      <c r="G105" s="117">
        <f>IF(OR(5302814.4312="",253.72402="",273.72948=""),"-",(253.72402-273.72948)/5302814.4312*100)</f>
        <v>-3.7726117441135671E-4</v>
      </c>
    </row>
    <row r="106" spans="1:7" x14ac:dyDescent="0.25">
      <c r="A106" s="51" t="s">
        <v>153</v>
      </c>
      <c r="B106" s="45">
        <v>213.54397</v>
      </c>
      <c r="C106" s="45">
        <f>IF(OR(343.15721="",213.54397=""),"-",213.54397/343.15721*100)</f>
        <v>62.229195184329654</v>
      </c>
      <c r="D106" s="45">
        <f>IF(343.15721="","-",343.15721/5302814.4312*100)</f>
        <v>6.471227957383854E-3</v>
      </c>
      <c r="E106" s="45">
        <f>IF(213.54397="","-",213.54397/4848565.19176*100)</f>
        <v>4.4042713989473001E-3</v>
      </c>
      <c r="F106" s="117">
        <f>IF(OR(5240739.99296="",130.8388="",343.15721=""),"-",(343.15721-130.8388)/5240739.99296*100)</f>
        <v>4.0513059278882747E-3</v>
      </c>
      <c r="G106" s="117">
        <f>IF(OR(5302814.4312="",213.54397="",343.15721=""),"-",(213.54397-343.15721)/5302814.4312*100)</f>
        <v>-2.4442348809605467E-3</v>
      </c>
    </row>
    <row r="107" spans="1:7" x14ac:dyDescent="0.25">
      <c r="A107" s="51" t="s">
        <v>148</v>
      </c>
      <c r="B107" s="45">
        <v>205.14183</v>
      </c>
      <c r="C107" s="45" t="s">
        <v>104</v>
      </c>
      <c r="D107" s="45">
        <f>IF(122.78442="","-",122.78442/5302814.4312*100)</f>
        <v>2.3154576045048307E-3</v>
      </c>
      <c r="E107" s="45">
        <f>IF(205.14183="","-",205.14183/4848565.19176*100)</f>
        <v>4.2309801330222968E-3</v>
      </c>
      <c r="F107" s="117">
        <f>IF(OR(5240739.99296="",396.72142="",122.78442=""),"-",(122.78442-396.72142)/5240739.99296*100)</f>
        <v>-5.2270671769251197E-3</v>
      </c>
      <c r="G107" s="117">
        <f>IF(OR(5302814.4312="",205.14183="",122.78442=""),"-",(205.14183-122.78442)/5302814.4312*100)</f>
        <v>1.5530886676975971E-3</v>
      </c>
    </row>
    <row r="108" spans="1:7" x14ac:dyDescent="0.25">
      <c r="A108" s="51" t="s">
        <v>269</v>
      </c>
      <c r="B108" s="45">
        <v>194.42840000000001</v>
      </c>
      <c r="C108" s="45" t="str">
        <f>IF(OR(""="",194.4284=""),"-",194.4284/""*100)</f>
        <v>-</v>
      </c>
      <c r="D108" s="45" t="str">
        <f>IF(""="","-",""/5302814.4312*100)</f>
        <v>-</v>
      </c>
      <c r="E108" s="45">
        <f>IF(194.4284="","-",194.4284/4848565.19176*100)</f>
        <v>4.0100193007701667E-3</v>
      </c>
      <c r="F108" s="117" t="str">
        <f>IF(OR(5240739.99296="",0.02723="",""=""),"-",(""-0.02723)/5240739.99296*100)</f>
        <v>-</v>
      </c>
      <c r="G108" s="117" t="str">
        <f>IF(OR(5302814.4312="",194.4284="",""=""),"-",(194.4284-"")/5302814.4312*100)</f>
        <v>-</v>
      </c>
    </row>
    <row r="109" spans="1:7" x14ac:dyDescent="0.25">
      <c r="A109" s="51" t="s">
        <v>179</v>
      </c>
      <c r="B109" s="45">
        <v>142.54714999999999</v>
      </c>
      <c r="C109" s="45" t="s">
        <v>288</v>
      </c>
      <c r="D109" s="45">
        <f>IF(52.41287="","-",52.41287/5302814.4312*100)</f>
        <v>9.8839721208458776E-4</v>
      </c>
      <c r="E109" s="45">
        <f>IF(142.54715="","-",142.54715/4848565.19176*100)</f>
        <v>2.9399862508243647E-3</v>
      </c>
      <c r="F109" s="117">
        <f>IF(OR(5240739.99296="",14.08697="",52.41287=""),"-",(52.41287-14.08697)/5240739.99296*100)</f>
        <v>7.3130703014238462E-4</v>
      </c>
      <c r="G109" s="117">
        <f>IF(OR(5302814.4312="",142.54715="",52.41287=""),"-",(142.54715-52.41287)/5302814.4312*100)</f>
        <v>1.6997441862132644E-3</v>
      </c>
    </row>
    <row r="110" spans="1:7" x14ac:dyDescent="0.25">
      <c r="A110" s="51" t="s">
        <v>240</v>
      </c>
      <c r="B110" s="45">
        <v>141.35075000000001</v>
      </c>
      <c r="C110" s="45" t="s">
        <v>20</v>
      </c>
      <c r="D110" s="45">
        <f>IF(69.27033="","-",69.27033/5302814.4312*100)</f>
        <v>1.3062936842073213E-3</v>
      </c>
      <c r="E110" s="45">
        <f>IF(141.35075="","-",141.35075/4848565.19176*100)</f>
        <v>2.9153109097145198E-3</v>
      </c>
      <c r="F110" s="117">
        <f>IF(OR(5240739.99296="",45.61821="",69.27033=""),"-",(69.27033-45.61821)/5240739.99296*100)</f>
        <v>4.5131260149849846E-4</v>
      </c>
      <c r="G110" s="117">
        <f>IF(OR(5302814.4312="",141.35075="",69.27033=""),"-",(141.35075-69.27033)/5302814.4312*100)</f>
        <v>1.3592861099551727E-3</v>
      </c>
    </row>
    <row r="111" spans="1:7" x14ac:dyDescent="0.25">
      <c r="A111" s="51" t="s">
        <v>155</v>
      </c>
      <c r="B111" s="45">
        <v>138.86555999999999</v>
      </c>
      <c r="C111" s="45" t="s">
        <v>106</v>
      </c>
      <c r="D111" s="45">
        <f>IF(74.32264="","-",74.32264/5302814.4312*100)</f>
        <v>1.4015696940611435E-3</v>
      </c>
      <c r="E111" s="45">
        <f>IF(138.86556="","-",138.86556/4848565.19176*100)</f>
        <v>2.8640547153206911E-3</v>
      </c>
      <c r="F111" s="117">
        <f>IF(OR(5240739.99296="",1.45149="",74.32264=""),"-",(74.32264-1.45149)/5240739.99296*100)</f>
        <v>1.3904744386840293E-3</v>
      </c>
      <c r="G111" s="117">
        <f>IF(OR(5302814.4312="",138.86556="",74.32264=""),"-",(138.86556-74.32264)/5302814.4312*100)</f>
        <v>1.2171446094785226E-3</v>
      </c>
    </row>
    <row r="112" spans="1:7" x14ac:dyDescent="0.25">
      <c r="A112" s="51" t="s">
        <v>164</v>
      </c>
      <c r="B112" s="45">
        <v>127.47689</v>
      </c>
      <c r="C112" s="45">
        <f>IF(OR(152.5251="",127.47689=""),"-",127.47689/152.5251*100)</f>
        <v>83.577647220031309</v>
      </c>
      <c r="D112" s="45">
        <f>IF(152.5251="","-",152.5251/5302814.4312*100)</f>
        <v>2.8763046864810683E-3</v>
      </c>
      <c r="E112" s="45">
        <f>IF(127.47689="","-",127.47689/4848565.19176*100)</f>
        <v>2.6291672888433754E-3</v>
      </c>
      <c r="F112" s="117">
        <f>IF(OR(5240739.99296="",48.586="",152.5251=""),"-",(152.5251-48.586)/5240739.99296*100)</f>
        <v>1.9832905303377702E-3</v>
      </c>
      <c r="G112" s="117">
        <f>IF(OR(5302814.4312="",127.47689="",152.5251=""),"-",(127.47689-152.5251)/5302814.4312*100)</f>
        <v>-4.7235690264069315E-4</v>
      </c>
    </row>
    <row r="113" spans="1:7" x14ac:dyDescent="0.25">
      <c r="A113" s="51" t="s">
        <v>163</v>
      </c>
      <c r="B113" s="45">
        <v>118.78903</v>
      </c>
      <c r="C113" s="45">
        <f>IF(OR(136.59589="",118.78903=""),"-",118.78903/136.59589*100)</f>
        <v>86.963839102333168</v>
      </c>
      <c r="D113" s="45">
        <f>IF(136.59589="","-",136.59589/5302814.4312*100)</f>
        <v>2.5759130697901684E-3</v>
      </c>
      <c r="E113" s="45">
        <f>IF(118.78903="","-",118.78903/4848565.19176*100)</f>
        <v>2.4499831455680665E-3</v>
      </c>
      <c r="F113" s="117">
        <f>IF(OR(5240739.99296="",73.45063="",136.59589=""),"-",(136.59589-73.45063)/5240739.99296*100)</f>
        <v>1.2048920588471168E-3</v>
      </c>
      <c r="G113" s="117">
        <f>IF(OR(5302814.4312="",118.78903="",136.59589=""),"-",(118.78903-136.59589)/5302814.4312*100)</f>
        <v>-3.3580017236187535E-4</v>
      </c>
    </row>
    <row r="114" spans="1:7" x14ac:dyDescent="0.25">
      <c r="A114" s="51" t="s">
        <v>174</v>
      </c>
      <c r="B114" s="45">
        <v>114.31792</v>
      </c>
      <c r="C114" s="45">
        <f>IF(OR(120.10992="",114.31792=""),"-",114.31792/120.10992*100)</f>
        <v>95.177750513862634</v>
      </c>
      <c r="D114" s="45">
        <f>IF(120.10992="","-",120.10992/5302814.4312*100)</f>
        <v>2.265022122843166E-3</v>
      </c>
      <c r="E114" s="45">
        <f>IF(114.31792="","-",114.31792/4848565.19176*100)</f>
        <v>2.3577680298963511E-3</v>
      </c>
      <c r="F114" s="117">
        <f>IF(OR(5240739.99296="",100.40752="",120.10992=""),"-",(120.10992-100.40752)/5240739.99296*100)</f>
        <v>3.7594690876606467E-4</v>
      </c>
      <c r="G114" s="117">
        <f>IF(OR(5302814.4312="",114.31792="",120.10992=""),"-",(114.31792-120.10992)/5302814.4312*100)</f>
        <v>-1.0922501767970222E-4</v>
      </c>
    </row>
    <row r="115" spans="1:7" x14ac:dyDescent="0.25">
      <c r="A115" s="51" t="s">
        <v>61</v>
      </c>
      <c r="B115" s="45">
        <v>110.14489</v>
      </c>
      <c r="C115" s="45">
        <f>IF(OR(308.11923="",110.14489=""),"-",110.14489/308.11923*100)</f>
        <v>35.747489697413563</v>
      </c>
      <c r="D115" s="45">
        <f>IF(308.11923="","-",308.11923/5302814.4312*100)</f>
        <v>5.810484866057705E-3</v>
      </c>
      <c r="E115" s="45">
        <f>IF(110.14489="","-",110.14489/4848565.19176*100)</f>
        <v>2.2717007123506999E-3</v>
      </c>
      <c r="F115" s="117">
        <f>IF(OR(5240739.99296="",481.75588="",308.11923=""),"-",(308.11923-481.75588)/5240739.99296*100)</f>
        <v>-3.3132086352929135E-3</v>
      </c>
      <c r="G115" s="117">
        <f>IF(OR(5302814.4312="",110.14489="",308.11923=""),"-",(110.14489-308.11923)/5302814.4312*100)</f>
        <v>-3.733382387193953E-3</v>
      </c>
    </row>
    <row r="116" spans="1:7" x14ac:dyDescent="0.25">
      <c r="A116" s="51" t="s">
        <v>149</v>
      </c>
      <c r="B116" s="45">
        <v>103.43731</v>
      </c>
      <c r="C116" s="45">
        <f>IF(OR(122.98221="",103.43731=""),"-",103.43731/122.98221*100)</f>
        <v>84.107538805815892</v>
      </c>
      <c r="D116" s="45">
        <f>IF(122.98221="","-",122.98221/5302814.4312*100)</f>
        <v>2.319187510624801E-3</v>
      </c>
      <c r="E116" s="45">
        <f>IF(103.43731="","-",103.43731/4848565.19176*100)</f>
        <v>2.1333591672808442E-3</v>
      </c>
      <c r="F116" s="117">
        <f>IF(OR(5240739.99296="",37.84026="",122.98221=""),"-",(122.98221-37.84026)/5240739.99296*100)</f>
        <v>1.6246169455911383E-3</v>
      </c>
      <c r="G116" s="117">
        <f>IF(OR(5302814.4312="",103.43731="",122.98221=""),"-",(103.43731-122.98221)/5302814.4312*100)</f>
        <v>-3.6857597514641078E-4</v>
      </c>
    </row>
    <row r="117" spans="1:7" x14ac:dyDescent="0.25">
      <c r="A117" s="51" t="s">
        <v>147</v>
      </c>
      <c r="B117" s="45">
        <v>98.703299999999999</v>
      </c>
      <c r="C117" s="45" t="s">
        <v>258</v>
      </c>
      <c r="D117" s="45">
        <f>IF(38.97204="","-",38.97204/5302814.4312*100)</f>
        <v>7.3493124275104645E-4</v>
      </c>
      <c r="E117" s="45">
        <f>IF(98.7033="","-",98.7033/4848565.19176*100)</f>
        <v>2.0357218289596989E-3</v>
      </c>
      <c r="F117" s="117">
        <f>IF(OR(5240739.99296="",18.94727="",38.97204=""),"-",(38.97204-18.94727)/5240739.99296*100)</f>
        <v>3.8209813932573843E-4</v>
      </c>
      <c r="G117" s="117">
        <f>IF(OR(5302814.4312="",98.7033="",38.97204=""),"-",(98.7033-38.97204)/5302814.4312*100)</f>
        <v>1.1264067557891727E-3</v>
      </c>
    </row>
    <row r="118" spans="1:7" x14ac:dyDescent="0.25">
      <c r="A118" s="51" t="s">
        <v>154</v>
      </c>
      <c r="B118" s="45">
        <v>93.094220000000007</v>
      </c>
      <c r="C118" s="45">
        <f>IF(OR(146.47599="",93.09422=""),"-",93.09422/146.47599*100)</f>
        <v>63.555958898110198</v>
      </c>
      <c r="D118" s="45">
        <f>IF(146.47599="","-",146.47599/5302814.4312*100)</f>
        <v>2.7622311114298827E-3</v>
      </c>
      <c r="E118" s="45">
        <f>IF(93.09422="","-",93.09422/4848565.19176*100)</f>
        <v>1.9200364709586872E-3</v>
      </c>
      <c r="F118" s="117">
        <f>IF(OR(5240739.99296="",103.87099="",146.47599=""),"-",(146.47599-103.87099)/5240739.99296*100)</f>
        <v>8.1295771317089203E-4</v>
      </c>
      <c r="G118" s="117">
        <f>IF(OR(5302814.4312="",93.09422="",146.47599=""),"-",(93.09422-146.47599)/5302814.4312*100)</f>
        <v>-1.0066686415786939E-3</v>
      </c>
    </row>
    <row r="119" spans="1:7" x14ac:dyDescent="0.25">
      <c r="A119" s="51" t="s">
        <v>110</v>
      </c>
      <c r="B119" s="45">
        <v>89.236369999999994</v>
      </c>
      <c r="C119" s="45">
        <f>IF(OR(68.64989="",89.23637=""),"-",89.23637/68.64989*100)</f>
        <v>129.98763727079532</v>
      </c>
      <c r="D119" s="45">
        <f>IF(68.64989="","-",68.64989/5302814.4312*100)</f>
        <v>1.2945934822098776E-3</v>
      </c>
      <c r="E119" s="45">
        <f>IF(89.23637="","-",89.23637/4848565.19176*100)</f>
        <v>1.8404696331948819E-3</v>
      </c>
      <c r="F119" s="117">
        <f>IF(OR(5240739.99296="",206.76552="",68.64989=""),"-",(68.64989-206.76552)/5240739.99296*100)</f>
        <v>-2.6354222912324159E-3</v>
      </c>
      <c r="G119" s="117">
        <f>IF(OR(5302814.4312="",89.23637="",68.64989=""),"-",(89.23637-68.64989)/5302814.4312*100)</f>
        <v>3.8821799757645628E-4</v>
      </c>
    </row>
    <row r="120" spans="1:7" x14ac:dyDescent="0.25">
      <c r="A120" s="51" t="s">
        <v>144</v>
      </c>
      <c r="B120" s="45">
        <v>71.656660000000002</v>
      </c>
      <c r="C120" s="45">
        <f>IF(OR(72.52356="",71.65666=""),"-",71.65666/72.52356*100)</f>
        <v>98.804664304951388</v>
      </c>
      <c r="D120" s="45">
        <f>IF(72.52356="","-",72.52356/5302814.4312*100)</f>
        <v>1.3676428044190165E-3</v>
      </c>
      <c r="E120" s="45">
        <f>IF(71.65666="","-",71.65666/4848565.19176*100)</f>
        <v>1.4778941226113343E-3</v>
      </c>
      <c r="F120" s="117">
        <f>IF(OR(5240739.99296="",264.01081="",72.52356=""),"-",(72.52356-264.01081)/5240739.99296*100)</f>
        <v>-3.6538208393705656E-3</v>
      </c>
      <c r="G120" s="117">
        <f>IF(OR(5302814.4312="",71.65666="",72.52356=""),"-",(71.65666-72.52356)/5302814.4312*100)</f>
        <v>-1.6347922621984455E-5</v>
      </c>
    </row>
    <row r="121" spans="1:7" x14ac:dyDescent="0.25">
      <c r="A121" s="51" t="s">
        <v>247</v>
      </c>
      <c r="B121" s="45">
        <v>70.420310000000001</v>
      </c>
      <c r="C121" s="45">
        <f>IF(OR(63.72345="",70.42031=""),"-",70.42031/63.72345*100)</f>
        <v>110.50925522707888</v>
      </c>
      <c r="D121" s="45">
        <f>IF(63.72345="","-",63.72345/5302814.4312*100)</f>
        <v>1.2016911175520752E-3</v>
      </c>
      <c r="E121" s="45">
        <f>IF(70.42031="","-",70.42031/4848565.19176*100)</f>
        <v>1.4523948264050846E-3</v>
      </c>
      <c r="F121" s="117">
        <f>IF(OR(5240739.99296="",95.10551="",63.72345=""),"-",(63.72345-95.10551)/5240739.99296*100)</f>
        <v>-5.988097108835049E-4</v>
      </c>
      <c r="G121" s="117">
        <f>IF(OR(5302814.4312="",70.42031="",63.72345=""),"-",(70.42031-63.72345)/5302814.4312*100)</f>
        <v>1.2628878658468414E-4</v>
      </c>
    </row>
    <row r="122" spans="1:7" x14ac:dyDescent="0.25">
      <c r="A122" s="52" t="s">
        <v>180</v>
      </c>
      <c r="B122" s="50">
        <v>60.54101</v>
      </c>
      <c r="C122" s="50">
        <f>IF(OR(106.91739="",60.54101=""),"-",60.54101/106.91739*100)</f>
        <v>56.624100158075322</v>
      </c>
      <c r="D122" s="50">
        <f>IF(106.91739="","-",106.91739/5302814.4312*100)</f>
        <v>2.0162385726895053E-3</v>
      </c>
      <c r="E122" s="50">
        <f>IF(60.54101="","-",60.54101/4848565.19176*100)</f>
        <v>1.2486376403247656E-3</v>
      </c>
      <c r="F122" s="119">
        <f>IF(OR(5240739.99296="",117.43586="",106.91739=""),"-",(106.91739-117.43586)/5240739.99296*100)</f>
        <v>-2.0070581662379162E-4</v>
      </c>
      <c r="G122" s="119">
        <f>IF(OR(5302814.4312="",60.54101="",106.91739=""),"-",(60.54101-106.91739)/5302814.4312*100)</f>
        <v>-8.7456162386405161E-4</v>
      </c>
    </row>
    <row r="123" spans="1:7" x14ac:dyDescent="0.25">
      <c r="A123" s="35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1"/>
  <sheetViews>
    <sheetView workbookViewId="0">
      <selection activeCell="F150" sqref="F150"/>
    </sheetView>
  </sheetViews>
  <sheetFormatPr defaultRowHeight="15.75" x14ac:dyDescent="0.25"/>
  <cols>
    <col min="1" max="1" width="43.25" customWidth="1"/>
    <col min="2" max="2" width="16" customWidth="1"/>
    <col min="3" max="3" width="15.625" customWidth="1"/>
    <col min="4" max="4" width="14.875" customWidth="1"/>
  </cols>
  <sheetData>
    <row r="1" spans="1:5" x14ac:dyDescent="0.25">
      <c r="A1" s="94" t="s">
        <v>159</v>
      </c>
      <c r="B1" s="94"/>
      <c r="C1" s="94"/>
      <c r="D1" s="94"/>
    </row>
    <row r="2" spans="1:5" x14ac:dyDescent="0.25">
      <c r="A2" s="4"/>
    </row>
    <row r="3" spans="1:5" ht="25.5" customHeight="1" x14ac:dyDescent="0.25">
      <c r="A3" s="95"/>
      <c r="B3" s="99" t="s">
        <v>283</v>
      </c>
      <c r="C3" s="100"/>
      <c r="D3" s="97" t="s">
        <v>284</v>
      </c>
      <c r="E3" s="1"/>
    </row>
    <row r="4" spans="1:5" ht="27.75" customHeight="1" x14ac:dyDescent="0.25">
      <c r="A4" s="96"/>
      <c r="B4" s="21">
        <v>2019</v>
      </c>
      <c r="C4" s="20">
        <v>2020</v>
      </c>
      <c r="D4" s="98"/>
      <c r="E4" s="1"/>
    </row>
    <row r="5" spans="1:5" ht="16.5" customHeight="1" x14ac:dyDescent="0.25">
      <c r="A5" s="63" t="s">
        <v>256</v>
      </c>
      <c r="B5" s="40">
        <v>-2741941.7810200001</v>
      </c>
      <c r="C5" s="40">
        <v>-2581620.64494</v>
      </c>
      <c r="D5" s="57">
        <f>IF(-2741941.78102="","-",-2581620.64494/-2741941.78102*100)</f>
        <v>94.153007288857864</v>
      </c>
    </row>
    <row r="6" spans="1:5" x14ac:dyDescent="0.25">
      <c r="A6" s="66" t="s">
        <v>151</v>
      </c>
      <c r="B6" s="36"/>
      <c r="C6" s="36"/>
      <c r="D6" s="112"/>
    </row>
    <row r="7" spans="1:5" x14ac:dyDescent="0.25">
      <c r="A7" s="42" t="s">
        <v>263</v>
      </c>
      <c r="B7" s="43">
        <v>-952045.57082999998</v>
      </c>
      <c r="C7" s="43">
        <v>-702289.67168999999</v>
      </c>
      <c r="D7" s="59">
        <f>IF(-952045.57083="","-",-702289.67169/-952045.57083*100)</f>
        <v>73.76639240889898</v>
      </c>
    </row>
    <row r="8" spans="1:5" x14ac:dyDescent="0.25">
      <c r="A8" s="46" t="s">
        <v>4</v>
      </c>
      <c r="B8" s="45">
        <v>-211892.23298</v>
      </c>
      <c r="C8" s="45">
        <v>-200407.54736999999</v>
      </c>
      <c r="D8" s="60">
        <f>IF(OR(-211892.23298="",-200407.54737="",-211892.23298=0),"-",-200407.54737/-211892.23298*100)</f>
        <v>94.579940260913659</v>
      </c>
    </row>
    <row r="9" spans="1:5" x14ac:dyDescent="0.25">
      <c r="A9" s="46" t="s">
        <v>3</v>
      </c>
      <c r="B9" s="45">
        <v>-129948.31138</v>
      </c>
      <c r="C9" s="45">
        <v>-116926.39417</v>
      </c>
      <c r="D9" s="60">
        <f>IF(OR(-129948.31138="",-116926.39417="",-129948.31138=0),"-",-116926.39417/-129948.31138*100)</f>
        <v>89.979156272434508</v>
      </c>
    </row>
    <row r="10" spans="1:5" x14ac:dyDescent="0.25">
      <c r="A10" s="46" t="s">
        <v>5</v>
      </c>
      <c r="B10" s="45">
        <v>-77835.654160000006</v>
      </c>
      <c r="C10" s="45">
        <v>-95449.692599999995</v>
      </c>
      <c r="D10" s="60">
        <f>IF(OR(-77835.65416="",-95449.6926="",-77835.65416=0),"-",-95449.6926/-77835.65416*100)</f>
        <v>122.62978146723395</v>
      </c>
    </row>
    <row r="11" spans="1:5" x14ac:dyDescent="0.25">
      <c r="A11" s="46" t="s">
        <v>125</v>
      </c>
      <c r="B11" s="45">
        <v>-103902.56094</v>
      </c>
      <c r="C11" s="45">
        <v>-80993.220449999993</v>
      </c>
      <c r="D11" s="60">
        <f>IF(OR(-103902.56094="",-80993.22045="",-103902.56094=0),"-",-80993.22045/-103902.56094*100)</f>
        <v>77.95113009463806</v>
      </c>
    </row>
    <row r="12" spans="1:5" x14ac:dyDescent="0.25">
      <c r="A12" s="46" t="s">
        <v>43</v>
      </c>
      <c r="B12" s="45">
        <v>-92021.673079999993</v>
      </c>
      <c r="C12" s="45">
        <v>-67390.276289999994</v>
      </c>
      <c r="D12" s="60">
        <f>IF(OR(-92021.67308="",-67390.27629="",-92021.67308=0),"-",-67390.27629/-92021.67308*100)</f>
        <v>73.233048296582865</v>
      </c>
    </row>
    <row r="13" spans="1:5" x14ac:dyDescent="0.25">
      <c r="A13" s="46" t="s">
        <v>41</v>
      </c>
      <c r="B13" s="45">
        <v>-40112.47176</v>
      </c>
      <c r="C13" s="45">
        <v>-41160.989009999998</v>
      </c>
      <c r="D13" s="60">
        <f>IF(OR(-40112.47176="",-41160.98901="",-40112.47176=0),"-",-41160.98901/-40112.47176*100)</f>
        <v>102.61394325503915</v>
      </c>
    </row>
    <row r="14" spans="1:5" x14ac:dyDescent="0.25">
      <c r="A14" s="46" t="s">
        <v>8</v>
      </c>
      <c r="B14" s="45">
        <v>-56957.471579999998</v>
      </c>
      <c r="C14" s="45">
        <v>-35875.060539999999</v>
      </c>
      <c r="D14" s="60">
        <f>IF(OR(-56957.47158="",-35875.06054="",-56957.47158=0),"-",-35875.06054/-56957.47158*100)</f>
        <v>62.985697125988892</v>
      </c>
    </row>
    <row r="15" spans="1:5" x14ac:dyDescent="0.25">
      <c r="A15" s="46" t="s">
        <v>42</v>
      </c>
      <c r="B15" s="45">
        <v>-25315.325929999999</v>
      </c>
      <c r="C15" s="45">
        <v>-25559.697980000001</v>
      </c>
      <c r="D15" s="60">
        <f>IF(OR(-25315.32593="",-25559.69798="",-25315.32593=0),"-",-25559.69798/-25315.32593*100)</f>
        <v>100.96531267531661</v>
      </c>
    </row>
    <row r="16" spans="1:5" x14ac:dyDescent="0.25">
      <c r="A16" s="46" t="s">
        <v>53</v>
      </c>
      <c r="B16" s="45">
        <v>-21108.885180000001</v>
      </c>
      <c r="C16" s="45">
        <v>-23735.413629999999</v>
      </c>
      <c r="D16" s="60">
        <f>IF(OR(-21108.88518="",-23735.41363="",-21108.88518=0),"-",-23735.41363/-21108.88518*100)</f>
        <v>112.44276250310247</v>
      </c>
    </row>
    <row r="17" spans="1:4" x14ac:dyDescent="0.25">
      <c r="A17" s="46" t="s">
        <v>51</v>
      </c>
      <c r="B17" s="45">
        <v>-22725.65739</v>
      </c>
      <c r="C17" s="45">
        <v>-18549.987860000001</v>
      </c>
      <c r="D17" s="60">
        <f>IF(OR(-22725.65739="",-18549.98786="",-22725.65739=0),"-",-18549.98786/-22725.65739*100)</f>
        <v>81.625748120987581</v>
      </c>
    </row>
    <row r="18" spans="1:4" x14ac:dyDescent="0.25">
      <c r="A18" s="46" t="s">
        <v>45</v>
      </c>
      <c r="B18" s="45">
        <v>-18910.587899999999</v>
      </c>
      <c r="C18" s="45">
        <v>-18513.765100000001</v>
      </c>
      <c r="D18" s="60">
        <f>IF(OR(-18910.5879="",-18513.7651="",-18910.5879=0),"-",-18513.7651/-18910.5879*100)</f>
        <v>97.90158401156846</v>
      </c>
    </row>
    <row r="19" spans="1:4" x14ac:dyDescent="0.25">
      <c r="A19" s="113" t="s">
        <v>7</v>
      </c>
      <c r="B19" s="45">
        <v>-46017.533790000001</v>
      </c>
      <c r="C19" s="45">
        <v>-11787.261829999999</v>
      </c>
      <c r="D19" s="60">
        <f>IF(OR(-46017.53379="",-11787.26183="",-46017.53379=0),"-",-11787.26183/-46017.53379*100)</f>
        <v>25.614718693511279</v>
      </c>
    </row>
    <row r="20" spans="1:4" x14ac:dyDescent="0.25">
      <c r="A20" s="46" t="s">
        <v>49</v>
      </c>
      <c r="B20" s="45">
        <v>-10727.360909999999</v>
      </c>
      <c r="C20" s="45">
        <v>-11533.053879999999</v>
      </c>
      <c r="D20" s="60">
        <f>IF(OR(-10727.36091="",-11533.05388="",-10727.36091=0),"-",-11533.05388/-10727.36091*100)</f>
        <v>107.51063543736032</v>
      </c>
    </row>
    <row r="21" spans="1:4" x14ac:dyDescent="0.25">
      <c r="A21" s="46" t="s">
        <v>50</v>
      </c>
      <c r="B21" s="45">
        <v>-11530.18015</v>
      </c>
      <c r="C21" s="45">
        <v>-9766.4409099999993</v>
      </c>
      <c r="D21" s="60">
        <f>IF(OR(-11530.18015="",-9766.44091="",-11530.18015=0),"-",-9766.44091/-11530.18015*100)</f>
        <v>84.703281153850824</v>
      </c>
    </row>
    <row r="22" spans="1:4" x14ac:dyDescent="0.25">
      <c r="A22" s="46" t="s">
        <v>52</v>
      </c>
      <c r="B22" s="45">
        <v>-10191.49992</v>
      </c>
      <c r="C22" s="45">
        <v>-9099.9976600000009</v>
      </c>
      <c r="D22" s="60">
        <f>IF(OR(-10191.49992="",-9099.99766="",-10191.49992=0),"-",-9099.99766/-10191.49992*100)</f>
        <v>89.29007242733708</v>
      </c>
    </row>
    <row r="23" spans="1:4" x14ac:dyDescent="0.25">
      <c r="A23" s="46" t="s">
        <v>54</v>
      </c>
      <c r="B23" s="45">
        <v>-6858.0944</v>
      </c>
      <c r="C23" s="45">
        <v>-5848.18923</v>
      </c>
      <c r="D23" s="60">
        <f>IF(OR(-6858.0944="",-5848.18923="",-6858.0944=0),"-",-5848.18923/-6858.0944*100)</f>
        <v>85.274259712727201</v>
      </c>
    </row>
    <row r="24" spans="1:4" x14ac:dyDescent="0.25">
      <c r="A24" s="46" t="s">
        <v>44</v>
      </c>
      <c r="B24" s="45">
        <v>-6261.3845000000001</v>
      </c>
      <c r="C24" s="45">
        <v>-4919.8304500000004</v>
      </c>
      <c r="D24" s="60">
        <f>IF(OR(-6261.3845="",-4919.83045="",-6261.3845=0),"-",-4919.83045/-6261.3845*100)</f>
        <v>78.574162790992958</v>
      </c>
    </row>
    <row r="25" spans="1:4" x14ac:dyDescent="0.25">
      <c r="A25" s="46" t="s">
        <v>46</v>
      </c>
      <c r="B25" s="45">
        <v>-3182.75882</v>
      </c>
      <c r="C25" s="45">
        <v>-4362.8400300000003</v>
      </c>
      <c r="D25" s="60">
        <f>IF(OR(-3182.75882="",-4362.84003="",-3182.75882=0),"-",-4362.84003/-3182.75882*100)</f>
        <v>137.07730546796506</v>
      </c>
    </row>
    <row r="26" spans="1:4" x14ac:dyDescent="0.25">
      <c r="A26" s="46" t="s">
        <v>6</v>
      </c>
      <c r="B26" s="45">
        <v>1533.4201700000001</v>
      </c>
      <c r="C26" s="45">
        <v>-3859.9435699999999</v>
      </c>
      <c r="D26" s="60" t="s">
        <v>22</v>
      </c>
    </row>
    <row r="27" spans="1:4" x14ac:dyDescent="0.25">
      <c r="A27" s="46" t="s">
        <v>126</v>
      </c>
      <c r="B27" s="45">
        <v>-4282.2878099999998</v>
      </c>
      <c r="C27" s="45">
        <v>-3526.2634899999998</v>
      </c>
      <c r="D27" s="60">
        <f>IF(OR(-4282.28781="",-3526.26349="",-4282.28781=0),"-",-3526.26349/-4282.28781*100)</f>
        <v>82.34531742040943</v>
      </c>
    </row>
    <row r="28" spans="1:4" x14ac:dyDescent="0.25">
      <c r="A28" s="46" t="s">
        <v>10</v>
      </c>
      <c r="B28" s="45">
        <v>-16948.27909</v>
      </c>
      <c r="C28" s="45">
        <v>-1526.3257799999999</v>
      </c>
      <c r="D28" s="60">
        <f>IF(OR(-16948.27909="",-1526.32578="",-16948.27909=0),"-",-1526.32578/-16948.27909*100)</f>
        <v>9.0057862033944112</v>
      </c>
    </row>
    <row r="29" spans="1:4" x14ac:dyDescent="0.25">
      <c r="A29" s="46" t="s">
        <v>55</v>
      </c>
      <c r="B29" s="45">
        <v>-1800.1595199999999</v>
      </c>
      <c r="C29" s="45">
        <v>-1197.92985</v>
      </c>
      <c r="D29" s="60">
        <f>IF(OR(-1800.15952="",-1197.92985="",-1800.15952=0),"-",-1197.92985/-1800.15952*100)</f>
        <v>66.5457609001229</v>
      </c>
    </row>
    <row r="30" spans="1:4" x14ac:dyDescent="0.25">
      <c r="A30" s="46" t="s">
        <v>56</v>
      </c>
      <c r="B30" s="45">
        <v>364.03500000000003</v>
      </c>
      <c r="C30" s="45">
        <v>-103.21502</v>
      </c>
      <c r="D30" s="60" t="s">
        <v>22</v>
      </c>
    </row>
    <row r="31" spans="1:4" x14ac:dyDescent="0.25">
      <c r="A31" s="46" t="s">
        <v>47</v>
      </c>
      <c r="B31" s="45">
        <v>-1235.2946300000001</v>
      </c>
      <c r="C31" s="45">
        <v>1664.0594100000001</v>
      </c>
      <c r="D31" s="60" t="s">
        <v>22</v>
      </c>
    </row>
    <row r="32" spans="1:4" x14ac:dyDescent="0.25">
      <c r="A32" s="46" t="s">
        <v>9</v>
      </c>
      <c r="B32" s="45">
        <v>15846.672130000001</v>
      </c>
      <c r="C32" s="45">
        <v>4157.1141299999999</v>
      </c>
      <c r="D32" s="60">
        <f>IF(OR(15846.67213="",4157.11413="",15846.67213=0),"-",4157.11413/15846.67213*100)</f>
        <v>26.233357362963243</v>
      </c>
    </row>
    <row r="33" spans="1:4" x14ac:dyDescent="0.25">
      <c r="A33" s="46" t="s">
        <v>48</v>
      </c>
      <c r="B33" s="45">
        <v>8807.7139299999999</v>
      </c>
      <c r="C33" s="45">
        <v>9501.5221700000002</v>
      </c>
      <c r="D33" s="60">
        <f>IF(OR(8807.71393="",9501.52217="",8807.71393=0),"-",9501.52217/8807.71393*100)</f>
        <v>107.87727945655475</v>
      </c>
    </row>
    <row r="34" spans="1:4" x14ac:dyDescent="0.25">
      <c r="A34" s="113" t="s">
        <v>2</v>
      </c>
      <c r="B34" s="45">
        <v>-58831.74624</v>
      </c>
      <c r="C34" s="45">
        <v>74480.969299999997</v>
      </c>
      <c r="D34" s="60" t="s">
        <v>22</v>
      </c>
    </row>
    <row r="35" spans="1:4" x14ac:dyDescent="0.25">
      <c r="A35" s="42" t="s">
        <v>169</v>
      </c>
      <c r="B35" s="43">
        <v>-873364.06431000005</v>
      </c>
      <c r="C35" s="43">
        <v>-842774.09739000001</v>
      </c>
      <c r="D35" s="59">
        <f>IF(-873364.06431="","-",-842774.09739/-873364.06431*100)</f>
        <v>96.497455280099302</v>
      </c>
    </row>
    <row r="36" spans="1:4" x14ac:dyDescent="0.25">
      <c r="A36" s="46" t="s">
        <v>12</v>
      </c>
      <c r="B36" s="45">
        <v>-448776.70111000002</v>
      </c>
      <c r="C36" s="45">
        <v>-418646.68722000002</v>
      </c>
      <c r="D36" s="60">
        <f>IF(OR(-448776.70111="",-418646.68722="",-448776.70111=0),"-",-418646.68722/-448776.70111*100)</f>
        <v>93.286190255537619</v>
      </c>
    </row>
    <row r="37" spans="1:4" x14ac:dyDescent="0.25">
      <c r="A37" s="46" t="s">
        <v>127</v>
      </c>
      <c r="B37" s="45">
        <v>-379947.18715000001</v>
      </c>
      <c r="C37" s="45">
        <v>-332411.01280999999</v>
      </c>
      <c r="D37" s="60">
        <f>IF(OR(-379947.18715="",-332411.01281="",-379947.18715=0),"-",-332411.01281/-379947.18715*100)</f>
        <v>87.488741607334717</v>
      </c>
    </row>
    <row r="38" spans="1:4" x14ac:dyDescent="0.25">
      <c r="A38" s="46" t="s">
        <v>13</v>
      </c>
      <c r="B38" s="45">
        <v>-422.33202</v>
      </c>
      <c r="C38" s="45">
        <v>-44317.563020000001</v>
      </c>
      <c r="D38" s="60" t="s">
        <v>299</v>
      </c>
    </row>
    <row r="39" spans="1:4" x14ac:dyDescent="0.25">
      <c r="A39" s="46" t="s">
        <v>11</v>
      </c>
      <c r="B39" s="45">
        <v>-45911.850700000003</v>
      </c>
      <c r="C39" s="45">
        <v>-42972.928110000001</v>
      </c>
      <c r="D39" s="60">
        <f>IF(OR(-45911.8507="",-42972.92811="",-45911.8507=0),"-",-42972.92811/-45911.8507*100)</f>
        <v>93.598771242737115</v>
      </c>
    </row>
    <row r="40" spans="1:4" x14ac:dyDescent="0.25">
      <c r="A40" s="46" t="s">
        <v>15</v>
      </c>
      <c r="B40" s="45">
        <v>-4083.34591</v>
      </c>
      <c r="C40" s="45">
        <v>-2774.24235</v>
      </c>
      <c r="D40" s="60">
        <f>IF(OR(-4083.34591="",-2774.24235="",-4083.34591=0),"-",-2774.24235/-4083.34591*100)</f>
        <v>67.940419723099083</v>
      </c>
    </row>
    <row r="41" spans="1:4" x14ac:dyDescent="0.25">
      <c r="A41" s="46" t="s">
        <v>14</v>
      </c>
      <c r="B41" s="45">
        <v>3695.13967</v>
      </c>
      <c r="C41" s="45">
        <v>-1474.43887</v>
      </c>
      <c r="D41" s="60" t="s">
        <v>22</v>
      </c>
    </row>
    <row r="42" spans="1:4" x14ac:dyDescent="0.25">
      <c r="A42" s="46" t="s">
        <v>16</v>
      </c>
      <c r="B42" s="45">
        <v>-1586.4706699999999</v>
      </c>
      <c r="C42" s="45">
        <v>-1150.0247999999999</v>
      </c>
      <c r="D42" s="60">
        <f>IF(OR(-1586.47067="",-1150.0248="",-1586.47067=0),"-",-1150.0248/-1586.47067*100)</f>
        <v>72.489509055972647</v>
      </c>
    </row>
    <row r="43" spans="1:4" x14ac:dyDescent="0.25">
      <c r="A43" s="46" t="s">
        <v>18</v>
      </c>
      <c r="B43" s="45">
        <v>175.27979999999999</v>
      </c>
      <c r="C43" s="45">
        <v>251.27453</v>
      </c>
      <c r="D43" s="60">
        <f>IF(OR(175.2798="",251.27453="",175.2798=0),"-",251.27453/175.2798*100)</f>
        <v>143.35623956668141</v>
      </c>
    </row>
    <row r="44" spans="1:4" x14ac:dyDescent="0.25">
      <c r="A44" s="113" t="s">
        <v>129</v>
      </c>
      <c r="B44" s="45">
        <v>991.83452999999997</v>
      </c>
      <c r="C44" s="45">
        <v>359.78456</v>
      </c>
      <c r="D44" s="60">
        <f>IF(OR(991.83453="",359.78456="",991.83453=0),"-",359.78456/991.83453*100)</f>
        <v>36.274655612161439</v>
      </c>
    </row>
    <row r="45" spans="1:4" x14ac:dyDescent="0.25">
      <c r="A45" s="46" t="s">
        <v>17</v>
      </c>
      <c r="B45" s="45">
        <v>2501.56925</v>
      </c>
      <c r="C45" s="45">
        <v>361.7407</v>
      </c>
      <c r="D45" s="60">
        <f>IF(OR(2501.56925="",361.7407="",2501.56925=0),"-",361.7407/2501.56925*100)</f>
        <v>14.460551112066955</v>
      </c>
    </row>
    <row r="46" spans="1:4" x14ac:dyDescent="0.25">
      <c r="A46" s="42" t="s">
        <v>170</v>
      </c>
      <c r="B46" s="43">
        <v>-916532.14587999997</v>
      </c>
      <c r="C46" s="43">
        <v>-1036556.87586</v>
      </c>
      <c r="D46" s="59">
        <f>IF(-916532.14588="","-",-1036556.87586/-916532.14588*100)</f>
        <v>113.09552867507549</v>
      </c>
    </row>
    <row r="47" spans="1:4" x14ac:dyDescent="0.25">
      <c r="A47" s="46" t="s">
        <v>60</v>
      </c>
      <c r="B47" s="45">
        <v>-526742.59421999997</v>
      </c>
      <c r="C47" s="45">
        <v>-562927.77584000002</v>
      </c>
      <c r="D47" s="60">
        <v>106.86961373867688</v>
      </c>
    </row>
    <row r="48" spans="1:4" x14ac:dyDescent="0.25">
      <c r="A48" s="46" t="s">
        <v>57</v>
      </c>
      <c r="B48" s="45">
        <v>-192909.46101999999</v>
      </c>
      <c r="C48" s="45">
        <f>IF(-189875.89298="","-",-189875.89298)</f>
        <v>-189875.89298</v>
      </c>
      <c r="D48" s="60">
        <f>IF(OR(-192909.46102="",-189875.89298="",-192909.46102=0),"-",-189875.89298/-192909.46102*100)</f>
        <v>98.427465390261247</v>
      </c>
    </row>
    <row r="49" spans="1:5" x14ac:dyDescent="0.25">
      <c r="A49" s="46" t="s">
        <v>77</v>
      </c>
      <c r="B49" s="45">
        <v>-44285.715519999998</v>
      </c>
      <c r="C49" s="45">
        <v>-47186.471189999997</v>
      </c>
      <c r="D49" s="60">
        <v>106.55009326582964</v>
      </c>
    </row>
    <row r="50" spans="1:5" x14ac:dyDescent="0.25">
      <c r="A50" s="46" t="s">
        <v>73</v>
      </c>
      <c r="B50" s="45">
        <v>-43461.519330000003</v>
      </c>
      <c r="C50" s="45">
        <f>IF(-39142.44583="","-",-39142.44583)</f>
        <v>-39142.445829999997</v>
      </c>
      <c r="D50" s="60">
        <f>IF(OR(-43461.51933="",-39142.44583="",-43461.51933=0),"-",-39142.44583/-43461.51933*100)</f>
        <v>90.062304386541086</v>
      </c>
    </row>
    <row r="51" spans="1:5" x14ac:dyDescent="0.25">
      <c r="A51" s="46" t="s">
        <v>37</v>
      </c>
      <c r="B51" s="45">
        <v>-36480.286979999997</v>
      </c>
      <c r="C51" s="45">
        <v>-38352.976320000002</v>
      </c>
      <c r="D51" s="60">
        <v>105.13342820199495</v>
      </c>
    </row>
    <row r="52" spans="1:5" x14ac:dyDescent="0.25">
      <c r="A52" s="46" t="s">
        <v>70</v>
      </c>
      <c r="B52" s="45">
        <v>-32584.62643</v>
      </c>
      <c r="C52" s="45">
        <v>-36485.873599999999</v>
      </c>
      <c r="D52" s="60">
        <v>111.97266194958797</v>
      </c>
    </row>
    <row r="53" spans="1:5" x14ac:dyDescent="0.25">
      <c r="A53" s="46" t="s">
        <v>19</v>
      </c>
      <c r="B53" s="45">
        <v>-46285.99151</v>
      </c>
      <c r="C53" s="45">
        <f>IF(-36070.0789199999="","-",-36070.0789199999)</f>
        <v>-36070.078919999898</v>
      </c>
      <c r="D53" s="60">
        <f>IF(OR(-46285.99151="",-36070.0789199999="",-46285.99151=0),"-",-36070.0789199999/-46285.99151*100)</f>
        <v>77.92871610454111</v>
      </c>
    </row>
    <row r="54" spans="1:5" x14ac:dyDescent="0.25">
      <c r="A54" s="46" t="s">
        <v>67</v>
      </c>
      <c r="B54" s="45">
        <v>-14100.725909999999</v>
      </c>
      <c r="C54" s="45">
        <f>IF(-23243.81092="","-",-23243.81092)</f>
        <v>-23243.81092</v>
      </c>
      <c r="D54" s="60" t="s">
        <v>105</v>
      </c>
    </row>
    <row r="55" spans="1:5" x14ac:dyDescent="0.25">
      <c r="A55" s="46" t="s">
        <v>80</v>
      </c>
      <c r="B55" s="45">
        <v>-15129.50332</v>
      </c>
      <c r="C55" s="45">
        <v>-17509.08625</v>
      </c>
      <c r="D55" s="60">
        <v>115.72809681633356</v>
      </c>
    </row>
    <row r="56" spans="1:5" x14ac:dyDescent="0.25">
      <c r="A56" s="46" t="s">
        <v>71</v>
      </c>
      <c r="B56" s="45">
        <v>-16685.18288</v>
      </c>
      <c r="C56" s="45">
        <f>IF(-14609.46723="","-",-14609.46723)</f>
        <v>-14609.46723</v>
      </c>
      <c r="D56" s="60">
        <f>IF(OR(-16685.18288="",-14609.46723="",-16685.18288=0),"-",-14609.46723/-16685.18288*100)</f>
        <v>87.559527126981067</v>
      </c>
    </row>
    <row r="57" spans="1:5" x14ac:dyDescent="0.25">
      <c r="A57" s="46" t="s">
        <v>72</v>
      </c>
      <c r="B57" s="45">
        <v>-7573.3779000000004</v>
      </c>
      <c r="C57" s="45">
        <v>-9333.9052800000009</v>
      </c>
      <c r="D57" s="60">
        <v>123.24626346719079</v>
      </c>
    </row>
    <row r="58" spans="1:5" x14ac:dyDescent="0.25">
      <c r="A58" s="46" t="s">
        <v>62</v>
      </c>
      <c r="B58" s="45">
        <v>-1434.7461699999999</v>
      </c>
      <c r="C58" s="45">
        <v>-8965.9600399999999</v>
      </c>
      <c r="D58" s="60" t="s">
        <v>300</v>
      </c>
    </row>
    <row r="59" spans="1:5" x14ac:dyDescent="0.25">
      <c r="A59" s="46" t="s">
        <v>75</v>
      </c>
      <c r="B59" s="45">
        <v>-5340.2755500000003</v>
      </c>
      <c r="C59" s="45">
        <f>IF(-8687.22161="","-",-8687.22161)</f>
        <v>-8687.2216100000005</v>
      </c>
      <c r="D59" s="60" t="s">
        <v>105</v>
      </c>
    </row>
    <row r="60" spans="1:5" x14ac:dyDescent="0.25">
      <c r="A60" s="46" t="s">
        <v>83</v>
      </c>
      <c r="B60" s="45">
        <v>-8691.2839700000004</v>
      </c>
      <c r="C60" s="45">
        <f>IF(-8644.296="","-",-8644.296)</f>
        <v>-8644.2960000000003</v>
      </c>
      <c r="D60" s="60">
        <f>IF(OR(-8691.28397="",-8644.296="",-8691.28397=0),"-",-8644.296/-8691.28397*100)</f>
        <v>99.459366761433756</v>
      </c>
    </row>
    <row r="61" spans="1:5" x14ac:dyDescent="0.25">
      <c r="A61" s="46" t="s">
        <v>84</v>
      </c>
      <c r="B61" s="45">
        <v>-8662.8752499999991</v>
      </c>
      <c r="C61" s="45">
        <v>-8339.8991999999998</v>
      </c>
      <c r="D61" s="60">
        <v>96.271722255263924</v>
      </c>
      <c r="E61" s="1"/>
    </row>
    <row r="62" spans="1:5" x14ac:dyDescent="0.25">
      <c r="A62" s="46" t="s">
        <v>79</v>
      </c>
      <c r="B62" s="45">
        <v>-7904.8946100000003</v>
      </c>
      <c r="C62" s="45">
        <f>IF(-7352.12054="","-",-7352.12054)</f>
        <v>-7352.1205399999999</v>
      </c>
      <c r="D62" s="60">
        <f>IF(OR(-7904.89461="",-7352.12054="",-7904.89461=0),"-",-7352.12054/-7904.89461*100)</f>
        <v>93.007192413410294</v>
      </c>
    </row>
    <row r="63" spans="1:5" x14ac:dyDescent="0.25">
      <c r="A63" s="46" t="s">
        <v>64</v>
      </c>
      <c r="B63" s="45">
        <v>-5273.0480399999997</v>
      </c>
      <c r="C63" s="45">
        <v>-6123.2006899999997</v>
      </c>
      <c r="D63" s="60">
        <v>116.12260391999007</v>
      </c>
    </row>
    <row r="64" spans="1:5" x14ac:dyDescent="0.25">
      <c r="A64" s="46" t="s">
        <v>85</v>
      </c>
      <c r="B64" s="45">
        <v>-6487.9216699999997</v>
      </c>
      <c r="C64" s="45">
        <v>-5666.4470199999996</v>
      </c>
      <c r="D64" s="60">
        <v>87.33840061913078</v>
      </c>
    </row>
    <row r="65" spans="1:5" x14ac:dyDescent="0.25">
      <c r="A65" s="46" t="s">
        <v>124</v>
      </c>
      <c r="B65" s="45">
        <v>-6376.7998699999998</v>
      </c>
      <c r="C65" s="45">
        <f>IF(-5202.52337="","-",-5202.52337)</f>
        <v>-5202.5233699999999</v>
      </c>
      <c r="D65" s="60">
        <f>IF(OR(-6376.79987="",-5202.52337="",-6376.79987=0),"-",-5202.52337/-6376.79987*100)</f>
        <v>81.585175574907922</v>
      </c>
    </row>
    <row r="66" spans="1:5" x14ac:dyDescent="0.25">
      <c r="A66" s="46" t="s">
        <v>63</v>
      </c>
      <c r="B66" s="45">
        <v>-3708.6544399999998</v>
      </c>
      <c r="C66" s="45">
        <v>-4359.8467600000004</v>
      </c>
      <c r="D66" s="60">
        <v>117.55872191748338</v>
      </c>
    </row>
    <row r="67" spans="1:5" x14ac:dyDescent="0.25">
      <c r="A67" s="46" t="s">
        <v>76</v>
      </c>
      <c r="B67" s="45">
        <v>-2720.5310899999999</v>
      </c>
      <c r="C67" s="45">
        <v>-4058.7478900000001</v>
      </c>
      <c r="D67" s="60">
        <v>149.18954261978311</v>
      </c>
    </row>
    <row r="68" spans="1:5" x14ac:dyDescent="0.25">
      <c r="A68" s="46" t="s">
        <v>82</v>
      </c>
      <c r="B68" s="45">
        <v>-3482.87943</v>
      </c>
      <c r="C68" s="45">
        <v>-3928.3763199999999</v>
      </c>
      <c r="D68" s="60">
        <v>112.79105116768282</v>
      </c>
      <c r="E68" s="1"/>
    </row>
    <row r="69" spans="1:5" x14ac:dyDescent="0.25">
      <c r="A69" s="46" t="s">
        <v>143</v>
      </c>
      <c r="B69" s="45">
        <v>-2728.5001600000001</v>
      </c>
      <c r="C69" s="45">
        <v>-3925.6409100000001</v>
      </c>
      <c r="D69" s="60">
        <v>143.87541432286375</v>
      </c>
    </row>
    <row r="70" spans="1:5" x14ac:dyDescent="0.25">
      <c r="A70" s="46" t="s">
        <v>81</v>
      </c>
      <c r="B70" s="45">
        <v>-4894.5259999999998</v>
      </c>
      <c r="C70" s="45">
        <v>-3919.54495</v>
      </c>
      <c r="D70" s="60">
        <v>80.080174259979415</v>
      </c>
    </row>
    <row r="71" spans="1:5" x14ac:dyDescent="0.25">
      <c r="A71" s="46" t="s">
        <v>86</v>
      </c>
      <c r="B71" s="45">
        <v>-5628.2286800000002</v>
      </c>
      <c r="C71" s="45">
        <v>-3508.8762499999998</v>
      </c>
      <c r="D71" s="60">
        <v>62.344237405790693</v>
      </c>
    </row>
    <row r="72" spans="1:5" x14ac:dyDescent="0.25">
      <c r="A72" s="46" t="s">
        <v>87</v>
      </c>
      <c r="B72" s="45">
        <v>-3602.6289499999998</v>
      </c>
      <c r="C72" s="45">
        <f>IF(-3214.51326="","-",-3214.51326)</f>
        <v>-3214.5132600000002</v>
      </c>
      <c r="D72" s="60">
        <f>IF(OR(-3602.62895="",-3214.51326="",-3602.62895=0),"-",-3214.51326/-3602.62895*100)</f>
        <v>89.22687583465958</v>
      </c>
    </row>
    <row r="73" spans="1:5" x14ac:dyDescent="0.25">
      <c r="A73" s="46" t="s">
        <v>92</v>
      </c>
      <c r="B73" s="45">
        <v>-1055.61859</v>
      </c>
      <c r="C73" s="45">
        <f>IF(-2000.08137="","-",-2000.08137)</f>
        <v>-2000.0813700000001</v>
      </c>
      <c r="D73" s="60" t="s">
        <v>106</v>
      </c>
    </row>
    <row r="74" spans="1:5" x14ac:dyDescent="0.25">
      <c r="A74" s="46" t="s">
        <v>146</v>
      </c>
      <c r="B74" s="45">
        <v>-2471.2985899999999</v>
      </c>
      <c r="C74" s="45">
        <v>-1863.80359</v>
      </c>
      <c r="D74" s="60">
        <v>75.417984598939142</v>
      </c>
    </row>
    <row r="75" spans="1:5" x14ac:dyDescent="0.25">
      <c r="A75" s="46" t="s">
        <v>89</v>
      </c>
      <c r="B75" s="45">
        <v>-2223.7017799999999</v>
      </c>
      <c r="C75" s="45">
        <v>-1708.82888</v>
      </c>
      <c r="D75" s="60">
        <v>76.846135366227031</v>
      </c>
    </row>
    <row r="76" spans="1:5" x14ac:dyDescent="0.25">
      <c r="A76" s="46" t="s">
        <v>74</v>
      </c>
      <c r="B76" s="45">
        <v>-1372.9397200000001</v>
      </c>
      <c r="C76" s="45">
        <v>-1665.6512600000001</v>
      </c>
      <c r="D76" s="60">
        <v>121.32005766429425</v>
      </c>
      <c r="E76" s="12"/>
    </row>
    <row r="77" spans="1:5" x14ac:dyDescent="0.25">
      <c r="A77" s="46" t="s">
        <v>40</v>
      </c>
      <c r="B77" s="45">
        <v>-1838.0325600000001</v>
      </c>
      <c r="C77" s="45">
        <v>-1597.35284</v>
      </c>
      <c r="D77" s="60">
        <v>86.905579082886319</v>
      </c>
    </row>
    <row r="78" spans="1:5" x14ac:dyDescent="0.25">
      <c r="A78" s="46" t="s">
        <v>88</v>
      </c>
      <c r="B78" s="45">
        <v>-2168.13256</v>
      </c>
      <c r="C78" s="45">
        <v>-1535.00521</v>
      </c>
      <c r="D78" s="60">
        <v>70.798494442609169</v>
      </c>
    </row>
    <row r="79" spans="1:5" x14ac:dyDescent="0.25">
      <c r="A79" s="46" t="s">
        <v>145</v>
      </c>
      <c r="B79" s="45">
        <v>55.650739999999999</v>
      </c>
      <c r="C79" s="45">
        <v>-1273.3749</v>
      </c>
      <c r="D79" s="60" t="s">
        <v>22</v>
      </c>
    </row>
    <row r="80" spans="1:5" x14ac:dyDescent="0.25">
      <c r="A80" s="46" t="s">
        <v>69</v>
      </c>
      <c r="B80" s="45">
        <v>784.62311</v>
      </c>
      <c r="C80" s="45">
        <v>-1225.8411000000001</v>
      </c>
      <c r="D80" s="60" t="s">
        <v>22</v>
      </c>
    </row>
    <row r="81" spans="1:5" x14ac:dyDescent="0.25">
      <c r="A81" s="46" t="s">
        <v>90</v>
      </c>
      <c r="B81" s="45">
        <v>-1006.9666099999999</v>
      </c>
      <c r="C81" s="45">
        <v>-1215.1595500000001</v>
      </c>
      <c r="D81" s="60">
        <v>120.67525754404112</v>
      </c>
    </row>
    <row r="82" spans="1:5" x14ac:dyDescent="0.25">
      <c r="A82" s="46" t="s">
        <v>98</v>
      </c>
      <c r="B82" s="45">
        <v>-953.56772999999998</v>
      </c>
      <c r="C82" s="45">
        <f>IF(-1184.84573="","-",-1184.84573)</f>
        <v>-1184.84573</v>
      </c>
      <c r="D82" s="60">
        <f>IF(OR(-953.56773="",-1184.84573="",-953.56773=0),"-",-1184.84573/-953.56773*100)</f>
        <v>124.25396673186498</v>
      </c>
    </row>
    <row r="83" spans="1:5" x14ac:dyDescent="0.25">
      <c r="A83" s="46" t="s">
        <v>66</v>
      </c>
      <c r="B83" s="45">
        <v>6021.9969600000004</v>
      </c>
      <c r="C83" s="45">
        <v>-1078.69497</v>
      </c>
      <c r="D83" s="60" t="s">
        <v>22</v>
      </c>
    </row>
    <row r="84" spans="1:5" x14ac:dyDescent="0.25">
      <c r="A84" s="46" t="s">
        <v>173</v>
      </c>
      <c r="B84" s="45">
        <v>-559.20959000000005</v>
      </c>
      <c r="C84" s="45">
        <v>-1001.02658</v>
      </c>
      <c r="D84" s="60" t="s">
        <v>243</v>
      </c>
    </row>
    <row r="85" spans="1:5" x14ac:dyDescent="0.25">
      <c r="A85" s="46" t="s">
        <v>39</v>
      </c>
      <c r="B85" s="45">
        <v>-2303.3015500000001</v>
      </c>
      <c r="C85" s="45">
        <v>-759.09329000000002</v>
      </c>
      <c r="D85" s="60">
        <v>32.95674810794965</v>
      </c>
    </row>
    <row r="86" spans="1:5" x14ac:dyDescent="0.25">
      <c r="A86" s="46" t="s">
        <v>65</v>
      </c>
      <c r="B86" s="45">
        <v>768.33603000000005</v>
      </c>
      <c r="C86" s="45">
        <f>IF(-713.52363="","-",-713.52363)</f>
        <v>-713.52363000000003</v>
      </c>
      <c r="D86" s="60" t="s">
        <v>22</v>
      </c>
    </row>
    <row r="87" spans="1:5" x14ac:dyDescent="0.25">
      <c r="A87" s="46" t="s">
        <v>178</v>
      </c>
      <c r="B87" s="45">
        <v>3</v>
      </c>
      <c r="C87" s="45">
        <v>-624.85532000000001</v>
      </c>
      <c r="D87" s="60" t="s">
        <v>22</v>
      </c>
    </row>
    <row r="88" spans="1:5" x14ac:dyDescent="0.25">
      <c r="A88" s="46" t="s">
        <v>267</v>
      </c>
      <c r="B88" s="45">
        <v>-900.45470999999998</v>
      </c>
      <c r="C88" s="45">
        <v>-555.76666</v>
      </c>
      <c r="D88" s="60">
        <v>61.720667772396908</v>
      </c>
    </row>
    <row r="89" spans="1:5" x14ac:dyDescent="0.25">
      <c r="A89" s="46" t="s">
        <v>93</v>
      </c>
      <c r="B89" s="45">
        <v>-731.97411</v>
      </c>
      <c r="C89" s="45">
        <v>-553.54382999999996</v>
      </c>
      <c r="D89" s="60">
        <v>75.623416516739908</v>
      </c>
    </row>
    <row r="90" spans="1:5" x14ac:dyDescent="0.25">
      <c r="A90" s="46" t="s">
        <v>172</v>
      </c>
      <c r="B90" s="45">
        <v>-799.80993999999998</v>
      </c>
      <c r="C90" s="45">
        <f>IF(-512.01937="","-",-512.01937)</f>
        <v>-512.01936999999998</v>
      </c>
      <c r="D90" s="60">
        <f>IF(OR(-799.80994="",-512.01937="",-799.80994=0),"-",-512.01937/-799.80994*100)</f>
        <v>64.017630238503912</v>
      </c>
    </row>
    <row r="91" spans="1:5" x14ac:dyDescent="0.25">
      <c r="A91" s="46" t="s">
        <v>112</v>
      </c>
      <c r="B91" s="45">
        <v>-197.35359</v>
      </c>
      <c r="C91" s="45">
        <v>-510.06297999999998</v>
      </c>
      <c r="D91" s="60" t="s">
        <v>260</v>
      </c>
    </row>
    <row r="92" spans="1:5" x14ac:dyDescent="0.25">
      <c r="A92" s="46" t="s">
        <v>95</v>
      </c>
      <c r="B92" s="45">
        <v>-303.21841000000001</v>
      </c>
      <c r="C92" s="45">
        <f>IF(-417.57343="","-",-417.57343)</f>
        <v>-417.57342999999997</v>
      </c>
      <c r="D92" s="60">
        <f>IF(OR(-303.21841="",-417.57343="",-303.21841=0),"-",-417.57343/-303.21841*100)</f>
        <v>137.71374567922837</v>
      </c>
    </row>
    <row r="93" spans="1:5" x14ac:dyDescent="0.25">
      <c r="A93" s="46" t="s">
        <v>102</v>
      </c>
      <c r="B93" s="45">
        <v>-738.03305</v>
      </c>
      <c r="C93" s="45">
        <f>IF(-393.21118="","-",-393.21118)</f>
        <v>-393.21118000000001</v>
      </c>
      <c r="D93" s="60">
        <f>IF(OR(-738.03305="",-393.21118="",-738.03305=0),"-",-393.21118/-738.03305*100)</f>
        <v>53.278261725541967</v>
      </c>
    </row>
    <row r="94" spans="1:5" x14ac:dyDescent="0.25">
      <c r="A94" s="46" t="s">
        <v>91</v>
      </c>
      <c r="B94" s="45">
        <v>-347.55659000000003</v>
      </c>
      <c r="C94" s="45">
        <f>IF(-366.59203="","-",-366.59203)</f>
        <v>-366.59203000000002</v>
      </c>
      <c r="D94" s="60">
        <f>IF(OR(-347.55659="",-366.59203="",-347.55659=0),"-",-366.59203/-347.55659*100)</f>
        <v>105.4769325478766</v>
      </c>
    </row>
    <row r="95" spans="1:5" x14ac:dyDescent="0.25">
      <c r="A95" s="46" t="s">
        <v>134</v>
      </c>
      <c r="B95" s="45">
        <v>-933.35531000000003</v>
      </c>
      <c r="C95" s="45">
        <f>IF(-358.25169="","-",-358.25169)</f>
        <v>-358.25169</v>
      </c>
      <c r="D95" s="60">
        <f>IF(OR(-933.35531="",-358.25169="",-933.35531=0),"-",-358.25169/-933.35531*100)</f>
        <v>38.383205855442128</v>
      </c>
    </row>
    <row r="96" spans="1:5" x14ac:dyDescent="0.25">
      <c r="A96" s="46" t="s">
        <v>94</v>
      </c>
      <c r="B96" s="45">
        <v>-550.61014</v>
      </c>
      <c r="C96" s="45">
        <v>-240.17478</v>
      </c>
      <c r="D96" s="60">
        <v>43.61975244407958</v>
      </c>
      <c r="E96" s="12"/>
    </row>
    <row r="97" spans="1:5" x14ac:dyDescent="0.25">
      <c r="A97" s="46" t="s">
        <v>99</v>
      </c>
      <c r="B97" s="45">
        <v>-666.47176000000002</v>
      </c>
      <c r="C97" s="45">
        <v>-223.70199</v>
      </c>
      <c r="D97" s="60">
        <v>33.565111596026213</v>
      </c>
    </row>
    <row r="98" spans="1:5" x14ac:dyDescent="0.25">
      <c r="A98" s="46" t="s">
        <v>153</v>
      </c>
      <c r="B98" s="45">
        <v>-282.57373000000001</v>
      </c>
      <c r="C98" s="45">
        <f>IF(-209.87586="","-",-209.87586)</f>
        <v>-209.87585999999999</v>
      </c>
      <c r="D98" s="60">
        <f>IF(OR(-282.57373="",-209.87586="",-282.57373=0),"-",-209.87586/-282.57373*100)</f>
        <v>74.272955238974262</v>
      </c>
      <c r="E98" s="11"/>
    </row>
    <row r="99" spans="1:5" x14ac:dyDescent="0.25">
      <c r="A99" s="46" t="s">
        <v>148</v>
      </c>
      <c r="B99" s="45">
        <v>-122.78442</v>
      </c>
      <c r="C99" s="45">
        <v>-205.14183</v>
      </c>
      <c r="D99" s="60" t="s">
        <v>104</v>
      </c>
    </row>
    <row r="100" spans="1:5" x14ac:dyDescent="0.25">
      <c r="A100" s="46" t="s">
        <v>269</v>
      </c>
      <c r="B100" s="45">
        <v>449.49036999999998</v>
      </c>
      <c r="C100" s="45">
        <v>-178.58908</v>
      </c>
      <c r="D100" s="60" t="s">
        <v>22</v>
      </c>
      <c r="E100" s="11"/>
    </row>
    <row r="101" spans="1:5" x14ac:dyDescent="0.25">
      <c r="A101" s="46" t="s">
        <v>240</v>
      </c>
      <c r="B101" s="45">
        <v>-69.104339999999993</v>
      </c>
      <c r="C101" s="45">
        <f>IF(-141.35075="","-",-141.35075)</f>
        <v>-141.35075000000001</v>
      </c>
      <c r="D101" s="60" t="s">
        <v>20</v>
      </c>
      <c r="E101" s="1"/>
    </row>
    <row r="102" spans="1:5" x14ac:dyDescent="0.25">
      <c r="A102" s="46" t="s">
        <v>179</v>
      </c>
      <c r="B102" s="45">
        <v>-52.08567</v>
      </c>
      <c r="C102" s="45">
        <f>IF(-127.26884="","-",-127.26884)</f>
        <v>-127.26884</v>
      </c>
      <c r="D102" s="60" t="s">
        <v>268</v>
      </c>
    </row>
    <row r="103" spans="1:5" x14ac:dyDescent="0.25">
      <c r="A103" s="46" t="s">
        <v>163</v>
      </c>
      <c r="B103" s="45">
        <v>-135.55790999999999</v>
      </c>
      <c r="C103" s="45">
        <v>-118.78903</v>
      </c>
      <c r="D103" s="60">
        <v>87.629729611499613</v>
      </c>
    </row>
    <row r="104" spans="1:5" x14ac:dyDescent="0.25">
      <c r="A104" s="46" t="s">
        <v>174</v>
      </c>
      <c r="B104" s="45">
        <v>-120.10992</v>
      </c>
      <c r="C104" s="45">
        <v>-114.31792</v>
      </c>
      <c r="D104" s="60">
        <v>95.177750513862634</v>
      </c>
    </row>
    <row r="105" spans="1:5" x14ac:dyDescent="0.25">
      <c r="A105" s="46" t="s">
        <v>108</v>
      </c>
      <c r="B105" s="45">
        <v>210.86294000000001</v>
      </c>
      <c r="C105" s="45">
        <f>IF(-113.62423="","-",-113.62423)</f>
        <v>-113.62423</v>
      </c>
      <c r="D105" s="60" t="s">
        <v>22</v>
      </c>
      <c r="E105" s="12"/>
    </row>
    <row r="106" spans="1:5" x14ac:dyDescent="0.25">
      <c r="A106" s="46" t="s">
        <v>164</v>
      </c>
      <c r="B106" s="45">
        <v>-151.96546000000001</v>
      </c>
      <c r="C106" s="45">
        <f>IF(-104.56699="","-",-104.56699)</f>
        <v>-104.56699</v>
      </c>
      <c r="D106" s="60">
        <f>IF(OR(-151.96546="",-104.56699="",-151.96546=0),"-",-104.56699/-151.96546*100)</f>
        <v>68.809708469279798</v>
      </c>
      <c r="E106" s="10"/>
    </row>
    <row r="107" spans="1:5" x14ac:dyDescent="0.25">
      <c r="A107" s="46" t="s">
        <v>147</v>
      </c>
      <c r="B107" s="45">
        <v>-38.97204</v>
      </c>
      <c r="C107" s="45">
        <v>-98.105419999999995</v>
      </c>
      <c r="D107" s="60" t="s">
        <v>258</v>
      </c>
    </row>
    <row r="108" spans="1:5" x14ac:dyDescent="0.25">
      <c r="A108" s="46" t="s">
        <v>154</v>
      </c>
      <c r="B108" s="45">
        <v>-146.47599</v>
      </c>
      <c r="C108" s="45">
        <v>-93.094220000000007</v>
      </c>
      <c r="D108" s="60">
        <v>63.555958898110198</v>
      </c>
    </row>
    <row r="109" spans="1:5" x14ac:dyDescent="0.25">
      <c r="A109" s="46" t="s">
        <v>247</v>
      </c>
      <c r="B109" s="45">
        <v>-56.43985</v>
      </c>
      <c r="C109" s="45">
        <f>IF(-67.52031="","-",-67.52031)</f>
        <v>-67.520309999999995</v>
      </c>
      <c r="D109" s="60">
        <f>IF(OR(-56.43985="",-67.52031="",-56.43985=0),"-",-67.52031/-56.43985*100)</f>
        <v>119.63233424610446</v>
      </c>
    </row>
    <row r="110" spans="1:5" x14ac:dyDescent="0.25">
      <c r="A110" s="46" t="s">
        <v>149</v>
      </c>
      <c r="B110" s="45">
        <v>1164.37949</v>
      </c>
      <c r="C110" s="45">
        <v>-65.137190000000004</v>
      </c>
      <c r="D110" s="60" t="s">
        <v>22</v>
      </c>
    </row>
    <row r="111" spans="1:5" x14ac:dyDescent="0.25">
      <c r="A111" s="46" t="s">
        <v>180</v>
      </c>
      <c r="B111" s="45">
        <v>-106.91739</v>
      </c>
      <c r="C111" s="45">
        <v>-60.54101</v>
      </c>
      <c r="D111" s="60">
        <v>56.624100158075322</v>
      </c>
    </row>
    <row r="112" spans="1:5" x14ac:dyDescent="0.25">
      <c r="A112" s="46" t="s">
        <v>155</v>
      </c>
      <c r="B112" s="45">
        <v>21.633520000000001</v>
      </c>
      <c r="C112" s="45">
        <v>-45.860610000000001</v>
      </c>
      <c r="D112" s="60" t="s">
        <v>22</v>
      </c>
    </row>
    <row r="113" spans="1:4" x14ac:dyDescent="0.25">
      <c r="A113" s="46" t="s">
        <v>271</v>
      </c>
      <c r="B113" s="45">
        <v>-47.700560000000003</v>
      </c>
      <c r="C113" s="45">
        <v>-39.4054</v>
      </c>
      <c r="D113" s="60">
        <v>82.60993162344424</v>
      </c>
    </row>
    <row r="114" spans="1:4" x14ac:dyDescent="0.25">
      <c r="A114" s="46" t="s">
        <v>272</v>
      </c>
      <c r="B114" s="45">
        <v>-17.477440000000001</v>
      </c>
      <c r="C114" s="45">
        <f>IF(-33.15317="","-",-33.15317)</f>
        <v>-33.153170000000003</v>
      </c>
      <c r="D114" s="60" t="s">
        <v>106</v>
      </c>
    </row>
    <row r="115" spans="1:4" x14ac:dyDescent="0.25">
      <c r="A115" s="46" t="s">
        <v>264</v>
      </c>
      <c r="B115" s="45">
        <v>-15.749090000000001</v>
      </c>
      <c r="C115" s="45">
        <v>-30.877579999999998</v>
      </c>
      <c r="D115" s="60" t="s">
        <v>20</v>
      </c>
    </row>
    <row r="116" spans="1:4" x14ac:dyDescent="0.25">
      <c r="A116" s="46" t="s">
        <v>252</v>
      </c>
      <c r="B116" s="45">
        <v>-97.935810000000004</v>
      </c>
      <c r="C116" s="45">
        <v>-23.776289999999999</v>
      </c>
      <c r="D116" s="60">
        <v>24.277422119651636</v>
      </c>
    </row>
    <row r="117" spans="1:4" x14ac:dyDescent="0.25">
      <c r="A117" s="46" t="s">
        <v>273</v>
      </c>
      <c r="B117" s="45">
        <v>-66.85624</v>
      </c>
      <c r="C117" s="45">
        <v>-23.150649999999999</v>
      </c>
      <c r="D117" s="60">
        <v>34.627508217632339</v>
      </c>
    </row>
    <row r="118" spans="1:4" x14ac:dyDescent="0.25">
      <c r="A118" s="46" t="s">
        <v>274</v>
      </c>
      <c r="B118" s="45">
        <v>-39.745950000000001</v>
      </c>
      <c r="C118" s="45">
        <v>-20.653729999999999</v>
      </c>
      <c r="D118" s="60">
        <v>51.964363664725589</v>
      </c>
    </row>
    <row r="119" spans="1:4" x14ac:dyDescent="0.25">
      <c r="A119" s="46" t="s">
        <v>275</v>
      </c>
      <c r="B119" s="45">
        <v>-34.673729999999999</v>
      </c>
      <c r="C119" s="45">
        <v>-16.897819999999999</v>
      </c>
      <c r="D119" s="60">
        <v>48.733782030372851</v>
      </c>
    </row>
    <row r="120" spans="1:4" x14ac:dyDescent="0.25">
      <c r="A120" s="46" t="s">
        <v>144</v>
      </c>
      <c r="B120" s="45">
        <v>-72.523560000000003</v>
      </c>
      <c r="C120" s="45">
        <v>-14.829409999999999</v>
      </c>
      <c r="D120" s="60">
        <v>20.447713818792128</v>
      </c>
    </row>
    <row r="121" spans="1:4" x14ac:dyDescent="0.25">
      <c r="A121" s="46" t="s">
        <v>276</v>
      </c>
      <c r="B121" s="45">
        <v>-19.689920000000001</v>
      </c>
      <c r="C121" s="45">
        <f>IF(-13.91341="","-",-13.91341)</f>
        <v>-13.913410000000001</v>
      </c>
      <c r="D121" s="60">
        <f>IF(OR(-19.68992="",-13.91341="",-19.68992=0),"-",-13.91341/-19.68992*100)</f>
        <v>70.66260299686337</v>
      </c>
    </row>
    <row r="122" spans="1:4" x14ac:dyDescent="0.25">
      <c r="A122" s="46" t="s">
        <v>254</v>
      </c>
      <c r="B122" s="45">
        <v>21.9375</v>
      </c>
      <c r="C122" s="45">
        <v>22.992509999999999</v>
      </c>
      <c r="D122" s="60">
        <v>104.80916239316238</v>
      </c>
    </row>
    <row r="123" spans="1:4" x14ac:dyDescent="0.25">
      <c r="A123" s="46" t="s">
        <v>265</v>
      </c>
      <c r="B123" s="45">
        <v>42.05433</v>
      </c>
      <c r="C123" s="45">
        <v>24.012</v>
      </c>
      <c r="D123" s="60">
        <v>57.097568787803773</v>
      </c>
    </row>
    <row r="124" spans="1:4" x14ac:dyDescent="0.25">
      <c r="A124" s="46" t="s">
        <v>277</v>
      </c>
      <c r="B124" s="45">
        <v>-7.8768799999999999</v>
      </c>
      <c r="C124" s="45">
        <v>25.894469999999998</v>
      </c>
      <c r="D124" s="60" t="s">
        <v>22</v>
      </c>
    </row>
    <row r="125" spans="1:4" x14ac:dyDescent="0.25">
      <c r="A125" s="46" t="s">
        <v>266</v>
      </c>
      <c r="B125" s="45">
        <v>9.1667199999999998</v>
      </c>
      <c r="C125" s="45">
        <v>27.49258</v>
      </c>
      <c r="D125" s="60" t="s">
        <v>255</v>
      </c>
    </row>
    <row r="126" spans="1:4" x14ac:dyDescent="0.25">
      <c r="A126" s="46" t="s">
        <v>103</v>
      </c>
      <c r="B126" s="45">
        <v>-204.21713</v>
      </c>
      <c r="C126" s="45">
        <v>33.815219999999997</v>
      </c>
      <c r="D126" s="60" t="s">
        <v>22</v>
      </c>
    </row>
    <row r="127" spans="1:4" x14ac:dyDescent="0.25">
      <c r="A127" s="46" t="s">
        <v>253</v>
      </c>
      <c r="B127" s="45">
        <v>29.908249999999999</v>
      </c>
      <c r="C127" s="45">
        <f>IF(41.40671="","-",41.40671)</f>
        <v>41.406709999999997</v>
      </c>
      <c r="D127" s="60">
        <f>IF(OR(29.90825="",41.40671="",29.90825=0),"-",41.40671/29.90825*100)</f>
        <v>138.44578001053222</v>
      </c>
    </row>
    <row r="128" spans="1:4" x14ac:dyDescent="0.25">
      <c r="A128" s="46" t="s">
        <v>286</v>
      </c>
      <c r="B128" s="45">
        <v>283.14747</v>
      </c>
      <c r="C128" s="45">
        <v>44.284379999999999</v>
      </c>
      <c r="D128" s="60">
        <v>15.640040859273791</v>
      </c>
    </row>
    <row r="129" spans="1:4" x14ac:dyDescent="0.25">
      <c r="A129" s="46" t="s">
        <v>177</v>
      </c>
      <c r="B129" s="45">
        <v>637.32574999999997</v>
      </c>
      <c r="C129" s="45">
        <v>53.723599999999998</v>
      </c>
      <c r="D129" s="60">
        <v>8.4295354455708082</v>
      </c>
    </row>
    <row r="130" spans="1:4" x14ac:dyDescent="0.25">
      <c r="A130" s="46" t="s">
        <v>165</v>
      </c>
      <c r="B130" s="45">
        <v>65.357770000000002</v>
      </c>
      <c r="C130" s="45">
        <f>IF(93.79216="","-",93.79216)</f>
        <v>93.792159999999996</v>
      </c>
      <c r="D130" s="60">
        <f>IF(OR(65.35777="",93.79216="",65.35777=0),"-",93.79216/65.35777*100)</f>
        <v>143.5057530267633</v>
      </c>
    </row>
    <row r="131" spans="1:4" x14ac:dyDescent="0.25">
      <c r="A131" s="46" t="s">
        <v>132</v>
      </c>
      <c r="B131" s="45">
        <v>3265.3386700000001</v>
      </c>
      <c r="C131" s="45">
        <v>119.97</v>
      </c>
      <c r="D131" s="60">
        <v>3.6740446282712842</v>
      </c>
    </row>
    <row r="132" spans="1:4" x14ac:dyDescent="0.25">
      <c r="A132" s="46" t="s">
        <v>152</v>
      </c>
      <c r="B132" s="45">
        <v>43.232460000000003</v>
      </c>
      <c r="C132" s="45">
        <f>IF(129.72873="","-",129.72873)</f>
        <v>129.72873000000001</v>
      </c>
      <c r="D132" s="60" t="s">
        <v>255</v>
      </c>
    </row>
    <row r="133" spans="1:4" x14ac:dyDescent="0.25">
      <c r="A133" s="46" t="s">
        <v>171</v>
      </c>
      <c r="B133" s="45">
        <v>197.6455</v>
      </c>
      <c r="C133" s="45">
        <v>223.99680000000001</v>
      </c>
      <c r="D133" s="60">
        <v>113.33260812920103</v>
      </c>
    </row>
    <row r="134" spans="1:4" x14ac:dyDescent="0.25">
      <c r="A134" s="46" t="s">
        <v>137</v>
      </c>
      <c r="B134" s="45">
        <v>434.81596999999999</v>
      </c>
      <c r="C134" s="45">
        <f>IF(316.98912="","-",316.98912)</f>
        <v>316.98912000000001</v>
      </c>
      <c r="D134" s="60">
        <f>IF(OR(434.81597="",316.98912="",434.81597=0),"-",316.98912/434.81597*100)</f>
        <v>72.901903764022293</v>
      </c>
    </row>
    <row r="135" spans="1:4" x14ac:dyDescent="0.25">
      <c r="A135" s="46" t="s">
        <v>175</v>
      </c>
      <c r="B135" s="45">
        <v>163.68732</v>
      </c>
      <c r="C135" s="45">
        <v>359.51620000000003</v>
      </c>
      <c r="D135" s="60" t="s">
        <v>242</v>
      </c>
    </row>
    <row r="136" spans="1:4" x14ac:dyDescent="0.25">
      <c r="A136" s="46" t="s">
        <v>176</v>
      </c>
      <c r="B136" s="45">
        <v>903.33578</v>
      </c>
      <c r="C136" s="45">
        <v>395.45679999999999</v>
      </c>
      <c r="D136" s="60">
        <v>43.777386964568144</v>
      </c>
    </row>
    <row r="137" spans="1:4" x14ac:dyDescent="0.25">
      <c r="A137" s="46" t="s">
        <v>166</v>
      </c>
      <c r="B137" s="45">
        <v>427.79730000000001</v>
      </c>
      <c r="C137" s="45">
        <v>415.00491</v>
      </c>
      <c r="D137" s="60">
        <v>97.00970763490092</v>
      </c>
    </row>
    <row r="138" spans="1:4" x14ac:dyDescent="0.25">
      <c r="A138" s="46" t="s">
        <v>97</v>
      </c>
      <c r="B138" s="45">
        <v>755.40517999999997</v>
      </c>
      <c r="C138" s="45">
        <v>440.95073000000002</v>
      </c>
      <c r="D138" s="60">
        <v>58.372743750579005</v>
      </c>
    </row>
    <row r="139" spans="1:4" x14ac:dyDescent="0.25">
      <c r="A139" s="46" t="s">
        <v>110</v>
      </c>
      <c r="B139" s="45">
        <v>1176.8295800000001</v>
      </c>
      <c r="C139" s="45">
        <f>IF(468.74199="","-",468.74199)</f>
        <v>468.74198999999999</v>
      </c>
      <c r="D139" s="60">
        <f>IF(OR(1176.82958="",468.74199="",1176.82958=0),"-",468.74199/1176.82958*100)</f>
        <v>39.830915025096495</v>
      </c>
    </row>
    <row r="140" spans="1:4" x14ac:dyDescent="0.25">
      <c r="A140" s="46" t="s">
        <v>38</v>
      </c>
      <c r="B140" s="45">
        <v>194.54042999999999</v>
      </c>
      <c r="C140" s="45">
        <v>530.50509</v>
      </c>
      <c r="D140" s="60" t="s">
        <v>288</v>
      </c>
    </row>
    <row r="141" spans="1:4" x14ac:dyDescent="0.25">
      <c r="A141" s="46" t="s">
        <v>142</v>
      </c>
      <c r="B141" s="45">
        <v>115.06037999999999</v>
      </c>
      <c r="C141" s="45">
        <v>603.41070999999999</v>
      </c>
      <c r="D141" s="60" t="s">
        <v>278</v>
      </c>
    </row>
    <row r="142" spans="1:4" x14ac:dyDescent="0.25">
      <c r="A142" s="46" t="s">
        <v>136</v>
      </c>
      <c r="B142" s="45">
        <v>627.90779999999995</v>
      </c>
      <c r="C142" s="45">
        <v>1130.2453599999999</v>
      </c>
      <c r="D142" s="60" t="s">
        <v>243</v>
      </c>
    </row>
    <row r="143" spans="1:4" x14ac:dyDescent="0.25">
      <c r="A143" s="46" t="s">
        <v>78</v>
      </c>
      <c r="B143" s="45">
        <v>1510.0127600000001</v>
      </c>
      <c r="C143" s="45">
        <f>IF(1181.67621="","-",1181.67621)</f>
        <v>1181.6762100000001</v>
      </c>
      <c r="D143" s="60">
        <f>IF(OR(1510.01276="",1181.67621="",1510.01276=0),"-",1181.67621/1510.01276*100)</f>
        <v>78.25604135954454</v>
      </c>
    </row>
    <row r="144" spans="1:4" x14ac:dyDescent="0.25">
      <c r="A144" s="46" t="s">
        <v>68</v>
      </c>
      <c r="B144" s="45">
        <v>-1712.9286500000001</v>
      </c>
      <c r="C144" s="45">
        <v>1782.39636</v>
      </c>
      <c r="D144" s="60" t="s">
        <v>22</v>
      </c>
    </row>
    <row r="145" spans="1:4" x14ac:dyDescent="0.25">
      <c r="A145" s="46" t="s">
        <v>131</v>
      </c>
      <c r="B145" s="45">
        <v>14935.83683</v>
      </c>
      <c r="C145" s="45">
        <f>IF(3734.81082="","-",3734.81082)</f>
        <v>3734.8108200000001</v>
      </c>
      <c r="D145" s="60">
        <f>IF(OR(14935.83683="",3734.81082="",14935.83683=0),"-",3734.81082/14935.83683*100)</f>
        <v>25.005701806398218</v>
      </c>
    </row>
    <row r="146" spans="1:4" x14ac:dyDescent="0.25">
      <c r="A146" s="46" t="s">
        <v>135</v>
      </c>
      <c r="B146" s="45">
        <v>791.17100000000005</v>
      </c>
      <c r="C146" s="45">
        <v>4519.5946599999997</v>
      </c>
      <c r="D146" s="60" t="s">
        <v>261</v>
      </c>
    </row>
    <row r="147" spans="1:4" x14ac:dyDescent="0.25">
      <c r="A147" s="46" t="s">
        <v>58</v>
      </c>
      <c r="B147" s="45">
        <v>8219.1031299999995</v>
      </c>
      <c r="C147" s="45">
        <v>5947.9005900000002</v>
      </c>
      <c r="D147" s="60">
        <v>72.366783770968453</v>
      </c>
    </row>
    <row r="148" spans="1:4" x14ac:dyDescent="0.25">
      <c r="A148" s="46" t="s">
        <v>61</v>
      </c>
      <c r="B148" s="45">
        <v>11189.103230000001</v>
      </c>
      <c r="C148" s="45">
        <v>10914.39848</v>
      </c>
      <c r="D148" s="60">
        <v>97.544890378136216</v>
      </c>
    </row>
    <row r="149" spans="1:4" x14ac:dyDescent="0.25">
      <c r="A149" s="46" t="s">
        <v>59</v>
      </c>
      <c r="B149" s="45">
        <v>16810.377860000001</v>
      </c>
      <c r="C149" s="45">
        <v>17834.209579999999</v>
      </c>
      <c r="D149" s="60">
        <v>106.09047416141779</v>
      </c>
    </row>
    <row r="150" spans="1:4" x14ac:dyDescent="0.25">
      <c r="A150" s="49" t="s">
        <v>130</v>
      </c>
      <c r="B150" s="50">
        <v>45333.73126</v>
      </c>
      <c r="C150" s="50">
        <v>24726.749</v>
      </c>
      <c r="D150" s="114">
        <v>54.543820490279224</v>
      </c>
    </row>
    <row r="151" spans="1:4" x14ac:dyDescent="0.25">
      <c r="A151" s="26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I30" sqref="I30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1" t="s">
        <v>244</v>
      </c>
      <c r="B1" s="81"/>
      <c r="C1" s="81"/>
      <c r="D1" s="81"/>
      <c r="E1" s="81"/>
    </row>
    <row r="2" spans="1:6" x14ac:dyDescent="0.25">
      <c r="A2" s="9"/>
      <c r="B2" s="9"/>
      <c r="C2" s="9"/>
      <c r="D2" s="9"/>
      <c r="E2" s="9"/>
    </row>
    <row r="3" spans="1:6" x14ac:dyDescent="0.25">
      <c r="A3" s="82"/>
      <c r="B3" s="85" t="s">
        <v>279</v>
      </c>
      <c r="C3" s="86"/>
      <c r="D3" s="85" t="s">
        <v>109</v>
      </c>
      <c r="E3" s="101"/>
      <c r="F3" s="1"/>
    </row>
    <row r="4" spans="1:6" ht="18" customHeight="1" x14ac:dyDescent="0.25">
      <c r="A4" s="83"/>
      <c r="B4" s="89" t="s">
        <v>123</v>
      </c>
      <c r="C4" s="91" t="s">
        <v>280</v>
      </c>
      <c r="D4" s="93" t="s">
        <v>281</v>
      </c>
      <c r="E4" s="85"/>
      <c r="F4" s="1"/>
    </row>
    <row r="5" spans="1:6" ht="22.5" customHeight="1" x14ac:dyDescent="0.25">
      <c r="A5" s="84"/>
      <c r="B5" s="90"/>
      <c r="C5" s="92"/>
      <c r="D5" s="23">
        <v>2019</v>
      </c>
      <c r="E5" s="22">
        <v>2020</v>
      </c>
      <c r="F5" s="1"/>
    </row>
    <row r="6" spans="1:6" ht="15.75" customHeight="1" x14ac:dyDescent="0.25">
      <c r="A6" s="63" t="s">
        <v>156</v>
      </c>
      <c r="B6" s="64">
        <v>2266944.5468199998</v>
      </c>
      <c r="C6" s="65">
        <v>88.522345953464722</v>
      </c>
      <c r="D6" s="120">
        <v>100</v>
      </c>
      <c r="E6" s="120">
        <v>100</v>
      </c>
    </row>
    <row r="7" spans="1:6" ht="15.75" customHeight="1" x14ac:dyDescent="0.25">
      <c r="A7" s="66" t="s">
        <v>138</v>
      </c>
      <c r="B7" s="67"/>
      <c r="C7" s="68"/>
      <c r="D7" s="121"/>
      <c r="E7" s="121"/>
    </row>
    <row r="8" spans="1:6" x14ac:dyDescent="0.25">
      <c r="A8" s="69" t="s">
        <v>113</v>
      </c>
      <c r="B8" s="45">
        <v>157930.75130999999</v>
      </c>
      <c r="C8" s="70">
        <v>91.432304780773578</v>
      </c>
      <c r="D8" s="117">
        <f>IF(172729.70608="","-",172729.70608/2560872.65018*100)</f>
        <v>6.7449549304163599</v>
      </c>
      <c r="E8" s="117">
        <f>IF(157930.75131="","-",157930.75131/2266944.54682*100)</f>
        <v>6.9666790716844131</v>
      </c>
    </row>
    <row r="9" spans="1:6" x14ac:dyDescent="0.25">
      <c r="A9" s="69" t="s">
        <v>114</v>
      </c>
      <c r="B9" s="45">
        <v>64488.390639999998</v>
      </c>
      <c r="C9" s="70">
        <v>56.148487610493071</v>
      </c>
      <c r="D9" s="117">
        <f>IF(114853.2995="","-",114853.2995/2560872.65018*100)</f>
        <v>4.4849281939860282</v>
      </c>
      <c r="E9" s="117">
        <f>IF(64488.39064="","-",64488.39064/2266944.54682*100)</f>
        <v>2.8447273106200299</v>
      </c>
    </row>
    <row r="10" spans="1:6" x14ac:dyDescent="0.25">
      <c r="A10" s="69" t="s">
        <v>115</v>
      </c>
      <c r="B10" s="45">
        <v>2001151.6566300001</v>
      </c>
      <c r="C10" s="70">
        <v>89.736325651621073</v>
      </c>
      <c r="D10" s="117">
        <f>IF(2230035.20826="","-",2230035.20826/2560872.65018*100)</f>
        <v>87.081066217925923</v>
      </c>
      <c r="E10" s="117">
        <f>IF(2001151.65663="","-",2001151.65663/2266944.54682*100)</f>
        <v>88.275280462292486</v>
      </c>
    </row>
    <row r="11" spans="1:6" x14ac:dyDescent="0.25">
      <c r="A11" s="69" t="s">
        <v>116</v>
      </c>
      <c r="B11" s="45">
        <v>42360.439489999997</v>
      </c>
      <c r="C11" s="70">
        <v>105.3639195098159</v>
      </c>
      <c r="D11" s="117">
        <f>IF(40203.93289="","-",40203.93289/2560872.65018*100)</f>
        <v>1.5699309720525978</v>
      </c>
      <c r="E11" s="117">
        <f>IF(42360.43949="","-",42360.43949/2266944.54682*100)</f>
        <v>1.8686138374854346</v>
      </c>
    </row>
    <row r="12" spans="1:6" x14ac:dyDescent="0.25">
      <c r="A12" s="69" t="s">
        <v>117</v>
      </c>
      <c r="B12" s="45">
        <v>946.70627999999999</v>
      </c>
      <c r="C12" s="70">
        <v>37.314344973367561</v>
      </c>
      <c r="D12" s="117">
        <f>IF(2537.11081="","-",2537.11081/2560872.65018*100)</f>
        <v>9.9072119412953644E-2</v>
      </c>
      <c r="E12" s="117">
        <f>IF(946.70628="","-",946.70628/2266944.54682*100)</f>
        <v>4.176133383271375E-2</v>
      </c>
    </row>
    <row r="13" spans="1:6" x14ac:dyDescent="0.25">
      <c r="A13" s="69" t="s">
        <v>118</v>
      </c>
      <c r="B13" s="45">
        <v>6.5867100000000001</v>
      </c>
      <c r="C13" s="70">
        <v>91.383592128483741</v>
      </c>
      <c r="D13" s="117">
        <f>IF(7.20776="","-",7.20776/2560872.65018*100)</f>
        <v>2.8145718216379787E-4</v>
      </c>
      <c r="E13" s="117">
        <f>IF(6.58671="","-",6.58671/2266944.54682*100)</f>
        <v>2.9055452676333152E-4</v>
      </c>
    </row>
    <row r="14" spans="1:6" x14ac:dyDescent="0.25">
      <c r="A14" s="69" t="s">
        <v>119</v>
      </c>
      <c r="B14" s="45">
        <v>60.01576</v>
      </c>
      <c r="C14" s="70">
        <v>11.85649006347246</v>
      </c>
      <c r="D14" s="117">
        <f>IF(506.18488="","-",506.18488/2560872.65018*100)</f>
        <v>1.9766109023985283E-2</v>
      </c>
      <c r="E14" s="117">
        <f>IF(60.01576="","-",60.01576/2266944.54682*100)</f>
        <v>2.6474295581772507E-3</v>
      </c>
    </row>
    <row r="15" spans="1:6" x14ac:dyDescent="0.25">
      <c r="A15" s="42" t="s">
        <v>249</v>
      </c>
      <c r="B15" s="43">
        <v>1520452.31271</v>
      </c>
      <c r="C15" s="71">
        <v>92.88666596162814</v>
      </c>
      <c r="D15" s="116">
        <f>IF(1636889.74835="","-",1636889.74835/2560872.65018*100)</f>
        <v>63.919217077621781</v>
      </c>
      <c r="E15" s="116">
        <f>IF(1520452.31271="","-",1520452.31271/2266944.54682*100)</f>
        <v>67.070556041736609</v>
      </c>
    </row>
    <row r="16" spans="1:6" x14ac:dyDescent="0.25">
      <c r="A16" s="66" t="s">
        <v>138</v>
      </c>
      <c r="B16" s="32"/>
      <c r="C16" s="71"/>
      <c r="D16" s="38"/>
      <c r="E16" s="38"/>
    </row>
    <row r="17" spans="1:11" x14ac:dyDescent="0.25">
      <c r="A17" s="69" t="s">
        <v>113</v>
      </c>
      <c r="B17" s="72">
        <v>76736.528940000004</v>
      </c>
      <c r="C17" s="73">
        <v>91.134913955217201</v>
      </c>
      <c r="D17" s="117">
        <f>IF(84201.02199="","-",84201.02199/2560872.65018*100)</f>
        <v>3.2879816176755852</v>
      </c>
      <c r="E17" s="117">
        <f>IF(76736.52894="","-",76736.52894/2266944.54682*100)</f>
        <v>3.3850201165107299</v>
      </c>
      <c r="K17" s="25"/>
    </row>
    <row r="18" spans="1:11" x14ac:dyDescent="0.25">
      <c r="A18" s="69" t="s">
        <v>114</v>
      </c>
      <c r="B18" s="72">
        <v>13735.03724</v>
      </c>
      <c r="C18" s="73">
        <v>41.612267126633284</v>
      </c>
      <c r="D18" s="117">
        <f>IF(33007.18319="","-",33007.18319/2560872.65018*100)</f>
        <v>1.2889037331739233</v>
      </c>
      <c r="E18" s="117">
        <f>IF(13735.03724="","-",13735.03724/2266944.54682*100)</f>
        <v>0.60588324753100331</v>
      </c>
    </row>
    <row r="19" spans="1:11" x14ac:dyDescent="0.25">
      <c r="A19" s="69" t="s">
        <v>115</v>
      </c>
      <c r="B19" s="72">
        <v>1407015.9821500001</v>
      </c>
      <c r="C19" s="73">
        <v>92.940974837357913</v>
      </c>
      <c r="D19" s="117">
        <f>IF(1513881.2398="","-",1513881.2398/2560872.65018*100)</f>
        <v>59.115834584495708</v>
      </c>
      <c r="E19" s="117">
        <f>IF(1407015.98215="","-",1407015.98215/2266944.54682*100)</f>
        <v>62.066625499230618</v>
      </c>
    </row>
    <row r="20" spans="1:11" x14ac:dyDescent="0.25">
      <c r="A20" s="69" t="s">
        <v>116</v>
      </c>
      <c r="B20" s="72">
        <v>22452.503179999901</v>
      </c>
      <c r="C20" s="73" t="s">
        <v>298</v>
      </c>
      <c r="D20" s="117">
        <f>IF(4907.38072="","-",4907.38072/2560872.65018*100)</f>
        <v>0.19162923699681308</v>
      </c>
      <c r="E20" s="117">
        <f>IF(22452.5031799999="","-",22452.5031799999/2266944.54682*100)</f>
        <v>0.99043018990012721</v>
      </c>
    </row>
    <row r="21" spans="1:11" x14ac:dyDescent="0.25">
      <c r="A21" s="69" t="s">
        <v>117</v>
      </c>
      <c r="B21" s="72">
        <v>467.67977000000002</v>
      </c>
      <c r="C21" s="73">
        <v>90.885782742140137</v>
      </c>
      <c r="D21" s="117">
        <f>IF(514.57968="","-",514.57968/2560872.65018*100)</f>
        <v>2.0093919155403182E-2</v>
      </c>
      <c r="E21" s="117">
        <f>IF(467.67977="","-",467.67977/2266944.54682*100)</f>
        <v>2.0630401862103191E-2</v>
      </c>
    </row>
    <row r="22" spans="1:11" x14ac:dyDescent="0.25">
      <c r="A22" s="41" t="s">
        <v>119</v>
      </c>
      <c r="B22" s="72">
        <v>44.581429999999997</v>
      </c>
      <c r="C22" s="73">
        <v>11.783337747758337</v>
      </c>
      <c r="D22" s="117">
        <f>IF(378.34297="","-",378.34297/2560872.65018*100)</f>
        <v>1.4773986124355182E-2</v>
      </c>
      <c r="E22" s="117">
        <f>IF(44.58143="","-",44.58143/2266944.54682*100)</f>
        <v>1.9665867020231022E-3</v>
      </c>
    </row>
    <row r="23" spans="1:11" x14ac:dyDescent="0.25">
      <c r="A23" s="42" t="s">
        <v>250</v>
      </c>
      <c r="B23" s="43">
        <v>339991.37352999998</v>
      </c>
      <c r="C23" s="71">
        <v>84.072446124303937</v>
      </c>
      <c r="D23" s="116">
        <f>IF(404402.85635="","-",404402.85635/2560872.65018*100)</f>
        <v>15.791603550515296</v>
      </c>
      <c r="E23" s="116">
        <f>IF(339991.37353="","-",339991.37353/2266944.54682*100)</f>
        <v>14.997780779725268</v>
      </c>
    </row>
    <row r="24" spans="1:11" x14ac:dyDescent="0.25">
      <c r="A24" s="66" t="s">
        <v>138</v>
      </c>
      <c r="B24" s="43"/>
      <c r="C24" s="71"/>
      <c r="D24" s="38"/>
      <c r="E24" s="38"/>
    </row>
    <row r="25" spans="1:11" x14ac:dyDescent="0.25">
      <c r="A25" s="69" t="s">
        <v>113</v>
      </c>
      <c r="B25" s="45">
        <v>3325.6526800000001</v>
      </c>
      <c r="C25" s="73">
        <v>48.926437369896391</v>
      </c>
      <c r="D25" s="117">
        <f>IF(6797.25085="","-",6797.25085/2560872.65018*100)</f>
        <v>0.26542713279874469</v>
      </c>
      <c r="E25" s="117">
        <f>IF(3325.65268="","-",3325.65268/2266944.54682*100)</f>
        <v>0.14670198636597104</v>
      </c>
    </row>
    <row r="26" spans="1:11" x14ac:dyDescent="0.25">
      <c r="A26" s="69" t="s">
        <v>114</v>
      </c>
      <c r="B26" s="45">
        <v>7261.6228799999999</v>
      </c>
      <c r="C26" s="73">
        <v>48.755895289667208</v>
      </c>
      <c r="D26" s="117">
        <f>IF(14893.83558="","-",14893.83558/2560872.65018*100)</f>
        <v>0.58159219978990895</v>
      </c>
      <c r="E26" s="117">
        <f>IF(7261.62288="","-",7261.62288/2266944.54682*100)</f>
        <v>0.32032644513454822</v>
      </c>
      <c r="F26" s="1"/>
      <c r="G26" s="1"/>
    </row>
    <row r="27" spans="1:11" x14ac:dyDescent="0.25">
      <c r="A27" s="69" t="s">
        <v>115</v>
      </c>
      <c r="B27" s="45">
        <v>321556.58373000001</v>
      </c>
      <c r="C27" s="73">
        <v>86.518553341457221</v>
      </c>
      <c r="D27" s="117">
        <f>IF(371661.9977="","-",371661.9977/2560872.65018*100)</f>
        <v>14.513099574626503</v>
      </c>
      <c r="E27" s="117">
        <f>IF(321556.58373="","-",321556.58373/2266944.54682*100)</f>
        <v>14.184580923299148</v>
      </c>
      <c r="F27" s="12"/>
      <c r="G27" s="12"/>
    </row>
    <row r="28" spans="1:11" x14ac:dyDescent="0.25">
      <c r="A28" s="69" t="s">
        <v>116</v>
      </c>
      <c r="B28" s="45">
        <v>7713.8821099999996</v>
      </c>
      <c r="C28" s="73">
        <v>80.930509766609617</v>
      </c>
      <c r="D28" s="117">
        <f>IF(9531.48834999999="","-",9531.48834999999/2560872.65018*100)</f>
        <v>0.37219688957707586</v>
      </c>
      <c r="E28" s="117">
        <f>IF(7713.88211="","-",7713.88211/2266944.54682*100)</f>
        <v>0.34027661244827523</v>
      </c>
    </row>
    <row r="29" spans="1:11" x14ac:dyDescent="0.25">
      <c r="A29" s="69" t="s">
        <v>117</v>
      </c>
      <c r="B29" s="45">
        <v>111.61109</v>
      </c>
      <c r="C29" s="73">
        <v>7.4610399775276557</v>
      </c>
      <c r="D29" s="117">
        <f>IF(1495.91867="","-",1495.91867/2560872.65018*100)</f>
        <v>5.8414410802304209E-2</v>
      </c>
      <c r="E29" s="117">
        <f>IF(111.61109="","-",111.61109/2266944.54682*100)</f>
        <v>4.9234150944082247E-3</v>
      </c>
    </row>
    <row r="30" spans="1:11" x14ac:dyDescent="0.25">
      <c r="A30" s="69" t="s">
        <v>118</v>
      </c>
      <c r="B30" s="45">
        <v>6.5867100000000001</v>
      </c>
      <c r="C30" s="73">
        <v>91.383592128483741</v>
      </c>
      <c r="D30" s="117">
        <f>IF(7.20776="","-",7.20776/2560872.65018*100)</f>
        <v>2.8145718216379787E-4</v>
      </c>
      <c r="E30" s="117">
        <f>IF(6.58671="","-",6.58671/2266944.54682*100)</f>
        <v>2.9055452676333152E-4</v>
      </c>
    </row>
    <row r="31" spans="1:11" x14ac:dyDescent="0.25">
      <c r="A31" s="69" t="s">
        <v>119</v>
      </c>
      <c r="B31" s="45">
        <v>15.434329999999999</v>
      </c>
      <c r="C31" s="73">
        <v>101.82675966390103</v>
      </c>
      <c r="D31" s="117">
        <f>IF(15.15744="","-",15.15744/2560872.65018*100)</f>
        <v>5.9188573859518577E-4</v>
      </c>
      <c r="E31" s="117">
        <f>IF(15.43433="","-",15.43433/2266944.54682*100)</f>
        <v>6.808428561541482E-4</v>
      </c>
    </row>
    <row r="32" spans="1:11" x14ac:dyDescent="0.25">
      <c r="A32" s="42" t="s">
        <v>262</v>
      </c>
      <c r="B32" s="43">
        <v>406500.86057999998</v>
      </c>
      <c r="C32" s="71">
        <v>78.236426536447368</v>
      </c>
      <c r="D32" s="116">
        <f>IF(519580.04548="","-",519580.04548/2560872.65018*100)</f>
        <v>20.289179371862925</v>
      </c>
      <c r="E32" s="116">
        <f>IF(406500.86058="","-",406500.86058/2266944.54682*100)</f>
        <v>17.93166317853813</v>
      </c>
    </row>
    <row r="33" spans="1:5" x14ac:dyDescent="0.25">
      <c r="A33" s="66" t="s">
        <v>138</v>
      </c>
      <c r="B33" s="43"/>
      <c r="C33" s="71"/>
      <c r="D33" s="38"/>
      <c r="E33" s="38"/>
    </row>
    <row r="34" spans="1:5" x14ac:dyDescent="0.25">
      <c r="A34" s="69" t="s">
        <v>113</v>
      </c>
      <c r="B34" s="45">
        <v>77868.569690000004</v>
      </c>
      <c r="C34" s="73">
        <v>95.273711230957005</v>
      </c>
      <c r="D34" s="117">
        <f>IF(81731.43324="","-",81731.43324/2560872.65018*100)</f>
        <v>3.1915461799420295</v>
      </c>
      <c r="E34" s="117">
        <f>IF(77868.56969="","-",77868.56969/2266944.54682*100)</f>
        <v>3.4349569688077128</v>
      </c>
    </row>
    <row r="35" spans="1:5" x14ac:dyDescent="0.25">
      <c r="A35" s="69" t="s">
        <v>114</v>
      </c>
      <c r="B35" s="45">
        <v>43491.730519999997</v>
      </c>
      <c r="C35" s="73">
        <v>64.959296450841009</v>
      </c>
      <c r="D35" s="117">
        <f>IF(66952.28073="","-",66952.28073/2560872.65018*100)</f>
        <v>2.6144322610221957</v>
      </c>
      <c r="E35" s="117">
        <f>IF(43491.73052="","-",43491.73052/2266944.54682*100)</f>
        <v>1.9185176179544781</v>
      </c>
    </row>
    <row r="36" spans="1:5" x14ac:dyDescent="0.25">
      <c r="A36" s="69" t="s">
        <v>115</v>
      </c>
      <c r="B36" s="45">
        <v>272579.09074999997</v>
      </c>
      <c r="C36" s="73">
        <v>79.124947425813843</v>
      </c>
      <c r="D36" s="117">
        <f>IF(344491.97076="","-",344491.97076/2560872.65018*100)</f>
        <v>13.452132058803713</v>
      </c>
      <c r="E36" s="117">
        <f>IF(272579.09075="","-",272579.09075/2266944.54682*100)</f>
        <v>12.024074039762707</v>
      </c>
    </row>
    <row r="37" spans="1:5" x14ac:dyDescent="0.25">
      <c r="A37" s="69" t="s">
        <v>116</v>
      </c>
      <c r="B37" s="45">
        <v>12194.0542</v>
      </c>
      <c r="C37" s="73">
        <v>47.327863362536789</v>
      </c>
      <c r="D37" s="117">
        <f>IF(25765.06382="","-",25765.06382/2560872.65018*100)</f>
        <v>1.0061048454787085</v>
      </c>
      <c r="E37" s="117">
        <f>IF(12194.0542="","-",12194.0542/2266944.54682*100)</f>
        <v>0.5379070351370282</v>
      </c>
    </row>
    <row r="38" spans="1:5" x14ac:dyDescent="0.25">
      <c r="A38" s="41" t="s">
        <v>117</v>
      </c>
      <c r="B38" s="45">
        <v>367.41541999999998</v>
      </c>
      <c r="C38" s="73">
        <v>69.769602489086552</v>
      </c>
      <c r="D38" s="117">
        <f>IF(526.61246="","-",526.61246/2560872.65018*100)</f>
        <v>2.0563789455246249E-2</v>
      </c>
      <c r="E38" s="117">
        <f>IF(367.41542="","-",367.41542/2266944.54682*100)</f>
        <v>1.6207516876202335E-2</v>
      </c>
    </row>
    <row r="39" spans="1:5" x14ac:dyDescent="0.25">
      <c r="A39" s="74" t="s">
        <v>119</v>
      </c>
      <c r="B39" s="50" t="s">
        <v>150</v>
      </c>
      <c r="C39" s="75" t="s">
        <v>22</v>
      </c>
      <c r="D39" s="119">
        <f>IF(112.68447="","-",112.68447/2560872.65018*100)</f>
        <v>4.4002371610349141E-3</v>
      </c>
      <c r="E39" s="119" t="s">
        <v>150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H27" sqref="H27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1" t="s">
        <v>245</v>
      </c>
      <c r="B1" s="81"/>
      <c r="C1" s="81"/>
      <c r="D1" s="81"/>
      <c r="E1" s="81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2"/>
      <c r="B3" s="85" t="s">
        <v>279</v>
      </c>
      <c r="C3" s="86"/>
      <c r="D3" s="85" t="s">
        <v>109</v>
      </c>
      <c r="E3" s="101"/>
      <c r="F3" s="1"/>
    </row>
    <row r="4" spans="1:6" ht="20.25" customHeight="1" x14ac:dyDescent="0.25">
      <c r="A4" s="83"/>
      <c r="B4" s="89" t="s">
        <v>123</v>
      </c>
      <c r="C4" s="91" t="s">
        <v>280</v>
      </c>
      <c r="D4" s="93" t="s">
        <v>281</v>
      </c>
      <c r="E4" s="85"/>
      <c r="F4" s="1"/>
    </row>
    <row r="5" spans="1:6" ht="20.25" customHeight="1" x14ac:dyDescent="0.25">
      <c r="A5" s="84"/>
      <c r="B5" s="90"/>
      <c r="C5" s="92"/>
      <c r="D5" s="30">
        <v>2019</v>
      </c>
      <c r="E5" s="29">
        <v>2020</v>
      </c>
      <c r="F5" s="1"/>
    </row>
    <row r="6" spans="1:6" ht="15.75" customHeight="1" x14ac:dyDescent="0.25">
      <c r="A6" s="63" t="s">
        <v>139</v>
      </c>
      <c r="B6" s="64">
        <v>4848565.1917599998</v>
      </c>
      <c r="C6" s="76">
        <v>91.433808492951428</v>
      </c>
      <c r="D6" s="120">
        <v>100</v>
      </c>
      <c r="E6" s="120">
        <v>100</v>
      </c>
    </row>
    <row r="7" spans="1:6" ht="15.75" customHeight="1" x14ac:dyDescent="0.25">
      <c r="A7" s="66" t="s">
        <v>138</v>
      </c>
      <c r="B7" s="31"/>
      <c r="C7" s="68"/>
      <c r="D7" s="121"/>
      <c r="E7" s="121"/>
    </row>
    <row r="8" spans="1:6" x14ac:dyDescent="0.25">
      <c r="A8" s="69" t="s">
        <v>113</v>
      </c>
      <c r="B8" s="45">
        <v>70416.805319999999</v>
      </c>
      <c r="C8" s="70">
        <v>63.191661415618952</v>
      </c>
      <c r="D8" s="117">
        <f>IF(111433.69828="","-",111433.69828/5302814.4312*100)</f>
        <v>2.1014067100738258</v>
      </c>
      <c r="E8" s="117">
        <f>IF(70416.80532="","-",70416.80532/4848565.19176*100)</f>
        <v>1.4523225435778688</v>
      </c>
    </row>
    <row r="9" spans="1:6" x14ac:dyDescent="0.25">
      <c r="A9" s="69" t="s">
        <v>114</v>
      </c>
      <c r="B9" s="45">
        <v>222980.75901000001</v>
      </c>
      <c r="C9" s="70">
        <v>88.9534899631239</v>
      </c>
      <c r="D9" s="117">
        <f>IF(250671.17558="","-",250671.17558/5302814.4312*100)</f>
        <v>4.7271345967743841</v>
      </c>
      <c r="E9" s="117">
        <f>IF(222980.75901="","-",222980.75901/4848565.19176*100)</f>
        <v>4.598901947094566</v>
      </c>
    </row>
    <row r="10" spans="1:6" x14ac:dyDescent="0.25">
      <c r="A10" s="69" t="s">
        <v>115</v>
      </c>
      <c r="B10" s="45">
        <v>4253766.2882899996</v>
      </c>
      <c r="C10" s="70">
        <v>94.509652006747231</v>
      </c>
      <c r="D10" s="117">
        <f>IF(4500880.27833="","-",4500880.27833/5302814.4312*100)</f>
        <v>84.877197509464295</v>
      </c>
      <c r="E10" s="117">
        <f>IF(4253766.28829="","-",4253766.28829/4848565.19176*100)</f>
        <v>87.732475898625765</v>
      </c>
    </row>
    <row r="11" spans="1:6" x14ac:dyDescent="0.25">
      <c r="A11" s="69" t="s">
        <v>116</v>
      </c>
      <c r="B11" s="45">
        <v>113844.71060000001</v>
      </c>
      <c r="C11" s="70">
        <v>78.928945810451324</v>
      </c>
      <c r="D11" s="117">
        <f>IF(144236.95823="","-",144236.95823/5302814.4312*100)</f>
        <v>2.7200076506799404</v>
      </c>
      <c r="E11" s="117">
        <f>IF(113844.7106="","-",113844.7106/4848565.19176*100)</f>
        <v>2.3480082477487545</v>
      </c>
    </row>
    <row r="12" spans="1:6" x14ac:dyDescent="0.25">
      <c r="A12" s="69" t="s">
        <v>117</v>
      </c>
      <c r="B12" s="45">
        <v>11300.824490000001</v>
      </c>
      <c r="C12" s="70">
        <v>113.0042381087294</v>
      </c>
      <c r="D12" s="117">
        <f>IF(10000.35457="","-",10000.35457/5302814.4312*100)</f>
        <v>0.18858579155931293</v>
      </c>
      <c r="E12" s="117">
        <f>IF(11300.82449="","-",11300.82449/4848565.19176*100)</f>
        <v>0.23307564285627086</v>
      </c>
    </row>
    <row r="13" spans="1:6" x14ac:dyDescent="0.25">
      <c r="A13" s="69" t="s">
        <v>118</v>
      </c>
      <c r="B13" s="45">
        <v>149491.11217000001</v>
      </c>
      <c r="C13" s="70">
        <v>60.463474841229768</v>
      </c>
      <c r="D13" s="117">
        <f>IF(247242.01274="","-",247242.01274/5302814.4312*100)</f>
        <v>4.6624677508100243</v>
      </c>
      <c r="E13" s="117">
        <f>IF(149491.11217="","-",149491.11217/4848565.19176*100)</f>
        <v>3.0832030973628228</v>
      </c>
    </row>
    <row r="14" spans="1:6" x14ac:dyDescent="0.25">
      <c r="A14" s="69" t="s">
        <v>119</v>
      </c>
      <c r="B14" s="45">
        <v>26764.691879999998</v>
      </c>
      <c r="C14" s="70">
        <v>69.790676280578026</v>
      </c>
      <c r="D14" s="117">
        <f>IF(38349.95347="","-",38349.95347/5302814.4312*100)</f>
        <v>0.72319999063820906</v>
      </c>
      <c r="E14" s="117">
        <f>IF(26764.69188="","-",26764.69188/4848565.19176*100)</f>
        <v>0.55201262273395524</v>
      </c>
    </row>
    <row r="15" spans="1:6" x14ac:dyDescent="0.25">
      <c r="A15" s="42" t="s">
        <v>249</v>
      </c>
      <c r="B15" s="43">
        <v>2222741.9844</v>
      </c>
      <c r="C15" s="71">
        <v>85.855446751910918</v>
      </c>
      <c r="D15" s="116">
        <f>IF(2588935.31918="","-",2588935.31918/5302814.4312*100)</f>
        <v>48.821910567859284</v>
      </c>
      <c r="E15" s="122">
        <f>IF(2222741.9844="","-",2222741.9844/4848565.19176*100)</f>
        <v>45.843293768174703</v>
      </c>
    </row>
    <row r="16" spans="1:6" x14ac:dyDescent="0.25">
      <c r="A16" s="66" t="s">
        <v>138</v>
      </c>
      <c r="B16" s="67"/>
      <c r="C16" s="71"/>
      <c r="D16" s="121"/>
      <c r="E16" s="121"/>
    </row>
    <row r="17" spans="1:7" x14ac:dyDescent="0.25">
      <c r="A17" s="69" t="s">
        <v>113</v>
      </c>
      <c r="B17" s="45">
        <v>24456.636119999999</v>
      </c>
      <c r="C17" s="73">
        <v>32.367567584299053</v>
      </c>
      <c r="D17" s="117">
        <f>IF(75559.07949="","-",75559.07949/5302814.4312*100)</f>
        <v>1.4248863593158276</v>
      </c>
      <c r="E17" s="123">
        <f>IF(24456.63612="","-",24456.63612/4848565.19176*100)</f>
        <v>0.50440976150147188</v>
      </c>
    </row>
    <row r="18" spans="1:7" x14ac:dyDescent="0.25">
      <c r="A18" s="69" t="s">
        <v>114</v>
      </c>
      <c r="B18" s="45">
        <v>21806.919020000001</v>
      </c>
      <c r="C18" s="73">
        <v>51.495583445651171</v>
      </c>
      <c r="D18" s="117">
        <f>IF(42347.1637="","-",42347.1637/5302814.4312*100)</f>
        <v>0.79857902344919607</v>
      </c>
      <c r="E18" s="123">
        <f>IF(21806.91902="","-",21806.91902/4848565.19176*100)</f>
        <v>0.449760251900093</v>
      </c>
    </row>
    <row r="19" spans="1:7" x14ac:dyDescent="0.25">
      <c r="A19" s="69" t="s">
        <v>115</v>
      </c>
      <c r="B19" s="45">
        <v>2123219.4077400002</v>
      </c>
      <c r="C19" s="73">
        <v>88.606050720451037</v>
      </c>
      <c r="D19" s="117">
        <f>IF(2396246.52095="","-",2396246.52095/5302814.4312*100)</f>
        <v>45.188202454366127</v>
      </c>
      <c r="E19" s="123">
        <f>IF(2123219.40774="","-",2123219.40774/4848565.19176*100)</f>
        <v>43.790674638104313</v>
      </c>
    </row>
    <row r="20" spans="1:7" x14ac:dyDescent="0.25">
      <c r="A20" s="69" t="s">
        <v>116</v>
      </c>
      <c r="B20" s="45">
        <v>26650.08239</v>
      </c>
      <c r="C20" s="73">
        <v>67.513922951116427</v>
      </c>
      <c r="D20" s="117">
        <f>IF(39473.46151="","-",39473.46151/5302814.4312*100)</f>
        <v>0.74438700471491615</v>
      </c>
      <c r="E20" s="123">
        <f>IF(26650.08239="","-",26650.08239/4848565.19176*100)</f>
        <v>0.54964884117245782</v>
      </c>
    </row>
    <row r="21" spans="1:7" x14ac:dyDescent="0.25">
      <c r="A21" s="69" t="s">
        <v>117</v>
      </c>
      <c r="B21" s="45">
        <v>3562.9692399999999</v>
      </c>
      <c r="C21" s="73">
        <v>82.863764035043289</v>
      </c>
      <c r="D21" s="117">
        <f>IF(4299.79169="","-",4299.79169/5302814.4312*100)</f>
        <v>8.1085086905954173E-2</v>
      </c>
      <c r="E21" s="123">
        <f>IF(3562.96924="","-",3562.96924/4848565.19176*100)</f>
        <v>7.3485022869346286E-2</v>
      </c>
    </row>
    <row r="22" spans="1:7" x14ac:dyDescent="0.25">
      <c r="A22" s="69" t="s">
        <v>118</v>
      </c>
      <c r="B22" s="45">
        <v>78.447419999999994</v>
      </c>
      <c r="C22" s="73" t="s">
        <v>22</v>
      </c>
      <c r="D22" s="117" t="s">
        <v>248</v>
      </c>
      <c r="E22" s="123">
        <f>IF(78.44742="","-",78.44742/4848565.19176*100)</f>
        <v>1.6179512267530025E-3</v>
      </c>
    </row>
    <row r="23" spans="1:7" x14ac:dyDescent="0.25">
      <c r="A23" s="69" t="s">
        <v>119</v>
      </c>
      <c r="B23" s="45">
        <v>22967.52247</v>
      </c>
      <c r="C23" s="73">
        <v>82.795358943039872</v>
      </c>
      <c r="D23" s="117">
        <f>IF(31009.30184="","-",31009.30184/5302814.4312*100)</f>
        <v>0.58477063910725513</v>
      </c>
      <c r="E23" s="123">
        <f>IF(22967.52247="","-",22967.52247/4848565.19176*100)</f>
        <v>0.47369730140027116</v>
      </c>
    </row>
    <row r="24" spans="1:7" x14ac:dyDescent="0.25">
      <c r="A24" s="42" t="s">
        <v>250</v>
      </c>
      <c r="B24" s="43">
        <v>1182765.47092</v>
      </c>
      <c r="C24" s="77">
        <v>92.565040759473618</v>
      </c>
      <c r="D24" s="116">
        <f>IF(1277766.92066="","-",1277766.92066/5302814.4312*100)</f>
        <v>24.096014243720155</v>
      </c>
      <c r="E24" s="116">
        <f>IF(1182765.47092="","-",1182765.47092/4848565.19176*100)</f>
        <v>24.394133607403624</v>
      </c>
    </row>
    <row r="25" spans="1:7" x14ac:dyDescent="0.25">
      <c r="A25" s="69" t="s">
        <v>138</v>
      </c>
      <c r="B25" s="31"/>
      <c r="C25" s="78"/>
      <c r="D25" s="121"/>
      <c r="E25" s="121"/>
    </row>
    <row r="26" spans="1:7" x14ac:dyDescent="0.25">
      <c r="A26" s="69" t="s">
        <v>113</v>
      </c>
      <c r="B26" s="45">
        <v>33483.740590000001</v>
      </c>
      <c r="C26" s="70">
        <v>141.72874954478854</v>
      </c>
      <c r="D26" s="117">
        <f>IF(23625.22826="","-",23625.22826/5302814.4312*100)</f>
        <v>0.44552244032898825</v>
      </c>
      <c r="E26" s="117">
        <f>IF(33483.74059="","-",33483.74059/4848565.19176*100)</f>
        <v>0.69059070602793327</v>
      </c>
      <c r="F26" s="1"/>
      <c r="G26" s="1"/>
    </row>
    <row r="27" spans="1:7" x14ac:dyDescent="0.25">
      <c r="A27" s="69" t="s">
        <v>114</v>
      </c>
      <c r="B27" s="45">
        <v>200958.38742000001</v>
      </c>
      <c r="C27" s="70">
        <v>96.621871715133523</v>
      </c>
      <c r="D27" s="117">
        <f>IF(207984.36612="","-",207984.36612/5302814.4312*100)</f>
        <v>3.9221505639776679</v>
      </c>
      <c r="E27" s="117">
        <f>IF(200958.38742="","-",200958.38742/4848565.19176*100)</f>
        <v>4.1446980595728222</v>
      </c>
      <c r="F27" s="1"/>
      <c r="G27" s="1"/>
    </row>
    <row r="28" spans="1:7" x14ac:dyDescent="0.25">
      <c r="A28" s="69" t="s">
        <v>115</v>
      </c>
      <c r="B28" s="45">
        <v>784193.76832000003</v>
      </c>
      <c r="C28" s="70">
        <v>100.74487099798309</v>
      </c>
      <c r="D28" s="117">
        <f>IF(778395.72432="","-",778395.72432/5302814.4312*100)</f>
        <v>14.678916911370269</v>
      </c>
      <c r="E28" s="117">
        <f>IF(784193.76832="","-",784193.76832/4848565.19176*100)</f>
        <v>16.173728459972349</v>
      </c>
      <c r="F28" s="12"/>
      <c r="G28" s="12"/>
    </row>
    <row r="29" spans="1:7" x14ac:dyDescent="0.25">
      <c r="A29" s="69" t="s">
        <v>116</v>
      </c>
      <c r="B29" s="45">
        <v>13342.767390000001</v>
      </c>
      <c r="C29" s="70">
        <v>81.052860139867562</v>
      </c>
      <c r="D29" s="117">
        <f>IF(16461.80945="","-",16461.80945/5302814.4312*100)</f>
        <v>0.31043532945720625</v>
      </c>
      <c r="E29" s="117">
        <f>IF(13342.76739="","-",13342.76739/4848565.19176*100)</f>
        <v>0.27519001729987375</v>
      </c>
    </row>
    <row r="30" spans="1:7" x14ac:dyDescent="0.25">
      <c r="A30" s="69" t="s">
        <v>117</v>
      </c>
      <c r="B30" s="45">
        <v>354.25013999999999</v>
      </c>
      <c r="C30" s="70">
        <v>60.009687262158238</v>
      </c>
      <c r="D30" s="117">
        <f>IF(590.32159="","-",590.32159/5302814.4312*100)</f>
        <v>1.1132231716930233E-2</v>
      </c>
      <c r="E30" s="117">
        <f>IF(354.25014="","-",354.25014/4848565.19176*100)</f>
        <v>7.3062880664580554E-3</v>
      </c>
    </row>
    <row r="31" spans="1:7" x14ac:dyDescent="0.25">
      <c r="A31" s="69" t="s">
        <v>118</v>
      </c>
      <c r="B31" s="45">
        <v>149412.66475</v>
      </c>
      <c r="C31" s="70">
        <v>60.431745840510743</v>
      </c>
      <c r="D31" s="117">
        <f>IF(247242.01274="","-",247242.01274/5302814.4312*100)</f>
        <v>4.6624677508100243</v>
      </c>
      <c r="E31" s="117">
        <f>IF(149412.66475="","-",149412.66475/4848565.19176*100)</f>
        <v>3.0815851461360699</v>
      </c>
    </row>
    <row r="32" spans="1:7" x14ac:dyDescent="0.25">
      <c r="A32" s="69" t="s">
        <v>119</v>
      </c>
      <c r="B32" s="45">
        <v>1019.89231</v>
      </c>
      <c r="C32" s="70">
        <v>29.413254812492067</v>
      </c>
      <c r="D32" s="117">
        <f>IF(3467.45818="","-",3467.45818/5302814.4312*100)</f>
        <v>6.5389016059069063E-2</v>
      </c>
      <c r="E32" s="117">
        <f>IF(1019.89231="","-",1019.89231/4848565.19176*100)</f>
        <v>2.1034930328116E-2</v>
      </c>
    </row>
    <row r="33" spans="1:5" x14ac:dyDescent="0.25">
      <c r="A33" s="42" t="s">
        <v>251</v>
      </c>
      <c r="B33" s="43">
        <v>1443057.7364399999</v>
      </c>
      <c r="C33" s="71">
        <v>100.48363527040478</v>
      </c>
      <c r="D33" s="77">
        <f>IF(1436112.19136="","-",1436112.19136/5302814.4312*100)</f>
        <v>27.082075188420557</v>
      </c>
      <c r="E33" s="116">
        <f>IF(1443057.73644="","-",1443057.73644/4848565.19176*100)</f>
        <v>29.762572624421672</v>
      </c>
    </row>
    <row r="34" spans="1:5" x14ac:dyDescent="0.25">
      <c r="A34" s="69" t="s">
        <v>138</v>
      </c>
      <c r="B34" s="67"/>
      <c r="C34" s="71"/>
      <c r="D34" s="124"/>
      <c r="E34" s="124"/>
    </row>
    <row r="35" spans="1:5" x14ac:dyDescent="0.25">
      <c r="A35" s="69" t="s">
        <v>113</v>
      </c>
      <c r="B35" s="48">
        <v>12476.428610000001</v>
      </c>
      <c r="C35" s="73">
        <v>101.85346429639877</v>
      </c>
      <c r="D35" s="118">
        <f>IF(12249.39053="","-",12249.39053/5302814.4312*100)</f>
        <v>0.23099791042901016</v>
      </c>
      <c r="E35" s="117">
        <f>IF(12476.42861="","-",12476.42861/4848565.19176*100)</f>
        <v>0.25732207604846358</v>
      </c>
    </row>
    <row r="36" spans="1:5" x14ac:dyDescent="0.25">
      <c r="A36" s="69" t="s">
        <v>114</v>
      </c>
      <c r="B36" s="48">
        <v>215.45257000000001</v>
      </c>
      <c r="C36" s="73">
        <v>63.434494221273361</v>
      </c>
      <c r="D36" s="118">
        <f>IF(339.64576="","-",339.64576/5302814.4312*100)</f>
        <v>6.405009347520009E-3</v>
      </c>
      <c r="E36" s="117">
        <f>IF(215.45257="","-",215.45257/4848565.19176*100)</f>
        <v>4.4436356216506195E-3</v>
      </c>
    </row>
    <row r="37" spans="1:5" x14ac:dyDescent="0.25">
      <c r="A37" s="69" t="s">
        <v>115</v>
      </c>
      <c r="B37" s="48">
        <v>1346353.1122300001</v>
      </c>
      <c r="C37" s="73">
        <v>101.51670202999601</v>
      </c>
      <c r="D37" s="118">
        <f>IF(1326238.03306="","-",1326238.03306/5302814.4312*100)</f>
        <v>25.010078143727892</v>
      </c>
      <c r="E37" s="117">
        <f>IF(1346353.11223="","-",1346353.11223/4848565.19176*100)</f>
        <v>27.768072800549103</v>
      </c>
    </row>
    <row r="38" spans="1:5" x14ac:dyDescent="0.25">
      <c r="A38" s="69" t="s">
        <v>116</v>
      </c>
      <c r="B38" s="48">
        <v>73851.860820000002</v>
      </c>
      <c r="C38" s="73">
        <v>83.635843326734204</v>
      </c>
      <c r="D38" s="118">
        <f>IF(88301.68727="","-",88301.68727/5302814.4312*100)</f>
        <v>1.6651853165078185</v>
      </c>
      <c r="E38" s="117">
        <f>IF(73851.86082="","-",73851.86082/4848565.19176*100)</f>
        <v>1.5231693892764226</v>
      </c>
    </row>
    <row r="39" spans="1:5" x14ac:dyDescent="0.25">
      <c r="A39" s="69" t="s">
        <v>117</v>
      </c>
      <c r="B39" s="48">
        <v>7383.6051100000004</v>
      </c>
      <c r="C39" s="79">
        <v>144.48642815455003</v>
      </c>
      <c r="D39" s="118">
        <f>IF(5110.24129="","-",5110.24129/5302814.4312*100)</f>
        <v>9.6368472936428543E-2</v>
      </c>
      <c r="E39" s="117">
        <f>IF(7383.60511="","-",7383.60511/4848565.19176*100)</f>
        <v>0.1522843319204665</v>
      </c>
    </row>
    <row r="40" spans="1:5" x14ac:dyDescent="0.25">
      <c r="A40" s="74" t="s">
        <v>119</v>
      </c>
      <c r="B40" s="50">
        <v>2777.2770999999998</v>
      </c>
      <c r="C40" s="80">
        <v>71.705096475364527</v>
      </c>
      <c r="D40" s="119">
        <f>IF(3873.19345="","-",3873.19345/5302814.4312*100)</f>
        <v>7.3040335471884807E-2</v>
      </c>
      <c r="E40" s="119">
        <f>IF(2777.2771="","-",2777.2771/4848565.19176*100)</f>
        <v>5.7280391005568088E-2</v>
      </c>
    </row>
    <row r="41" spans="1:5" x14ac:dyDescent="0.25">
      <c r="A41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2"/>
  <sheetViews>
    <sheetView zoomScaleNormal="100" workbookViewId="0">
      <selection activeCell="L19" sqref="L19"/>
    </sheetView>
  </sheetViews>
  <sheetFormatPr defaultRowHeight="15.75" x14ac:dyDescent="0.25"/>
  <cols>
    <col min="1" max="1" width="28.25" customWidth="1"/>
    <col min="2" max="2" width="11.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4" t="s">
        <v>160</v>
      </c>
      <c r="B1" s="94"/>
      <c r="C1" s="94"/>
      <c r="D1" s="94"/>
      <c r="E1" s="94"/>
      <c r="F1" s="94"/>
      <c r="G1" s="94"/>
    </row>
    <row r="2" spans="1:9" x14ac:dyDescent="0.25">
      <c r="A2" s="94" t="s">
        <v>23</v>
      </c>
      <c r="B2" s="94"/>
      <c r="C2" s="94"/>
      <c r="D2" s="94"/>
      <c r="E2" s="94"/>
      <c r="F2" s="94"/>
      <c r="G2" s="94"/>
    </row>
    <row r="3" spans="1:9" x14ac:dyDescent="0.25">
      <c r="A3" s="6"/>
    </row>
    <row r="4" spans="1:9" ht="57" customHeight="1" x14ac:dyDescent="0.25">
      <c r="A4" s="102"/>
      <c r="B4" s="105" t="s">
        <v>279</v>
      </c>
      <c r="C4" s="100"/>
      <c r="D4" s="105" t="s">
        <v>0</v>
      </c>
      <c r="E4" s="100"/>
      <c r="F4" s="106" t="s">
        <v>107</v>
      </c>
      <c r="G4" s="107"/>
    </row>
    <row r="5" spans="1:9" ht="20.25" customHeight="1" x14ac:dyDescent="0.25">
      <c r="A5" s="103"/>
      <c r="B5" s="108" t="s">
        <v>111</v>
      </c>
      <c r="C5" s="95" t="s">
        <v>280</v>
      </c>
      <c r="D5" s="110" t="s">
        <v>281</v>
      </c>
      <c r="E5" s="110"/>
      <c r="F5" s="110" t="s">
        <v>281</v>
      </c>
      <c r="G5" s="105"/>
    </row>
    <row r="6" spans="1:9" ht="38.25" customHeight="1" x14ac:dyDescent="0.25">
      <c r="A6" s="104"/>
      <c r="B6" s="109"/>
      <c r="C6" s="96"/>
      <c r="D6" s="24">
        <v>2019</v>
      </c>
      <c r="E6" s="24">
        <v>2020</v>
      </c>
      <c r="F6" s="24" t="s">
        <v>122</v>
      </c>
      <c r="G6" s="20" t="s">
        <v>141</v>
      </c>
    </row>
    <row r="7" spans="1:9" ht="16.5" customHeight="1" x14ac:dyDescent="0.25">
      <c r="A7" s="39" t="s">
        <v>101</v>
      </c>
      <c r="B7" s="40">
        <v>2266944.5468199998</v>
      </c>
      <c r="C7" s="65">
        <f>IF(2560872.65018="","-",2266944.54682/2560872.65018*100)</f>
        <v>88.522345953464722</v>
      </c>
      <c r="D7" s="40">
        <v>100</v>
      </c>
      <c r="E7" s="40">
        <v>100</v>
      </c>
      <c r="F7" s="65">
        <f>IF(2487345.59713="","-",(2560872.65018-2487345.59713)/2487345.59713*100)</f>
        <v>2.9560449153040187</v>
      </c>
      <c r="G7" s="65">
        <f>IF(2560872.65018="","-",(2266944.54682-2560872.65018)/2560872.65018*100)</f>
        <v>-11.477654046535282</v>
      </c>
    </row>
    <row r="8" spans="1:9" ht="13.5" customHeight="1" x14ac:dyDescent="0.25">
      <c r="A8" s="41" t="s">
        <v>138</v>
      </c>
      <c r="B8" s="34"/>
      <c r="C8" s="125"/>
      <c r="D8" s="34"/>
      <c r="E8" s="34"/>
      <c r="F8" s="125"/>
      <c r="G8" s="125"/>
    </row>
    <row r="9" spans="1:9" x14ac:dyDescent="0.25">
      <c r="A9" s="53" t="s">
        <v>219</v>
      </c>
      <c r="B9" s="43">
        <v>488715.02581000002</v>
      </c>
      <c r="C9" s="116">
        <f>IF(579037.22021="","-",488715.02581/579037.22021*100)</f>
        <v>84.401314587818248</v>
      </c>
      <c r="D9" s="43">
        <f>IF(579037.22021="","-",579037.22021/2560872.65018*100)</f>
        <v>22.6109338224726</v>
      </c>
      <c r="E9" s="43">
        <f>IF(488715.02581="","-",488715.02581/2266944.54682*100)</f>
        <v>21.558314097076369</v>
      </c>
      <c r="F9" s="116">
        <f>IF(2487345.59713="","-",(579037.22021-558557.27385)/2487345.59713*100)</f>
        <v>0.82336553407096513</v>
      </c>
      <c r="G9" s="116">
        <f>IF(2560872.65018="","-",(488715.02581-579037.22021)/2560872.65018*100)</f>
        <v>-3.5270084357241052</v>
      </c>
      <c r="I9" s="17"/>
    </row>
    <row r="10" spans="1:9" s="9" customFormat="1" x14ac:dyDescent="0.25">
      <c r="A10" s="46" t="s">
        <v>24</v>
      </c>
      <c r="B10" s="45">
        <v>9455.9295700000002</v>
      </c>
      <c r="C10" s="117">
        <f>IF(OR(8973.40312="",9455.92957=""),"-",9455.92957/8973.40312*100)</f>
        <v>105.37729603303501</v>
      </c>
      <c r="D10" s="45">
        <f>IF(8973.40312="","-",8973.40312/2560872.65018*100)</f>
        <v>0.35040411397924354</v>
      </c>
      <c r="E10" s="45">
        <f>IF(9455.92957="","-",9455.92957/2266944.54682*100)</f>
        <v>0.41712222662281206</v>
      </c>
      <c r="F10" s="117">
        <f>IF(OR(2487345.59713="",11656.0891="",8973.40312=""),"-",(8973.40312-11656.0891)/2487345.59713*100)</f>
        <v>-0.10785336718369132</v>
      </c>
      <c r="G10" s="117">
        <f>IF(OR(2560872.65018="",9455.92957="",8973.40312=""),"-",(9455.92957-8973.40312)/2560872.65018*100)</f>
        <v>1.8842266520597319E-2</v>
      </c>
      <c r="I10" s="17"/>
    </row>
    <row r="11" spans="1:9" s="9" customFormat="1" x14ac:dyDescent="0.25">
      <c r="A11" s="46" t="s">
        <v>220</v>
      </c>
      <c r="B11" s="45">
        <v>5241.3517099999999</v>
      </c>
      <c r="C11" s="117">
        <f>IF(OR(7670.71485="",5241.35171=""),"-",5241.35171/7670.71485*100)</f>
        <v>68.329377541651155</v>
      </c>
      <c r="D11" s="45">
        <f>IF(7670.71485="","-",7670.71485/2560872.65018*100)</f>
        <v>0.29953519357789371</v>
      </c>
      <c r="E11" s="45">
        <f>IF(5241.35171="","-",5241.35171/2266944.54682*100)</f>
        <v>0.23120776012595487</v>
      </c>
      <c r="F11" s="117">
        <f>IF(OR(2487345.59713="",8394.10692="",7670.71485=""),"-",(7670.71485-8394.10692)/2487345.59713*100)</f>
        <v>-2.9082893460188199E-2</v>
      </c>
      <c r="G11" s="117">
        <f>IF(OR(2560872.65018="",5241.35171="",7670.71485=""),"-",(5241.35171-7670.71485)/2560872.65018*100)</f>
        <v>-9.486466028793912E-2</v>
      </c>
      <c r="I11" s="17"/>
    </row>
    <row r="12" spans="1:9" s="9" customFormat="1" x14ac:dyDescent="0.25">
      <c r="A12" s="46" t="s">
        <v>221</v>
      </c>
      <c r="B12" s="45">
        <v>11011.100979999999</v>
      </c>
      <c r="C12" s="117">
        <f>IF(OR(14257.66915="",11011.10098=""),"-",11011.10098/14257.66915*100)</f>
        <v>77.229320333892019</v>
      </c>
      <c r="D12" s="45">
        <f>IF(14257.66915="","-",14257.66915/2560872.65018*100)</f>
        <v>0.55675041665964342</v>
      </c>
      <c r="E12" s="45">
        <f>IF(11011.10098="","-",11011.10098/2266944.54682*100)</f>
        <v>0.48572431978744396</v>
      </c>
      <c r="F12" s="117">
        <f>IF(OR(2487345.59713="",19448.49654="",14257.66915=""),"-",(14257.66915-19448.49654)/2487345.59713*100)</f>
        <v>-0.20868943165716042</v>
      </c>
      <c r="G12" s="117">
        <f>IF(OR(2560872.65018="",11011.10098="",14257.66915=""),"-",(11011.10098-14257.66915)/2560872.65018*100)</f>
        <v>-0.12677585391728885</v>
      </c>
      <c r="I12" s="17"/>
    </row>
    <row r="13" spans="1:9" s="9" customFormat="1" x14ac:dyDescent="0.25">
      <c r="A13" s="46" t="s">
        <v>222</v>
      </c>
      <c r="B13" s="45">
        <v>14.313029999999999</v>
      </c>
      <c r="C13" s="117">
        <f>IF(OR(22.41187="",14.31303=""),"-",14.31303/22.41187*100)</f>
        <v>63.863613344178773</v>
      </c>
      <c r="D13" s="45">
        <f>IF(22.41187="","-",22.41187/2560872.65018*100)</f>
        <v>8.7516534640739367E-4</v>
      </c>
      <c r="E13" s="45">
        <f>IF(14.31303="","-",14.31303/2266944.54682*100)</f>
        <v>6.3137980238986782E-4</v>
      </c>
      <c r="F13" s="117">
        <f>IF(OR(2487345.59713="",17.81796="",22.41187=""),"-",(22.41187-17.81796)/2487345.59713*100)</f>
        <v>1.8469126305973083E-4</v>
      </c>
      <c r="G13" s="117">
        <f>IF(OR(2560872.65018="",14.31303="",22.41187=""),"-",(14.31303-22.41187)/2560872.65018*100)</f>
        <v>-3.1625313345553304E-4</v>
      </c>
      <c r="I13" s="17"/>
    </row>
    <row r="14" spans="1:9" s="9" customFormat="1" x14ac:dyDescent="0.25">
      <c r="A14" s="46" t="s">
        <v>223</v>
      </c>
      <c r="B14" s="45">
        <v>129598.46447000001</v>
      </c>
      <c r="C14" s="117">
        <f>IF(OR(232895.45081="",129598.46447=""),"-",129598.46447/232895.45081*100)</f>
        <v>55.646627711817608</v>
      </c>
      <c r="D14" s="45">
        <f>IF(232895.45081="","-",232895.45081/2560872.65018*100)</f>
        <v>9.0943784648420589</v>
      </c>
      <c r="E14" s="45">
        <f>IF(129598.46447="","-",129598.46447/2266944.54682*100)</f>
        <v>5.7168784587958603</v>
      </c>
      <c r="F14" s="117">
        <f>IF(OR(2487345.59713="",215305.10447="",232895.45081=""),"-",(232895.45081-215305.10447)/2487345.59713*100)</f>
        <v>0.7071934981731719</v>
      </c>
      <c r="G14" s="117">
        <f>IF(OR(2560872.65018="",129598.46447="",232895.45081=""),"-",(129598.46447-232895.45081)/2560872.65018*100)</f>
        <v>-4.0336635378076853</v>
      </c>
      <c r="I14" s="17"/>
    </row>
    <row r="15" spans="1:9" s="9" customFormat="1" x14ac:dyDescent="0.25">
      <c r="A15" s="46" t="s">
        <v>224</v>
      </c>
      <c r="B15" s="45">
        <v>278420.49450999999</v>
      </c>
      <c r="C15" s="117">
        <f>IF(OR(261379.2256="",278420.49451=""),"-",278420.49451/261379.2256*100)</f>
        <v>106.51974879445048</v>
      </c>
      <c r="D15" s="45">
        <f>IF(261379.2256="","-",261379.2256/2560872.65018*100)</f>
        <v>10.206646768695354</v>
      </c>
      <c r="E15" s="45">
        <f>IF(278420.49451="","-",278420.49451/2266944.54682*100)</f>
        <v>12.281751439423594</v>
      </c>
      <c r="F15" s="117">
        <f>IF(OR(2487345.59713="",242955.01022="",261379.2256=""),"-",(261379.2256-242955.01022)/2487345.59713*100)</f>
        <v>0.74071795255386363</v>
      </c>
      <c r="G15" s="117">
        <f>IF(OR(2560872.65018="",278420.49451="",261379.2256=""),"-",(278420.49451-261379.2256)/2560872.65018*100)</f>
        <v>0.66544772965583354</v>
      </c>
      <c r="I15" s="17"/>
    </row>
    <row r="16" spans="1:9" s="9" customFormat="1" ht="15" customHeight="1" x14ac:dyDescent="0.25">
      <c r="A16" s="46" t="s">
        <v>181</v>
      </c>
      <c r="B16" s="45">
        <v>17325.743450000002</v>
      </c>
      <c r="C16" s="117">
        <f>IF(OR(19917.40553="",17325.74345=""),"-",17325.74345/19917.40553*100)</f>
        <v>86.987953445561047</v>
      </c>
      <c r="D16" s="45">
        <f>IF(19917.40553="","-",19917.40553/2560872.65018*100)</f>
        <v>0.77775853198322986</v>
      </c>
      <c r="E16" s="45">
        <f>IF(17325.74345="","-",17325.74345/2266944.54682*100)</f>
        <v>0.7642773386011591</v>
      </c>
      <c r="F16" s="117">
        <f>IF(OR(2487345.59713="",29482.73383="",19917.40553=""),"-",(19917.40553-29482.73383)/2487345.59713*100)</f>
        <v>-0.38455968125365703</v>
      </c>
      <c r="G16" s="117">
        <f>IF(OR(2560872.65018="",17325.74345="",19917.40553=""),"-",(17325.74345-19917.40553)/2560872.65018*100)</f>
        <v>-0.10120230226277882</v>
      </c>
      <c r="I16" s="17"/>
    </row>
    <row r="17" spans="1:9" s="9" customFormat="1" ht="25.5" x14ac:dyDescent="0.25">
      <c r="A17" s="46" t="s">
        <v>225</v>
      </c>
      <c r="B17" s="45">
        <v>7320.8822200000004</v>
      </c>
      <c r="C17" s="117">
        <f>IF(OR(9352.931="",7320.88222=""),"-",7320.88222/9352.931*100)</f>
        <v>78.273668649966524</v>
      </c>
      <c r="D17" s="45">
        <f>IF(9352.931="","-",9352.931/2560872.65018*100)</f>
        <v>0.36522436987808032</v>
      </c>
      <c r="E17" s="45">
        <f>IF(7320.88222="","-",7320.88222/2266944.54682*100)</f>
        <v>0.32294050731278406</v>
      </c>
      <c r="F17" s="117">
        <f>IF(OR(2487345.59713="",10441.41567="",9352.931=""),"-",(9352.931-10441.41567)/2487345.59713*100)</f>
        <v>-4.3760893993015582E-2</v>
      </c>
      <c r="G17" s="117">
        <f>IF(OR(2560872.65018="",7320.88222="",9352.931=""),"-",(7320.88222-9352.931)/2560872.65018*100)</f>
        <v>-7.93498567707836E-2</v>
      </c>
      <c r="I17" s="17"/>
    </row>
    <row r="18" spans="1:9" s="9" customFormat="1" ht="25.5" x14ac:dyDescent="0.25">
      <c r="A18" s="46" t="s">
        <v>182</v>
      </c>
      <c r="B18" s="45">
        <v>26836.798470000002</v>
      </c>
      <c r="C18" s="117">
        <f>IF(OR(21980.55006="",26836.79847=""),"-",26836.79847/21980.55006*100)</f>
        <v>122.09338891312531</v>
      </c>
      <c r="D18" s="45">
        <f>IF(21980.55006="","-",21980.55006/2560872.65018*100)</f>
        <v>0.85832265257138118</v>
      </c>
      <c r="E18" s="45">
        <f>IF(26836.79847="","-",26836.79847/2266944.54682*100)</f>
        <v>1.1838312722578874</v>
      </c>
      <c r="F18" s="117">
        <f>IF(OR(2487345.59713="",18305.02557="",21980.55006=""),"-",(21980.55006-18305.02557)/2487345.59713*100)</f>
        <v>0.14776895073370458</v>
      </c>
      <c r="G18" s="117">
        <f>IF(OR(2560872.65018="",26836.79847="",21980.55006=""),"-",(26836.79847-21980.55006)/2560872.65018*100)</f>
        <v>0.18963256176204862</v>
      </c>
      <c r="I18" s="17"/>
    </row>
    <row r="19" spans="1:9" s="9" customFormat="1" x14ac:dyDescent="0.25">
      <c r="A19" s="46" t="s">
        <v>226</v>
      </c>
      <c r="B19" s="45">
        <v>3489.9474</v>
      </c>
      <c r="C19" s="117">
        <f>IF(OR(2587.45822="",3489.9474=""),"-",3489.9474/2587.45822*100)</f>
        <v>134.87937208122341</v>
      </c>
      <c r="D19" s="45">
        <f>IF(2587.45822="","-",2587.45822/2560872.65018*100)</f>
        <v>0.10103814493930931</v>
      </c>
      <c r="E19" s="45">
        <f>IF(3489.9474="","-",3489.9474/2266944.54682*100)</f>
        <v>0.15394939434648242</v>
      </c>
      <c r="F19" s="117">
        <f>IF(OR(2487345.59713="",2551.47357="",2587.45822=""),"-",(2587.45822-2551.47357)/2487345.59713*100)</f>
        <v>1.4467088948765469E-3</v>
      </c>
      <c r="G19" s="117">
        <f>IF(OR(2560872.65018="",3489.9474="",2587.45822=""),"-",(3489.9474-2587.45822)/2560872.65018*100)</f>
        <v>3.5241470517347488E-2</v>
      </c>
    </row>
    <row r="20" spans="1:9" s="9" customFormat="1" x14ac:dyDescent="0.25">
      <c r="A20" s="53" t="s">
        <v>227</v>
      </c>
      <c r="B20" s="43">
        <v>169994.00714999999</v>
      </c>
      <c r="C20" s="116">
        <f>IF(200533.76861="","-",169994.00715/200533.76861*100)</f>
        <v>84.770763711425573</v>
      </c>
      <c r="D20" s="43">
        <f>IF(200533.76861="","-",200533.76861/2560872.65018*100)</f>
        <v>7.8306810217956286</v>
      </c>
      <c r="E20" s="43">
        <f>IF(169994.00715="","-",169994.00715/2266944.54682*100)</f>
        <v>7.4988162982840656</v>
      </c>
      <c r="F20" s="116">
        <f>IF(2487345.59713="","-",(200533.76861-201422.44034)/2487345.59713*100)</f>
        <v>-3.5727714356436326E-2</v>
      </c>
      <c r="G20" s="116">
        <f>IF(2560872.65018="","-",(169994.00715-200533.76861)/2560872.65018*100)</f>
        <v>-1.1925529158138111</v>
      </c>
    </row>
    <row r="21" spans="1:9" s="9" customFormat="1" x14ac:dyDescent="0.25">
      <c r="A21" s="46" t="s">
        <v>228</v>
      </c>
      <c r="B21" s="45">
        <v>162039.12281999999</v>
      </c>
      <c r="C21" s="117">
        <f>IF(OR(179292.53909="",162039.12282=""),"-",162039.12282/179292.53909*100)</f>
        <v>90.376946883807989</v>
      </c>
      <c r="D21" s="45">
        <f>IF(179292.53909="","-",179292.53909/2560872.65018*100)</f>
        <v>7.0012282366871235</v>
      </c>
      <c r="E21" s="45">
        <f>IF(162039.12282="","-",162039.12282/2266944.54682*100)</f>
        <v>7.147908538270312</v>
      </c>
      <c r="F21" s="117">
        <f>IF(OR(2487345.59713="",180610.32833="",179292.53909=""),"-",(179292.53909-180610.32833)/2487345.59713*100)</f>
        <v>-5.2979740391544392E-2</v>
      </c>
      <c r="G21" s="117">
        <f>IF(OR(2560872.65018="",162039.12282="",179292.53909=""),"-",(162039.12282-179292.53909)/2560872.65018*100)</f>
        <v>-0.67373191200223481</v>
      </c>
    </row>
    <row r="22" spans="1:9" s="9" customFormat="1" x14ac:dyDescent="0.25">
      <c r="A22" s="46" t="s">
        <v>229</v>
      </c>
      <c r="B22" s="45">
        <v>7954.8843299999999</v>
      </c>
      <c r="C22" s="117">
        <f>IF(OR(21241.22952="",7954.88433=""),"-",7954.88433/21241.22952*100)</f>
        <v>37.45020655470983</v>
      </c>
      <c r="D22" s="45">
        <f>IF(21241.22952="","-",21241.22952/2560872.65018*100)</f>
        <v>0.8294527851085054</v>
      </c>
      <c r="E22" s="45">
        <f>IF(7954.88433="","-",7954.88433/2266944.54682*100)</f>
        <v>0.35090776001375362</v>
      </c>
      <c r="F22" s="117">
        <f>IF(OR(2487345.59713="",20812.11201="",21241.22952=""),"-",(21241.22952-20812.11201)/2487345.59713*100)</f>
        <v>1.7252026035108801E-2</v>
      </c>
      <c r="G22" s="117">
        <f>IF(OR(2560872.65018="",7954.88433="",21241.22952=""),"-",(7954.88433-21241.22952)/2560872.65018*100)</f>
        <v>-0.51882100381157659</v>
      </c>
    </row>
    <row r="23" spans="1:9" s="9" customFormat="1" ht="25.5" x14ac:dyDescent="0.25">
      <c r="A23" s="53" t="s">
        <v>25</v>
      </c>
      <c r="B23" s="43">
        <v>237152.74280000001</v>
      </c>
      <c r="C23" s="116">
        <f>IF(270360.68047="","-",237152.7428/270360.68047*100)</f>
        <v>87.717171885989217</v>
      </c>
      <c r="D23" s="43">
        <f>IF(270360.68047="","-",270360.68047/2560872.65018*100)</f>
        <v>10.557365296981745</v>
      </c>
      <c r="E23" s="43">
        <f>IF(237152.7428="","-",237152.7428/2266944.54682*100)</f>
        <v>10.46133850661105</v>
      </c>
      <c r="F23" s="116">
        <f>IF(2487345.59713="","-",(270360.68047-251288.67762)/2487345.59713*100)</f>
        <v>0.76676127643886993</v>
      </c>
      <c r="G23" s="116">
        <f>IF(2560872.65018="","-",(237152.7428-270360.68047)/2560872.65018*100)</f>
        <v>-1.2967430327964915</v>
      </c>
      <c r="H23" s="7"/>
    </row>
    <row r="24" spans="1:9" s="9" customFormat="1" x14ac:dyDescent="0.25">
      <c r="A24" s="46" t="s">
        <v>236</v>
      </c>
      <c r="B24" s="45">
        <v>1169.1185</v>
      </c>
      <c r="C24" s="117">
        <f>IF(OR(1467.75085="",1169.1185=""),"-",1169.1185/1467.75085*100)</f>
        <v>79.653743685449072</v>
      </c>
      <c r="D24" s="45">
        <f>IF(1467.75085="","-",1467.75085/2560872.65018*100)</f>
        <v>5.7314480276746051E-2</v>
      </c>
      <c r="E24" s="45">
        <f>IF(1169.1185="","-",1169.1185/2266944.54682*100)</f>
        <v>5.1572434872304375E-2</v>
      </c>
      <c r="F24" s="117">
        <f>IF(OR(2487345.59713="",2757.90108="",1467.75085=""),"-",(1467.75085-2757.90108)/2487345.59713*100)</f>
        <v>-5.1868555438722617E-2</v>
      </c>
      <c r="G24" s="117">
        <f>IF(OR(2560872.65018="",1169.1185="",1467.75085=""),"-",(1169.1185-1467.75085)/2560872.65018*100)</f>
        <v>-1.1661351062459488E-2</v>
      </c>
      <c r="H24" s="8"/>
    </row>
    <row r="25" spans="1:9" s="9" customFormat="1" x14ac:dyDescent="0.25">
      <c r="A25" s="46" t="s">
        <v>230</v>
      </c>
      <c r="B25" s="45">
        <v>198022.90757000001</v>
      </c>
      <c r="C25" s="117">
        <f>IF(OR(237608.69491="",198022.90757=""),"-",198022.90757/237608.69491*100)</f>
        <v>83.339924763698548</v>
      </c>
      <c r="D25" s="45">
        <f>IF(237608.69491="","-",237608.69491/2560872.65018*100)</f>
        <v>9.2784268242819028</v>
      </c>
      <c r="E25" s="45">
        <f>IF(198022.90757="","-",198022.90757/2266944.54682*100)</f>
        <v>8.7352338568572598</v>
      </c>
      <c r="F25" s="117">
        <f>IF(OR(2487345.59713="",214401.96502="",237608.69491=""),"-",(237608.69491-214401.96502)/2487345.59713*100)</f>
        <v>0.93299177712887393</v>
      </c>
      <c r="G25" s="117">
        <f>IF(OR(2560872.65018="",198022.90757="",237608.69491=""),"-",(198022.90757-237608.69491)/2560872.65018*100)</f>
        <v>-1.5457928896705408</v>
      </c>
      <c r="H25" s="8"/>
    </row>
    <row r="26" spans="1:9" s="9" customFormat="1" ht="25.5" x14ac:dyDescent="0.25">
      <c r="A26" s="46" t="s">
        <v>231</v>
      </c>
      <c r="B26" s="45">
        <v>0.16791</v>
      </c>
      <c r="C26" s="117">
        <f>IF(OR(1.25194="",0.16791=""),"-",0.16791/1.25194*100)</f>
        <v>13.411984599900952</v>
      </c>
      <c r="D26" s="45">
        <f>IF(1.25194="","-",1.25194/2560872.65018*100)</f>
        <v>4.8887241617110604E-5</v>
      </c>
      <c r="E26" s="45">
        <f>IF(0.16791="","-",0.16791/2266944.54682*100)</f>
        <v>7.4068860764829469E-6</v>
      </c>
      <c r="F26" s="117">
        <f>IF(OR(2487345.59713="",1.05346="",1.25194=""),"-",(1.25194-1.05346)/2487345.59713*100)</f>
        <v>7.9795907826003046E-6</v>
      </c>
      <c r="G26" s="117">
        <f>IF(OR(2560872.65018="",0.16791="",1.25194=""),"-",(0.16791-1.25194)/2560872.65018*100)</f>
        <v>-4.2330492300107353E-5</v>
      </c>
      <c r="H26" s="8"/>
    </row>
    <row r="27" spans="1:9" s="9" customFormat="1" ht="14.25" customHeight="1" x14ac:dyDescent="0.25">
      <c r="A27" s="46" t="s">
        <v>232</v>
      </c>
      <c r="B27" s="45">
        <v>1466.13165</v>
      </c>
      <c r="C27" s="117">
        <f>IF(OR(1011.47593="",1466.13165=""),"-",1466.13165/1011.47593*100)</f>
        <v>144.94973202179909</v>
      </c>
      <c r="D27" s="45">
        <f>IF(1011.47593="","-",1011.47593/2560872.65018*100)</f>
        <v>3.9497314711409208E-2</v>
      </c>
      <c r="E27" s="45">
        <f>IF(1466.13165="","-",1466.13165/2266944.54682*100)</f>
        <v>6.4674349977225709E-2</v>
      </c>
      <c r="F27" s="117">
        <f>IF(OR(2487345.59713="",765.79885="",1011.47593=""),"-",(1011.47593-765.79885)/2487345.59713*100)</f>
        <v>9.8770786127778988E-3</v>
      </c>
      <c r="G27" s="117">
        <f>IF(OR(2560872.65018="",1466.13165="",1011.47593=""),"-",(1466.13165-1011.47593)/2560872.65018*100)</f>
        <v>1.7753937118585066E-2</v>
      </c>
      <c r="H27" s="8"/>
    </row>
    <row r="28" spans="1:9" s="9" customFormat="1" x14ac:dyDescent="0.25">
      <c r="A28" s="46" t="s">
        <v>183</v>
      </c>
      <c r="B28" s="45">
        <v>1835.7677200000001</v>
      </c>
      <c r="C28" s="117">
        <f>IF(OR(2456.87865="",1835.76772=""),"-",1835.76772/2456.87865*100)</f>
        <v>74.719511279077622</v>
      </c>
      <c r="D28" s="45">
        <f>IF(2456.87865="","-",2456.87865/2560872.65018*100)</f>
        <v>9.5939118637051693E-2</v>
      </c>
      <c r="E28" s="45">
        <f>IF(1835.76772="","-",1835.76772/2266944.54682*100)</f>
        <v>8.0979824697307162E-2</v>
      </c>
      <c r="F28" s="117">
        <f>IF(OR(2487345.59713="",3037.48898="",2456.87865=""),"-",(2456.87865-3037.48898)/2487345.59713*100)</f>
        <v>-2.3342567702290009E-2</v>
      </c>
      <c r="G28" s="117">
        <f>IF(OR(2560872.65018="",1835.76772="",2456.87865=""),"-",(1835.76772-2456.87865)/2560872.65018*100)</f>
        <v>-2.4253878065992194E-2</v>
      </c>
      <c r="H28" s="8"/>
    </row>
    <row r="29" spans="1:9" s="9" customFormat="1" ht="38.25" x14ac:dyDescent="0.25">
      <c r="A29" s="46" t="s">
        <v>184</v>
      </c>
      <c r="B29" s="45">
        <v>174.35750999999999</v>
      </c>
      <c r="C29" s="117">
        <f>IF(OR(334.00058="",174.35751=""),"-",174.35751/334.00058*100)</f>
        <v>52.202756653895619</v>
      </c>
      <c r="D29" s="45">
        <f>IF(334.00058="","-",334.00058/2560872.65018*100)</f>
        <v>1.3042451758642649E-2</v>
      </c>
      <c r="E29" s="45">
        <f>IF(174.35751="","-",174.35751/2266944.54682*100)</f>
        <v>7.691300179555929E-3</v>
      </c>
      <c r="F29" s="117">
        <f>IF(OR(2487345.59713="",344.83315="",334.00058=""),"-",(334.00058-344.83315)/2487345.59713*100)</f>
        <v>-4.3550723359468154E-4</v>
      </c>
      <c r="G29" s="117">
        <f>IF(OR(2560872.65018="",174.35751="",334.00058=""),"-",(174.35751-334.00058)/2560872.65018*100)</f>
        <v>-6.2339324053766959E-3</v>
      </c>
      <c r="H29" s="8"/>
    </row>
    <row r="30" spans="1:9" s="9" customFormat="1" ht="38.25" x14ac:dyDescent="0.25">
      <c r="A30" s="46" t="s">
        <v>185</v>
      </c>
      <c r="B30" s="45">
        <v>7817.6215700000002</v>
      </c>
      <c r="C30" s="117">
        <f>IF(OR(8971.85669="",7817.62157=""),"-",7817.62157/8971.85669*100)</f>
        <v>87.134935834558007</v>
      </c>
      <c r="D30" s="45">
        <f>IF(8971.85669="","-",8971.85669/2560872.65018*100)</f>
        <v>0.35034372714197176</v>
      </c>
      <c r="E30" s="45">
        <f>IF(7817.62157="","-",7817.62157/2266944.54682*100)</f>
        <v>0.34485279231758531</v>
      </c>
      <c r="F30" s="117">
        <f>IF(OR(2487345.59713="",9982.85726="",8971.85669=""),"-",(8971.85669-9982.85726)/2487345.59713*100)</f>
        <v>-4.0645761938611726E-2</v>
      </c>
      <c r="G30" s="117">
        <f>IF(OR(2560872.65018="",7817.62157="",8971.85669=""),"-",(7817.62157-8971.85669)/2560872.65018*100)</f>
        <v>-4.5071945296415686E-2</v>
      </c>
      <c r="H30" s="8"/>
    </row>
    <row r="31" spans="1:9" s="9" customFormat="1" ht="15.75" customHeight="1" x14ac:dyDescent="0.25">
      <c r="A31" s="46" t="s">
        <v>186</v>
      </c>
      <c r="B31" s="45">
        <v>22818.468659999999</v>
      </c>
      <c r="C31" s="117" t="s">
        <v>128</v>
      </c>
      <c r="D31" s="45">
        <f>IF(14773.73287="","-",14773.73287/2560872.65018*100)</f>
        <v>0.57690228637341945</v>
      </c>
      <c r="E31" s="45">
        <f>IF(22818.46866="","-",22818.46866/2266944.54682*100)</f>
        <v>1.0065737466762936</v>
      </c>
      <c r="F31" s="117">
        <f>IF(OR(2487345.59713="",15773.92399="",14773.73287=""),"-",(14773.73287-15773.92399)/2487345.59713*100)</f>
        <v>-4.0211184209948965E-2</v>
      </c>
      <c r="G31" s="117">
        <f>IF(OR(2560872.65018="",22818.46866="",14773.73287=""),"-",(22818.46866-14773.73287)/2560872.65018*100)</f>
        <v>0.31414040793612075</v>
      </c>
    </row>
    <row r="32" spans="1:9" s="9" customFormat="1" ht="25.5" x14ac:dyDescent="0.25">
      <c r="A32" s="46" t="s">
        <v>187</v>
      </c>
      <c r="B32" s="45">
        <v>3848.2017099999998</v>
      </c>
      <c r="C32" s="117">
        <f>IF(OR(3735.03805="",3848.20171=""),"-",3848.20171/3735.03805*100)</f>
        <v>103.02978600177848</v>
      </c>
      <c r="D32" s="45">
        <f>IF(3735.03805="","-",3735.03805/2560872.65018*100)</f>
        <v>0.14585020655898176</v>
      </c>
      <c r="E32" s="45">
        <f>IF(3848.20171="","-",3848.20171/2266944.54682*100)</f>
        <v>0.16975279414744129</v>
      </c>
      <c r="F32" s="117">
        <f>IF(OR(2487345.59713="",4222.85583="",3735.03805=""),"-",(3735.03805-4222.85583)/2487345.59713*100)</f>
        <v>-1.9611982370397754E-2</v>
      </c>
      <c r="G32" s="117">
        <f>IF(OR(2560872.65018="",3848.20171="",3735.03805=""),"-",(3848.20171-3735.03805)/2560872.65018*100)</f>
        <v>4.4189491418890198E-3</v>
      </c>
    </row>
    <row r="33" spans="1:7" s="9" customFormat="1" ht="25.5" x14ac:dyDescent="0.25">
      <c r="A33" s="53" t="s">
        <v>188</v>
      </c>
      <c r="B33" s="43">
        <v>11166.634340000001</v>
      </c>
      <c r="C33" s="116">
        <f>IF(9709.00829="","-",11166.63434/9709.00829*100)</f>
        <v>115.01313014122476</v>
      </c>
      <c r="D33" s="43">
        <f>IF(9709.00829="","-",9709.00829/2560872.65018*100)</f>
        <v>0.37912889925696103</v>
      </c>
      <c r="E33" s="43">
        <f>IF(11166.63434="","-",11166.63434/2266944.54682*100)</f>
        <v>0.49258524456031411</v>
      </c>
      <c r="F33" s="116">
        <f>IF(2487345.59713="","-",(9709.00829-16606.81361)/2487345.59713*100)</f>
        <v>-0.27731591974830389</v>
      </c>
      <c r="G33" s="116">
        <f>IF(2560872.65018="","-",(11166.63434-9709.00829)/2560872.65018*100)</f>
        <v>5.691911504844048E-2</v>
      </c>
    </row>
    <row r="34" spans="1:7" s="9" customFormat="1" x14ac:dyDescent="0.25">
      <c r="A34" s="46" t="s">
        <v>233</v>
      </c>
      <c r="B34" s="45">
        <v>67.499319999999997</v>
      </c>
      <c r="C34" s="117" t="s">
        <v>294</v>
      </c>
      <c r="D34" s="45">
        <f>IF(3.98403="","-",3.98403/2560872.65018*100)</f>
        <v>1.5557314026216684E-4</v>
      </c>
      <c r="E34" s="45">
        <f>IF(67.49932="","-",67.49932/2266944.54682*100)</f>
        <v>2.977546146626567E-3</v>
      </c>
      <c r="F34" s="117">
        <f>IF(OR(2487345.59713="",18.25726="",3.98403=""),"-",(3.98403-18.25726)/2487345.59713*100)</f>
        <v>-5.7383380968326352E-4</v>
      </c>
      <c r="G34" s="117">
        <f>IF(OR(2560872.65018="",67.49932="",3.98403=""),"-",(67.49932-3.98403)/2560872.65018*100)</f>
        <v>2.4802205605786607E-3</v>
      </c>
    </row>
    <row r="35" spans="1:7" s="9" customFormat="1" ht="25.5" x14ac:dyDescent="0.25">
      <c r="A35" s="46" t="s">
        <v>189</v>
      </c>
      <c r="B35" s="45">
        <v>10567.17067</v>
      </c>
      <c r="C35" s="117">
        <f>IF(OR(9671.70526="",10567.17067=""),"-",10567.17067/9671.70526*100)</f>
        <v>109.25860937577825</v>
      </c>
      <c r="D35" s="45">
        <f>IF(9671.70526="","-",9671.70526/2560872.65018*100)</f>
        <v>0.37767224618999273</v>
      </c>
      <c r="E35" s="45">
        <f>IF(10567.17067="","-",10567.17067/2266944.54682*100)</f>
        <v>0.46614155978465827</v>
      </c>
      <c r="F35" s="117">
        <f>IF(OR(2487345.59713="",16571.72434="",9671.70526=""),"-",(9671.70526-16571.72434)/2487345.59713*100)</f>
        <v>-0.2774049206496082</v>
      </c>
      <c r="G35" s="117">
        <f>IF(OR(2560872.65018="",10567.17067="",9671.70526=""),"-",(10567.17067-9671.70526)/2560872.65018*100)</f>
        <v>3.4967197995459012E-2</v>
      </c>
    </row>
    <row r="36" spans="1:7" s="9" customFormat="1" ht="25.5" x14ac:dyDescent="0.25">
      <c r="A36" s="46" t="s">
        <v>234</v>
      </c>
      <c r="B36" s="45">
        <v>525.37764000000004</v>
      </c>
      <c r="C36" s="117" t="s">
        <v>270</v>
      </c>
      <c r="D36" s="45">
        <f>IF(26.11124="","-",26.11124/2560872.65018*100)</f>
        <v>1.0196227445423605E-3</v>
      </c>
      <c r="E36" s="45">
        <f>IF(525.37764="","-",525.37764/2266944.54682*100)</f>
        <v>2.317558410226592E-2</v>
      </c>
      <c r="F36" s="117">
        <f>IF(OR(2487345.59713="",9.38137="",26.11124=""),"-",(26.11124-9.38137)/2487345.59713*100)</f>
        <v>6.7259933719317482E-4</v>
      </c>
      <c r="G36" s="117">
        <f>IF(OR(2560872.65018="",525.37764="",26.11124=""),"-",(525.37764-26.11124)/2560872.65018*100)</f>
        <v>1.9495947991201645E-2</v>
      </c>
    </row>
    <row r="37" spans="1:7" s="9" customFormat="1" x14ac:dyDescent="0.25">
      <c r="A37" s="46" t="s">
        <v>190</v>
      </c>
      <c r="B37" s="45">
        <v>6.5867100000000001</v>
      </c>
      <c r="C37" s="117">
        <f>IF(OR(7.20776="",6.58671=""),"-",6.58671/7.20776*100)</f>
        <v>91.383592128483741</v>
      </c>
      <c r="D37" s="45">
        <f>IF(7.20776="","-",7.20776/2560872.65018*100)</f>
        <v>2.8145718216379787E-4</v>
      </c>
      <c r="E37" s="45">
        <f>IF(6.58671="","-",6.58671/2266944.54682*100)</f>
        <v>2.9055452676333152E-4</v>
      </c>
      <c r="F37" s="117">
        <f>IF(OR(2487345.59713="",7.45064="",7.20776=""),"-",(7.20776-7.45064)/2487345.59713*100)</f>
        <v>-9.7646262055519865E-6</v>
      </c>
      <c r="G37" s="117">
        <f>IF(OR(2560872.65018="",6.58671="",7.20776=""),"-",(6.58671-7.20776)/2560872.65018*100)</f>
        <v>-2.4251498798909334E-5</v>
      </c>
    </row>
    <row r="38" spans="1:7" s="9" customFormat="1" ht="25.5" x14ac:dyDescent="0.25">
      <c r="A38" s="53" t="s">
        <v>191</v>
      </c>
      <c r="B38" s="43">
        <v>94629.521489999999</v>
      </c>
      <c r="C38" s="116">
        <f>IF(57370.79503="","-",94629.52149/57370.79503*100)</f>
        <v>164.94371646848694</v>
      </c>
      <c r="D38" s="43">
        <f>IF(57370.79503="","-",57370.79503/2560872.65018*100)</f>
        <v>2.2402830154778486</v>
      </c>
      <c r="E38" s="43">
        <f>IF(94629.52149="","-",94629.52149/2266944.54682*100)</f>
        <v>4.1743200830714358</v>
      </c>
      <c r="F38" s="116">
        <f>IF(2487345.59713="","-",(57370.79503-63184.3760699999)/2487345.59713*100)</f>
        <v>-0.23372630834685137</v>
      </c>
      <c r="G38" s="116">
        <f>IF(2560872.65018="","-",(94629.52149-57370.79503)/2560872.65018*100)</f>
        <v>1.4549230496636034</v>
      </c>
    </row>
    <row r="39" spans="1:7" s="9" customFormat="1" x14ac:dyDescent="0.25">
      <c r="A39" s="46" t="s">
        <v>237</v>
      </c>
      <c r="B39" s="45">
        <v>4.3198299999999996</v>
      </c>
      <c r="C39" s="117" t="str">
        <f>IF(OR(""="",4.31983=""),"-",4.31983/""*100)</f>
        <v>-</v>
      </c>
      <c r="D39" s="45" t="str">
        <f>IF(""="","-",""/2560872.65018*100)</f>
        <v>-</v>
      </c>
      <c r="E39" s="45">
        <f>IF(4.31983="","-",4.31983/2266944.54682*100)</f>
        <v>1.9055737406809198E-4</v>
      </c>
      <c r="F39" s="117" t="str">
        <f>IF(OR(2487345.59713="",0.01755="",""=""),"-",(""-0.01755)/2487345.59713*100)</f>
        <v>-</v>
      </c>
      <c r="G39" s="117" t="str">
        <f>IF(OR(2560872.65018="",4.31983="",""=""),"-",(4.31983-"")/2560872.65018*100)</f>
        <v>-</v>
      </c>
    </row>
    <row r="40" spans="1:7" s="9" customFormat="1" ht="25.5" x14ac:dyDescent="0.25">
      <c r="A40" s="46" t="s">
        <v>192</v>
      </c>
      <c r="B40" s="45">
        <v>94589.89099</v>
      </c>
      <c r="C40" s="117" t="s">
        <v>105</v>
      </c>
      <c r="D40" s="45">
        <f>IF(57344.39581="","-",57344.39581/2560872.65018*100)</f>
        <v>2.2392521473478721</v>
      </c>
      <c r="E40" s="45">
        <f>IF(94589.89099="","-",94589.89099/2266944.54682*100)</f>
        <v>4.1725718929776114</v>
      </c>
      <c r="F40" s="117">
        <f>IF(OR(2487345.59713="",63010.61314="",57344.39581=""),"-",(57344.39581-63010.61314)/2487345.59713*100)</f>
        <v>-0.22780177135569382</v>
      </c>
      <c r="G40" s="117">
        <f>IF(OR(2560872.65018="",94589.89099="",57344.39581=""),"-",(94589.89099-57344.39581)/2560872.65018*100)</f>
        <v>1.4544063789108008</v>
      </c>
    </row>
    <row r="41" spans="1:7" s="9" customFormat="1" ht="63.75" x14ac:dyDescent="0.25">
      <c r="A41" s="46" t="s">
        <v>235</v>
      </c>
      <c r="B41" s="45">
        <v>35.310670000000002</v>
      </c>
      <c r="C41" s="117">
        <f>IF(OR(26.39922="",35.31067=""),"-",35.31067/26.39922*100)</f>
        <v>133.75648977507672</v>
      </c>
      <c r="D41" s="45">
        <f>IF(26.39922="","-",26.39922/2560872.65018*100)</f>
        <v>1.0308681299768827E-3</v>
      </c>
      <c r="E41" s="45">
        <f>IF(35.31067="","-",35.31067/2266944.54682*100)</f>
        <v>1.5576327197563225E-3</v>
      </c>
      <c r="F41" s="117">
        <f>IF(OR(2487345.59713="",173.74538="",26.39922=""),"-",(26.39922-173.74538)/2487345.59713*100)</f>
        <v>-5.9238314197276789E-3</v>
      </c>
      <c r="G41" s="117">
        <f>IF(OR(2560872.65018="",35.31067="",26.39922=""),"-",(35.31067-26.39922)/2560872.65018*100)</f>
        <v>3.4798489489017072E-4</v>
      </c>
    </row>
    <row r="42" spans="1:7" s="9" customFormat="1" ht="25.5" x14ac:dyDescent="0.25">
      <c r="A42" s="53" t="s">
        <v>193</v>
      </c>
      <c r="B42" s="43">
        <v>113512.93772</v>
      </c>
      <c r="C42" s="116">
        <f>IF(139067.73886="","-",113512.93772/139067.73886*100)</f>
        <v>81.624206052759575</v>
      </c>
      <c r="D42" s="43">
        <f>IF(139067.73886="","-",139067.73886/2560872.65018*100)</f>
        <v>5.4304824119319308</v>
      </c>
      <c r="E42" s="43">
        <f>IF(113512.93772="","-",113512.93772/2266944.54682*100)</f>
        <v>5.0073098558688818</v>
      </c>
      <c r="F42" s="116">
        <f>IF(2487345.59713="","-",(139067.73886-118474.70679)/2487345.59713*100)</f>
        <v>0.82791197547140571</v>
      </c>
      <c r="G42" s="116">
        <f>IF(2560872.65018="","-",(113512.93772-139067.73886)/2560872.65018*100)</f>
        <v>-0.99789425835774392</v>
      </c>
    </row>
    <row r="43" spans="1:7" s="9" customFormat="1" x14ac:dyDescent="0.25">
      <c r="A43" s="46" t="s">
        <v>26</v>
      </c>
      <c r="B43" s="45">
        <v>46036.358330000003</v>
      </c>
      <c r="C43" s="117" t="s">
        <v>96</v>
      </c>
      <c r="D43" s="45">
        <f>IF(21997.92253="","-",21997.92253/2560872.65018*100)</f>
        <v>0.85900103343498158</v>
      </c>
      <c r="E43" s="45">
        <f>IF(46036.35833="","-",46036.35833/2266944.54682*100)</f>
        <v>2.0307668484691606</v>
      </c>
      <c r="F43" s="117">
        <f>IF(OR(2487345.59713="",23821.88014="",21997.92253=""),"-",(21997.92253-23821.88014)/2487345.59713*100)</f>
        <v>-7.3329480716493811E-2</v>
      </c>
      <c r="G43" s="117">
        <f>IF(OR(2560872.65018="",46036.35833="",21997.92253=""),"-",(46036.35833-21997.92253)/2560872.65018*100)</f>
        <v>0.93868142167516133</v>
      </c>
    </row>
    <row r="44" spans="1:7" s="9" customFormat="1" x14ac:dyDescent="0.25">
      <c r="A44" s="46" t="s">
        <v>27</v>
      </c>
      <c r="B44" s="45">
        <v>1472.64824</v>
      </c>
      <c r="C44" s="117">
        <f>IF(OR(1250.60035="",1472.64824=""),"-",1472.64824/1250.60035*100)</f>
        <v>117.75530368274725</v>
      </c>
      <c r="D44" s="45">
        <f>IF(1250.60035="","-",1250.60035/2560872.65018*100)</f>
        <v>4.8834929371130466E-2</v>
      </c>
      <c r="E44" s="45">
        <f>IF(1472.64824="","-",1472.64824/2266944.54682*100)</f>
        <v>6.4961811353779514E-2</v>
      </c>
      <c r="F44" s="117">
        <f>IF(OR(2487345.59713="",1013.60972="",1250.60035=""),"-",(1250.60035-1013.60972)/2487345.59713*100)</f>
        <v>9.527852915712608E-3</v>
      </c>
      <c r="G44" s="117">
        <f>IF(OR(2560872.65018="",1472.64824="",1250.60035=""),"-",(1472.64824-1250.60035)/2560872.65018*100)</f>
        <v>8.6707900130993491E-3</v>
      </c>
    </row>
    <row r="45" spans="1:7" s="9" customFormat="1" x14ac:dyDescent="0.25">
      <c r="A45" s="46" t="s">
        <v>194</v>
      </c>
      <c r="B45" s="45">
        <v>830.97450000000003</v>
      </c>
      <c r="C45" s="117">
        <f>IF(OR(854.96682="",830.9745=""),"-",830.9745/854.96682*100)</f>
        <v>97.193771800407418</v>
      </c>
      <c r="D45" s="45">
        <f>IF(854.96682="","-",854.96682/2560872.65018*100)</f>
        <v>3.3385760902241886E-2</v>
      </c>
      <c r="E45" s="45">
        <f>IF(830.9745="","-",830.9745/2266944.54682*100)</f>
        <v>3.6656145875542723E-2</v>
      </c>
      <c r="F45" s="117">
        <f>IF(OR(2487345.59713="",2700.8668="",854.96682=""),"-",(854.96682-2700.8668)/2487345.59713*100)</f>
        <v>-7.4211640800131415E-2</v>
      </c>
      <c r="G45" s="117">
        <f>IF(OR(2560872.65018="",830.9745="",854.96682=""),"-",(830.9745-854.96682)/2560872.65018*100)</f>
        <v>-9.3688063708726647E-4</v>
      </c>
    </row>
    <row r="46" spans="1:7" s="9" customFormat="1" x14ac:dyDescent="0.25">
      <c r="A46" s="46" t="s">
        <v>195</v>
      </c>
      <c r="B46" s="45">
        <v>47814.373760000002</v>
      </c>
      <c r="C46" s="117">
        <f>IF(OR(94283.50734="",47814.37376=""),"-",47814.37376/94283.50734*100)</f>
        <v>50.713401642531643</v>
      </c>
      <c r="D46" s="45">
        <f>IF(94283.50734="","-",94283.50734/2560872.65018*100)</f>
        <v>3.6816944932178859</v>
      </c>
      <c r="E46" s="45">
        <f>IF(47814.37376="","-",47814.37376/2266944.54682*100)</f>
        <v>2.10919909033825</v>
      </c>
      <c r="F46" s="117">
        <f>IF(OR(2487345.59713="",64424.6354="",94283.50734=""),"-",(94283.50734-64424.6354)/2487345.59713*100)</f>
        <v>1.2004311734747424</v>
      </c>
      <c r="G46" s="117">
        <f>IF(OR(2560872.65018="",47814.37376="",94283.50734=""),"-",(47814.37376-94283.50734)/2560872.65018*100)</f>
        <v>-1.8145819776213297</v>
      </c>
    </row>
    <row r="47" spans="1:7" s="9" customFormat="1" ht="38.25" x14ac:dyDescent="0.25">
      <c r="A47" s="46" t="s">
        <v>196</v>
      </c>
      <c r="B47" s="45">
        <v>10461.061669999999</v>
      </c>
      <c r="C47" s="117">
        <f>IF(OR(14312.83726="",10461.06167=""),"-",10461.06167/14312.83726*100)</f>
        <v>73.088664951396225</v>
      </c>
      <c r="D47" s="45">
        <f>IF(14312.83726="","-",14312.83726/2560872.65018*100)</f>
        <v>0.55890468661118209</v>
      </c>
      <c r="E47" s="45">
        <f>IF(10461.06167="","-",10461.06167/2266944.54682*100)</f>
        <v>0.46146085420018124</v>
      </c>
      <c r="F47" s="117">
        <f>IF(OR(2487345.59713="",20171.71918="",14312.83726=""),"-",(14312.83726-20171.71918)/2487345.59713*100)</f>
        <v>-0.23554756229935297</v>
      </c>
      <c r="G47" s="117">
        <f>IF(OR(2560872.65018="",10461.06167="",14312.83726=""),"-",(10461.06167-14312.83726)/2560872.65018*100)</f>
        <v>-0.15040871281628415</v>
      </c>
    </row>
    <row r="48" spans="1:7" s="9" customFormat="1" x14ac:dyDescent="0.25">
      <c r="A48" s="46" t="s">
        <v>197</v>
      </c>
      <c r="B48" s="45">
        <v>37.308390000000003</v>
      </c>
      <c r="C48" s="117">
        <f>IF(OR(45.66446="",37.30839=""),"-",37.30839/45.66446*100)</f>
        <v>81.701152274657375</v>
      </c>
      <c r="D48" s="45">
        <f>IF(45.66446="","-",45.66446/2560872.65018*100)</f>
        <v>1.783160126950878E-3</v>
      </c>
      <c r="E48" s="45">
        <f>IF(37.30839="","-",37.30839/2266944.54682*100)</f>
        <v>1.6457566221606554E-3</v>
      </c>
      <c r="F48" s="117">
        <f>IF(OR(2487345.59713="",36.52661="",45.66446=""),"-",(45.66446-36.52661)/2487345.59713*100)</f>
        <v>3.673735571986306E-4</v>
      </c>
      <c r="G48" s="117">
        <f>IF(OR(2560872.65018="",37.30839="",45.66446=""),"-",(37.30839-45.66446)/2560872.65018*100)</f>
        <v>-3.262977563297675E-4</v>
      </c>
    </row>
    <row r="49" spans="1:7" x14ac:dyDescent="0.25">
      <c r="A49" s="46" t="s">
        <v>28</v>
      </c>
      <c r="B49" s="45">
        <v>1882.0542</v>
      </c>
      <c r="C49" s="117">
        <f>IF(OR(1940.30912="",1882.0542=""),"-",1882.0542/1940.30912*100)</f>
        <v>96.997647467636511</v>
      </c>
      <c r="D49" s="45">
        <f>IF(1940.30912="","-",1940.30912/2560872.65018*100)</f>
        <v>7.576749745301152E-2</v>
      </c>
      <c r="E49" s="45">
        <f>IF(1882.0542="","-",1882.0542/2266944.54682*100)</f>
        <v>8.3021624972701158E-2</v>
      </c>
      <c r="F49" s="117">
        <f>IF(OR(2487345.59713="",2086.66137="",1940.30912=""),"-",(1940.30912-2086.66137)/2487345.59713*100)</f>
        <v>-5.8838727585288934E-3</v>
      </c>
      <c r="G49" s="117">
        <f>IF(OR(2560872.65018="",1882.0542="",1940.30912=""),"-",(1882.0542-1940.30912)/2560872.65018*100)</f>
        <v>-2.2748073784889383E-3</v>
      </c>
    </row>
    <row r="50" spans="1:7" x14ac:dyDescent="0.25">
      <c r="A50" s="46" t="s">
        <v>29</v>
      </c>
      <c r="B50" s="45">
        <v>2406.9271800000001</v>
      </c>
      <c r="C50" s="117">
        <f>IF(OR(2329.72048="",2406.92718=""),"-",2406.92718/2329.72048*100)</f>
        <v>103.31398983967381</v>
      </c>
      <c r="D50" s="45">
        <f>IF(2329.72048="","-",2329.72048/2560872.65018*100)</f>
        <v>9.0973695229875931E-2</v>
      </c>
      <c r="E50" s="45">
        <f>IF(2406.92718="","-",2406.92718/2266944.54682*100)</f>
        <v>0.10617494739235522</v>
      </c>
      <c r="F50" s="117">
        <f>IF(OR(2487345.59713="",1797.80298="",2329.72048=""),"-",(2329.72048-1797.80298)/2487345.59713*100)</f>
        <v>2.1384945486214217E-2</v>
      </c>
      <c r="G50" s="117">
        <f>IF(OR(2560872.65018="",2406.92718="",2329.72048=""),"-",(2406.92718-2329.72048)/2560872.65018*100)</f>
        <v>3.0148590166939162E-3</v>
      </c>
    </row>
    <row r="51" spans="1:7" ht="14.25" customHeight="1" x14ac:dyDescent="0.25">
      <c r="A51" s="46" t="s">
        <v>198</v>
      </c>
      <c r="B51" s="45">
        <v>2571.2314500000002</v>
      </c>
      <c r="C51" s="117">
        <f>IF(OR(2052.2105="",2571.23145=""),"-",2571.23145/2052.2105*100)</f>
        <v>125.29082421125904</v>
      </c>
      <c r="D51" s="45">
        <f>IF(2052.2105="","-",2052.2105/2560872.65018*100)</f>
        <v>8.0137155584669675E-2</v>
      </c>
      <c r="E51" s="45">
        <f>IF(2571.23145="","-",2571.23145/2266944.54682*100)</f>
        <v>0.11342277664475051</v>
      </c>
      <c r="F51" s="117">
        <f>IF(OR(2487345.59713="",2421.00459="",2052.2105=""),"-",(2052.2105-2421.00459)/2487345.59713*100)</f>
        <v>-1.4826813387955795E-2</v>
      </c>
      <c r="G51" s="117">
        <f>IF(OR(2560872.65018="",2571.23145="",2052.2105=""),"-",(2571.23145-2052.2105)/2560872.65018*100)</f>
        <v>2.0267347146821959E-2</v>
      </c>
    </row>
    <row r="52" spans="1:7" ht="25.5" x14ac:dyDescent="0.25">
      <c r="A52" s="53" t="s">
        <v>241</v>
      </c>
      <c r="B52" s="43">
        <v>159622.98673999999</v>
      </c>
      <c r="C52" s="116">
        <f>IF(162068.45565="","-",159622.98674/162068.45565*100)</f>
        <v>98.491088904258334</v>
      </c>
      <c r="D52" s="43">
        <f>IF(162068.45565="","-",162068.45565/2560872.65018*100)</f>
        <v>6.3286417479060679</v>
      </c>
      <c r="E52" s="43">
        <f>IF(159622.98674="","-",159622.98674/2266944.54682*100)</f>
        <v>7.0413273656788036</v>
      </c>
      <c r="F52" s="116">
        <f>IF(2487345.59713="","-",(162068.45565-168355.168)/2487345.59713*100)</f>
        <v>-0.25274784321301708</v>
      </c>
      <c r="G52" s="116">
        <f>IF(2560872.65018="","-",(159622.98674-162068.45565)/2560872.65018*100)</f>
        <v>-9.5493577543893399E-2</v>
      </c>
    </row>
    <row r="53" spans="1:7" x14ac:dyDescent="0.25">
      <c r="A53" s="46" t="s">
        <v>199</v>
      </c>
      <c r="B53" s="45">
        <v>701.99543000000006</v>
      </c>
      <c r="C53" s="117">
        <f>IF(OR(542.54648="",701.99543=""),"-",701.99543/542.54648*100)</f>
        <v>129.38899354761276</v>
      </c>
      <c r="D53" s="45">
        <f>IF(542.54648="","-",542.54648/2560872.65018*100)</f>
        <v>2.1186000012998116E-2</v>
      </c>
      <c r="E53" s="45">
        <f>IF(701.99543="","-",701.99543/2266944.54682*100)</f>
        <v>3.0966590293738668E-2</v>
      </c>
      <c r="F53" s="117">
        <f>IF(OR(2487345.59713="",1309.80634="",542.54648=""),"-",(542.54648-1309.80634)/2487345.59713*100)</f>
        <v>-3.0846532178129792E-2</v>
      </c>
      <c r="G53" s="117">
        <f>IF(OR(2560872.65018="",701.99543="",542.54648=""),"-",(701.99543-542.54648)/2560872.65018*100)</f>
        <v>6.2263521768172528E-3</v>
      </c>
    </row>
    <row r="54" spans="1:7" x14ac:dyDescent="0.25">
      <c r="A54" s="46" t="s">
        <v>30</v>
      </c>
      <c r="B54" s="45">
        <v>2033.66742</v>
      </c>
      <c r="C54" s="117">
        <f>IF(OR(2321.82569="",2033.66742=""),"-",2033.66742/2321.82569*100)</f>
        <v>87.589151449177038</v>
      </c>
      <c r="D54" s="45">
        <f>IF(2321.82569="","-",2321.82569/2560872.65018*100)</f>
        <v>9.0665410083426157E-2</v>
      </c>
      <c r="E54" s="45">
        <f>IF(2033.66742="","-",2033.66742/2266944.54682*100)</f>
        <v>8.9709623592370891E-2</v>
      </c>
      <c r="F54" s="117">
        <f>IF(OR(2487345.59713="",1268.70077="",2321.82569=""),"-",(2321.82569-1268.70077)/2487345.59713*100)</f>
        <v>4.2339308265612073E-2</v>
      </c>
      <c r="G54" s="117">
        <f>IF(OR(2560872.65018="",2033.66742="",2321.82569=""),"-",(2033.66742-2321.82569)/2560872.65018*100)</f>
        <v>-1.1252346733436584E-2</v>
      </c>
    </row>
    <row r="55" spans="1:7" ht="15.75" customHeight="1" x14ac:dyDescent="0.25">
      <c r="A55" s="46" t="s">
        <v>200</v>
      </c>
      <c r="B55" s="45">
        <v>17724.55759</v>
      </c>
      <c r="C55" s="117">
        <f>IF(OR(18909.4362="",17724.55759=""),"-",17724.55759/18909.4362*100)</f>
        <v>93.733929465332238</v>
      </c>
      <c r="D55" s="45">
        <f>IF(18909.4362="","-",18909.4362/2560872.65018*100)</f>
        <v>0.73839814715780128</v>
      </c>
      <c r="E55" s="45">
        <f>IF(17724.55759="","-",17724.55759/2266944.54682*100)</f>
        <v>0.78186992332315608</v>
      </c>
      <c r="F55" s="117">
        <f>IF(OR(2487345.59713="",15686.07491="",18909.4362=""),"-",(18909.4362-15686.07491)/2487345.59713*100)</f>
        <v>0.12959040728876781</v>
      </c>
      <c r="G55" s="117">
        <f>IF(OR(2560872.65018="",17724.55759="",18909.4362=""),"-",(17724.55759-18909.4362)/2560872.65018*100)</f>
        <v>-4.6268548727587698E-2</v>
      </c>
    </row>
    <row r="56" spans="1:7" ht="25.5" x14ac:dyDescent="0.25">
      <c r="A56" s="46" t="s">
        <v>201</v>
      </c>
      <c r="B56" s="45">
        <v>8470.6008999999995</v>
      </c>
      <c r="C56" s="117">
        <f>IF(OR(9980.17483="",8470.6009=""),"-",8470.6009/9980.17483*100)</f>
        <v>84.874273690453975</v>
      </c>
      <c r="D56" s="45">
        <f>IF(9980.17483="","-",9980.17483/2560872.65018*100)</f>
        <v>0.38971773271499888</v>
      </c>
      <c r="E56" s="45">
        <f>IF(8470.6009="","-",8470.6009/2266944.54682*100)</f>
        <v>0.37365717268568827</v>
      </c>
      <c r="F56" s="117">
        <f>IF(OR(2487345.59713="",8861.63766="",9980.17483=""),"-",(9980.17483-8861.63766)/2487345.59713*100)</f>
        <v>4.496910969230062E-2</v>
      </c>
      <c r="G56" s="117">
        <f>IF(OR(2560872.65018="",8470.6009="",9980.17483=""),"-",(8470.6009-9980.17483)/2560872.65018*100)</f>
        <v>-5.8947637630238844E-2</v>
      </c>
    </row>
    <row r="57" spans="1:7" ht="25.5" x14ac:dyDescent="0.25">
      <c r="A57" s="46" t="s">
        <v>202</v>
      </c>
      <c r="B57" s="45">
        <v>56335.731119999997</v>
      </c>
      <c r="C57" s="117">
        <f>IF(OR(58199.56812="",56335.73112=""),"-",56335.73112/58199.56812*100)</f>
        <v>96.797507163357267</v>
      </c>
      <c r="D57" s="45">
        <f>IF(58199.56812="","-",58199.56812/2560872.65018*100)</f>
        <v>2.2726459324679515</v>
      </c>
      <c r="E57" s="45">
        <f>IF(56335.73112="","-",56335.73112/2266944.54682*100)</f>
        <v>2.4850952441261094</v>
      </c>
      <c r="F57" s="117">
        <f>IF(OR(2487345.59713="",66549.61408="",58199.56812=""),"-",(58199.56812-66549.61408)/2487345.59713*100)</f>
        <v>-0.33570107706925068</v>
      </c>
      <c r="G57" s="117">
        <f>IF(OR(2560872.65018="",56335.73112="",58199.56812=""),"-",(56335.73112-58199.56812)/2560872.65018*100)</f>
        <v>-7.278132318953856E-2</v>
      </c>
    </row>
    <row r="58" spans="1:7" x14ac:dyDescent="0.25">
      <c r="A58" s="46" t="s">
        <v>31</v>
      </c>
      <c r="B58" s="45">
        <v>46969.689279999999</v>
      </c>
      <c r="C58" s="117">
        <f>IF(OR(45277.87629="",46969.68928=""),"-",46969.68928/45277.87629*100)</f>
        <v>103.73651135747647</v>
      </c>
      <c r="D58" s="45">
        <f>IF(45277.87629="","-",45277.87629/2560872.65018*100)</f>
        <v>1.7680643466131549</v>
      </c>
      <c r="E58" s="45">
        <f>IF(46969.68928="","-",46969.68928/2266944.54682*100)</f>
        <v>2.0719381665461398</v>
      </c>
      <c r="F58" s="117">
        <f>IF(OR(2487345.59713="",46770.60573="",45277.87629=""),"-",(45277.87629-46770.60573)/2487345.59713*100)</f>
        <v>-6.0012948812677026E-2</v>
      </c>
      <c r="G58" s="117">
        <f>IF(OR(2560872.65018="",46969.68928="",45277.87629=""),"-",(46969.68928-45277.87629)/2560872.65018*100)</f>
        <v>6.6063925118692787E-2</v>
      </c>
    </row>
    <row r="59" spans="1:7" ht="15.75" customHeight="1" x14ac:dyDescent="0.25">
      <c r="A59" s="46" t="s">
        <v>203</v>
      </c>
      <c r="B59" s="45">
        <v>1204.56161</v>
      </c>
      <c r="C59" s="117">
        <f>IF(OR(3311.11578="",1204.56161=""),"-",1204.56161/3311.11578*100)</f>
        <v>36.37932618592999</v>
      </c>
      <c r="D59" s="45">
        <f>IF(3311.11578="","-",3311.11578/2560872.65018*100)</f>
        <v>0.12929638573660687</v>
      </c>
      <c r="E59" s="45">
        <f>IF(1204.56161="","-",1204.56161/2266944.54682*100)</f>
        <v>5.3135909817014361E-2</v>
      </c>
      <c r="F59" s="117">
        <f>IF(OR(2487345.59713="",3615.68751="",3311.11578=""),"-",(3311.11578-3615.68751)/2487345.59713*100)</f>
        <v>-1.2244849704497329E-2</v>
      </c>
      <c r="G59" s="117">
        <f>IF(OR(2560872.65018="",1204.56161="",3311.11578=""),"-",(1204.56161-3311.11578)/2560872.65018*100)</f>
        <v>-8.2259231822868414E-2</v>
      </c>
    </row>
    <row r="60" spans="1:7" x14ac:dyDescent="0.25">
      <c r="A60" s="46" t="s">
        <v>32</v>
      </c>
      <c r="B60" s="45">
        <v>2127.7207100000001</v>
      </c>
      <c r="C60" s="117">
        <f>IF(OR(1572.06977="",2127.72071=""),"-",2127.72071/1572.06977*100)</f>
        <v>135.34518318484047</v>
      </c>
      <c r="D60" s="45">
        <f>IF(1572.06977="","-",1572.06977/2560872.65018*100)</f>
        <v>6.1388049495139936E-2</v>
      </c>
      <c r="E60" s="45">
        <f>IF(2127.72071="","-",2127.72071/2266944.54682*100)</f>
        <v>9.3858524814146915E-2</v>
      </c>
      <c r="F60" s="117">
        <f>IF(OR(2487345.59713="",2050.04294="",1572.06977=""),"-",(1572.06977-2050.04294)/2487345.59713*100)</f>
        <v>-1.9216194587173753E-2</v>
      </c>
      <c r="G60" s="117">
        <f>IF(OR(2560872.65018="",2127.72071="",1572.06977=""),"-",(2127.72071-1572.06977)/2560872.65018*100)</f>
        <v>2.1697718547657733E-2</v>
      </c>
    </row>
    <row r="61" spans="1:7" x14ac:dyDescent="0.25">
      <c r="A61" s="46" t="s">
        <v>33</v>
      </c>
      <c r="B61" s="45">
        <v>24054.462680000001</v>
      </c>
      <c r="C61" s="117">
        <f>IF(OR(21953.84249="",24054.46268=""),"-",24054.46268/21953.84249*100)</f>
        <v>109.56834864309897</v>
      </c>
      <c r="D61" s="45">
        <f>IF(21953.84249="","-",21953.84249/2560872.65018*100)</f>
        <v>0.85727974362399073</v>
      </c>
      <c r="E61" s="45">
        <f>IF(24054.46268="","-",24054.46268/2266944.54682*100)</f>
        <v>1.06109621048044</v>
      </c>
      <c r="F61" s="117">
        <f>IF(OR(2487345.59713="",22242.99806="",21953.84249=""),"-",(21953.84249-22242.99806)/2487345.59713*100)</f>
        <v>-1.1625066107968349E-2</v>
      </c>
      <c r="G61" s="117">
        <f>IF(OR(2560872.65018="",24054.46268="",21953.84249=""),"-",(24054.46268-21953.84249)/2560872.65018*100)</f>
        <v>8.2027514716608491E-2</v>
      </c>
    </row>
    <row r="62" spans="1:7" ht="15.75" customHeight="1" x14ac:dyDescent="0.25">
      <c r="A62" s="53" t="s">
        <v>204</v>
      </c>
      <c r="B62" s="43">
        <v>521199.15117999999</v>
      </c>
      <c r="C62" s="116">
        <f>IF(604566.20919="","-",521199.15118/604566.20919*100)</f>
        <v>86.210433738647836</v>
      </c>
      <c r="D62" s="43">
        <f>IF(604566.20919="","-",604566.20919/2560872.65018*100)</f>
        <v>23.607820136917233</v>
      </c>
      <c r="E62" s="43">
        <f>IF(521199.15118="","-",521199.15118/2266944.54682*100)</f>
        <v>22.991261604132408</v>
      </c>
      <c r="F62" s="116">
        <f>IF(2487345.59713="","-",(604566.20919-539764.72903)/2487345.59713*100)</f>
        <v>2.6052463411103988</v>
      </c>
      <c r="G62" s="116">
        <f>IF(2560872.65018="","-",(521199.15118-604566.20919)/2560872.65018*100)</f>
        <v>-3.2554160006410404</v>
      </c>
    </row>
    <row r="63" spans="1:7" ht="25.5" x14ac:dyDescent="0.25">
      <c r="A63" s="46" t="s">
        <v>205</v>
      </c>
      <c r="B63" s="45">
        <v>1787.5680299999999</v>
      </c>
      <c r="C63" s="117">
        <f>IF(OR(3978.77624="",1787.56803=""),"-",1787.56803/3978.77624*100)</f>
        <v>44.92758381406238</v>
      </c>
      <c r="D63" s="45">
        <f>IF(3978.77624="","-",3978.77624/2560872.65018*100)</f>
        <v>0.15536798519521608</v>
      </c>
      <c r="E63" s="45">
        <f>IF(1787.56803="","-",1787.56803/2266944.54682*100)</f>
        <v>7.8853628444839799E-2</v>
      </c>
      <c r="F63" s="117">
        <f>IF(OR(2487345.59713="",2825.24086="",3978.77624=""),"-",(3978.77624-2825.24086)/2487345.59713*100)</f>
        <v>4.6376160246127278E-2</v>
      </c>
      <c r="G63" s="117">
        <f>IF(OR(2560872.65018="",1787.56803="",3978.77624=""),"-",(1787.56803-3978.77624)/2560872.65018*100)</f>
        <v>-8.5564903426415345E-2</v>
      </c>
    </row>
    <row r="64" spans="1:7" ht="25.5" x14ac:dyDescent="0.25">
      <c r="A64" s="46" t="s">
        <v>206</v>
      </c>
      <c r="B64" s="45">
        <v>13739.149520000001</v>
      </c>
      <c r="C64" s="117">
        <f>IF(OR(12925.32073="",13739.14952=""),"-",13739.14952/12925.32073*100)</f>
        <v>106.29639145519295</v>
      </c>
      <c r="D64" s="45">
        <f>IF(12925.32073="","-",12925.32073/2560872.65018*100)</f>
        <v>0.50472329145658601</v>
      </c>
      <c r="E64" s="45">
        <f>IF(13739.14952="","-",13739.14952/2266944.54682*100)</f>
        <v>0.60606464940983484</v>
      </c>
      <c r="F64" s="117">
        <f>IF(OR(2487345.59713="",12350.67161="",12925.32073=""),"-",(12925.32073-12350.67161)/2487345.59713*100)</f>
        <v>2.3102906192973484E-2</v>
      </c>
      <c r="G64" s="117">
        <f>IF(OR(2560872.65018="",13739.14952="",12925.32073=""),"-",(13739.14952-12925.32073)/2560872.65018*100)</f>
        <v>3.1779354195641027E-2</v>
      </c>
    </row>
    <row r="65" spans="1:7" ht="25.5" x14ac:dyDescent="0.25">
      <c r="A65" s="46" t="s">
        <v>207</v>
      </c>
      <c r="B65" s="45">
        <v>2808.3894300000002</v>
      </c>
      <c r="C65" s="117">
        <f>IF(OR(2450.69577="",2808.38943=""),"-",2808.38943/2450.69577*100)</f>
        <v>114.5955962538753</v>
      </c>
      <c r="D65" s="45">
        <f>IF(2450.69577="","-",2450.69577/2560872.65018*100)</f>
        <v>9.5697682187661462E-2</v>
      </c>
      <c r="E65" s="45">
        <f>IF(2808.38943="","-",2808.38943/2266944.54682*100)</f>
        <v>0.12388434617598047</v>
      </c>
      <c r="F65" s="117">
        <f>IF(OR(2487345.59713="",2122.58906="",2450.69577=""),"-",(2450.69577-2122.58906)/2487345.59713*100)</f>
        <v>1.3191038285093265E-2</v>
      </c>
      <c r="G65" s="117">
        <f>IF(OR(2560872.65018="",2808.38943="",2450.69577=""),"-",(2808.38943-2450.69577)/2560872.65018*100)</f>
        <v>1.3967647316427806E-2</v>
      </c>
    </row>
    <row r="66" spans="1:7" ht="38.25" x14ac:dyDescent="0.25">
      <c r="A66" s="46" t="s">
        <v>208</v>
      </c>
      <c r="B66" s="45">
        <v>18919.776740000001</v>
      </c>
      <c r="C66" s="117">
        <f>IF(OR(21543.59618="",18919.77674=""),"-",18919.77674/21543.59618*100)</f>
        <v>87.820884600335106</v>
      </c>
      <c r="D66" s="45">
        <f>IF(21543.59618="","-",21543.59618/2560872.65018*100)</f>
        <v>0.84125995794776187</v>
      </c>
      <c r="E66" s="45">
        <f>IF(18919.77674="","-",18919.77674/2266944.54682*100)</f>
        <v>0.83459371631035628</v>
      </c>
      <c r="F66" s="117">
        <f>IF(OR(2487345.59713="",18998.14976="",21543.59618=""),"-",(21543.59618-18998.14976)/2487345.59713*100)</f>
        <v>0.10233585646228813</v>
      </c>
      <c r="G66" s="117">
        <f>IF(OR(2560872.65018="",18919.77674="",21543.59618=""),"-",(18919.77674-21543.59618)/2560872.65018*100)</f>
        <v>-0.10245802108963033</v>
      </c>
    </row>
    <row r="67" spans="1:7" ht="25.5" x14ac:dyDescent="0.25">
      <c r="A67" s="46" t="s">
        <v>209</v>
      </c>
      <c r="B67" s="45">
        <v>1970.2560699999999</v>
      </c>
      <c r="C67" s="117" t="s">
        <v>104</v>
      </c>
      <c r="D67" s="45">
        <f>IF(1150.4835="","-",1150.4835/2560872.65018*100)</f>
        <v>4.4925447578157952E-2</v>
      </c>
      <c r="E67" s="45">
        <f>IF(1970.25607="","-",1970.25607/2266944.54682*100)</f>
        <v>8.6912406956041979E-2</v>
      </c>
      <c r="F67" s="117">
        <f>IF(OR(2487345.59713="",1081.50733="",1150.4835=""),"-",(1150.4835-1081.50733)/2487345.59713*100)</f>
        <v>2.7730834862508707E-3</v>
      </c>
      <c r="G67" s="117">
        <f>IF(OR(2560872.65018="",1970.25607="",1150.4835=""),"-",(1970.25607-1150.4835)/2560872.65018*100)</f>
        <v>3.2011453983952672E-2</v>
      </c>
    </row>
    <row r="68" spans="1:7" ht="38.25" x14ac:dyDescent="0.25">
      <c r="A68" s="46" t="s">
        <v>210</v>
      </c>
      <c r="B68" s="45">
        <v>2121.0893999999998</v>
      </c>
      <c r="C68" s="117">
        <f>IF(OR(3970.17343="",2121.0894=""),"-",2121.0894/3970.17343*100)</f>
        <v>53.425610679178817</v>
      </c>
      <c r="D68" s="45">
        <f>IF(3970.17343="","-",3970.17343/2560872.65018*100)</f>
        <v>0.15503205244200419</v>
      </c>
      <c r="E68" s="45">
        <f>IF(2121.0894="","-",2121.0894/2266944.54682*100)</f>
        <v>9.3566002881517271E-2</v>
      </c>
      <c r="F68" s="117">
        <f>IF(OR(2487345.59713="",3497.46305="",3970.17343=""),"-",(3970.17343-3497.46305)/2487345.59713*100)</f>
        <v>1.9004612006688269E-2</v>
      </c>
      <c r="G68" s="117">
        <f>IF(OR(2560872.65018="",2121.0894="",3970.17343=""),"-",(2121.0894-3970.17343)/2560872.65018*100)</f>
        <v>-7.2205231676398696E-2</v>
      </c>
    </row>
    <row r="69" spans="1:7" ht="39.75" customHeight="1" x14ac:dyDescent="0.25">
      <c r="A69" s="46" t="s">
        <v>211</v>
      </c>
      <c r="B69" s="45">
        <v>436175.32533999998</v>
      </c>
      <c r="C69" s="117">
        <f>IF(OR(533771.9274="",436175.32534=""),"-",436175.32534/533771.9274*100)</f>
        <v>81.715673483355971</v>
      </c>
      <c r="D69" s="45">
        <f>IF(533771.9274="","-",533771.9274/2560872.65018*100)</f>
        <v>20.843360850547647</v>
      </c>
      <c r="E69" s="45">
        <f>IF(436175.32534="","-",436175.32534/2266944.54682*100)</f>
        <v>19.240670264822018</v>
      </c>
      <c r="F69" s="117">
        <f>IF(OR(2487345.59713="",479711.6336="",533771.9274=""),"-",(533771.9274-479711.6336)/2487345.59713*100)</f>
        <v>2.1734130497336999</v>
      </c>
      <c r="G69" s="117">
        <f>IF(OR(2560872.65018="",436175.32534="",533771.9274=""),"-",(436175.32534-533771.9274)/2560872.65018*100)</f>
        <v>-3.8110681549564811</v>
      </c>
    </row>
    <row r="70" spans="1:7" ht="25.5" x14ac:dyDescent="0.25">
      <c r="A70" s="46" t="s">
        <v>212</v>
      </c>
      <c r="B70" s="45">
        <v>25122.400030000001</v>
      </c>
      <c r="C70" s="117">
        <f>IF(OR(21732.37363="",25122.40003=""),"-",25122.40003/21732.37363*100)</f>
        <v>115.59896980291336</v>
      </c>
      <c r="D70" s="45">
        <f>IF(21732.37363="","-",21732.37363/2560872.65018*100)</f>
        <v>0.84863156426277042</v>
      </c>
      <c r="E70" s="45">
        <f>IF(25122.40003="","-",25122.40003/2266944.54682*100)</f>
        <v>1.1082053182659863</v>
      </c>
      <c r="F70" s="117">
        <f>IF(OR(2487345.59713="",18702.6779="",21732.37363=""),"-",(21732.37363-18702.6779)/2487345.59713*100)</f>
        <v>0.12180437384719618</v>
      </c>
      <c r="G70" s="117">
        <f>IF(OR(2560872.65018="",25122.40003="",21732.37363=""),"-",(25122.40003-21732.37363)/2560872.65018*100)</f>
        <v>0.13237778144734072</v>
      </c>
    </row>
    <row r="71" spans="1:7" x14ac:dyDescent="0.25">
      <c r="A71" s="46" t="s">
        <v>34</v>
      </c>
      <c r="B71" s="45">
        <v>18555.196619999999</v>
      </c>
      <c r="C71" s="117" t="s">
        <v>295</v>
      </c>
      <c r="D71" s="45">
        <f>IF(3042.86231="","-",3042.86231/2560872.65018*100)</f>
        <v>0.1188213052994307</v>
      </c>
      <c r="E71" s="45">
        <f>IF(18555.19662="","-",18555.19662/2266944.54682*100)</f>
        <v>0.81851127086582953</v>
      </c>
      <c r="F71" s="117">
        <f>IF(OR(2487345.59713="",474.79586="",3042.86231=""),"-",(3042.86231-474.79586)/2487345.59713*100)</f>
        <v>0.10324526085008608</v>
      </c>
      <c r="G71" s="117">
        <f>IF(OR(2560872.65018="",18555.19662="",3042.86231=""),"-",(18555.19662-3042.86231)/2560872.65018*100)</f>
        <v>0.60574407356451943</v>
      </c>
    </row>
    <row r="72" spans="1:7" x14ac:dyDescent="0.25">
      <c r="A72" s="53" t="s">
        <v>35</v>
      </c>
      <c r="B72" s="43">
        <v>470359.91716000001</v>
      </c>
      <c r="C72" s="116">
        <f>IF(537279.44416="","-",470359.91716/537279.44416*100)</f>
        <v>87.544744596617846</v>
      </c>
      <c r="D72" s="43">
        <f>IF(537279.44416="","-",537279.44416/2560872.65018*100)</f>
        <v>20.980326535262712</v>
      </c>
      <c r="E72" s="43">
        <f>IF(470359.91716="","-",470359.91716/2266944.54682*100)</f>
        <v>20.748629154595179</v>
      </c>
      <c r="F72" s="116">
        <f>IF(2487345.59713="","-",(537279.44416-568620.06527)/2487345.59713*100)</f>
        <v>-1.2600026769968009</v>
      </c>
      <c r="G72" s="116">
        <f>IF(2560872.65018="","-",(470359.91716-537279.44416)/2560872.65018*100)</f>
        <v>-2.6131532544305265</v>
      </c>
    </row>
    <row r="73" spans="1:7" ht="38.25" x14ac:dyDescent="0.25">
      <c r="A73" s="46" t="s">
        <v>238</v>
      </c>
      <c r="B73" s="45">
        <v>10429.33245</v>
      </c>
      <c r="C73" s="117">
        <f>IF(OR(8437.8486="",10429.33245=""),"-",10429.33245/8437.8486*100)</f>
        <v>123.60179643422377</v>
      </c>
      <c r="D73" s="45">
        <f>IF(8437.8486="","-",8437.8486/2560872.65018*100)</f>
        <v>0.32949114433343318</v>
      </c>
      <c r="E73" s="45">
        <f>IF(10429.33245="","-",10429.33245/2266944.54682*100)</f>
        <v>0.46006120725934596</v>
      </c>
      <c r="F73" s="117">
        <f>IF(OR(2487345.59713="",7564.01841="",8437.8486=""),"-",(8437.8486-7564.01841)/2487345.59713*100)</f>
        <v>3.5131032495374193E-2</v>
      </c>
      <c r="G73" s="117">
        <f>IF(OR(2560872.65018="",10429.33245="",8437.8486=""),"-",(10429.33245-8437.8486)/2560872.65018*100)</f>
        <v>7.7765829154371358E-2</v>
      </c>
    </row>
    <row r="74" spans="1:7" x14ac:dyDescent="0.25">
      <c r="A74" s="46" t="s">
        <v>213</v>
      </c>
      <c r="B74" s="45">
        <v>126945.29909</v>
      </c>
      <c r="C74" s="117">
        <f>IF(OR(135604.22472="",126945.29909=""),"-",126945.29909/135604.22472*100)</f>
        <v>93.614560572962063</v>
      </c>
      <c r="D74" s="45">
        <f>IF(135604.22472="","-",135604.22472/2560872.65018*100)</f>
        <v>5.2952349938396415</v>
      </c>
      <c r="E74" s="45">
        <f>IF(126945.29909="","-",126945.29909/2266944.54682*100)</f>
        <v>5.5998413930360567</v>
      </c>
      <c r="F74" s="117">
        <f>IF(OR(2487345.59713="",147768.41897="",135604.22472=""),"-",(135604.22472-147768.41897)/2487345.59713*100)</f>
        <v>-0.48904318981791428</v>
      </c>
      <c r="G74" s="117">
        <f>IF(OR(2560872.65018="",126945.29909="",135604.22472=""),"-",(126945.29909-135604.22472)/2560872.65018*100)</f>
        <v>-0.33812402305094613</v>
      </c>
    </row>
    <row r="75" spans="1:7" x14ac:dyDescent="0.25">
      <c r="A75" s="46" t="s">
        <v>214</v>
      </c>
      <c r="B75" s="45">
        <v>11128.92417</v>
      </c>
      <c r="C75" s="117">
        <f>IF(OR(13153.30745="",11128.92417=""),"-",11128.92417/13153.30745*100)</f>
        <v>84.609321361221575</v>
      </c>
      <c r="D75" s="45">
        <f>IF(13153.30745="","-",13153.30745/2560872.65018*100)</f>
        <v>0.51362598796451175</v>
      </c>
      <c r="E75" s="45">
        <f>IF(11128.92417="","-",11128.92417/2266944.54682*100)</f>
        <v>0.49092176452270581</v>
      </c>
      <c r="F75" s="117">
        <f>IF(OR(2487345.59713="",15459.20991="",13153.30745=""),"-",(13153.30745-15459.20991)/2487345.59713*100)</f>
        <v>-9.2705350742600584E-2</v>
      </c>
      <c r="G75" s="117">
        <f>IF(OR(2560872.65018="",11128.92417="",13153.30745=""),"-",(11128.92417-13153.30745)/2560872.65018*100)</f>
        <v>-7.9050525212868705E-2</v>
      </c>
    </row>
    <row r="76" spans="1:7" x14ac:dyDescent="0.25">
      <c r="A76" s="46" t="s">
        <v>215</v>
      </c>
      <c r="B76" s="45">
        <v>218760.84513999999</v>
      </c>
      <c r="C76" s="117">
        <f>IF(OR(256630.97594="",218760.84514=""),"-",218760.84514/256630.97594*100)</f>
        <v>85.243351601930556</v>
      </c>
      <c r="D76" s="45">
        <f>IF(256630.97594="","-",256630.97594/2560872.65018*100)</f>
        <v>10.021231470528681</v>
      </c>
      <c r="E76" s="45">
        <f>IF(218760.84514="","-",218760.84514/2266944.54682*100)</f>
        <v>9.650030718522471</v>
      </c>
      <c r="F76" s="117">
        <f>IF(OR(2487345.59713="",286179.90664="",256630.97594=""),"-",(256630.97594-286179.90664)/2487345.59713*100)</f>
        <v>-1.1879704506721842</v>
      </c>
      <c r="G76" s="117">
        <f>IF(OR(2560872.65018="",218760.84514="",256630.97594=""),"-",(218760.84514-256630.97594)/2560872.65018*100)</f>
        <v>-1.4787978932626025</v>
      </c>
    </row>
    <row r="77" spans="1:7" x14ac:dyDescent="0.25">
      <c r="A77" s="46" t="s">
        <v>216</v>
      </c>
      <c r="B77" s="45">
        <v>30588.875550000001</v>
      </c>
      <c r="C77" s="117">
        <f>IF(OR(32756.20943="",30588.87555=""),"-",30588.87555/32756.20943*100)</f>
        <v>93.383441131576632</v>
      </c>
      <c r="D77" s="45">
        <f>IF(32756.20943="","-",32756.20943/2560872.65018*100)</f>
        <v>1.2791034113975803</v>
      </c>
      <c r="E77" s="45">
        <f>IF(30588.87555="","-",30588.87555/2266944.54682*100)</f>
        <v>1.3493437937381014</v>
      </c>
      <c r="F77" s="117">
        <f>IF(OR(2487345.59713="",33684.38994="",32756.20943=""),"-",(32756.20943-33684.38994)/2487345.59713*100)</f>
        <v>-3.7316105613589612E-2</v>
      </c>
      <c r="G77" s="117">
        <f>IF(OR(2560872.65018="",30588.87555="",32756.20943=""),"-",(30588.87555-32756.20943)/2560872.65018*100)</f>
        <v>-8.4632630203132497E-2</v>
      </c>
    </row>
    <row r="78" spans="1:7" ht="25.5" x14ac:dyDescent="0.25">
      <c r="A78" s="46" t="s">
        <v>239</v>
      </c>
      <c r="B78" s="45">
        <v>20552.609520000002</v>
      </c>
      <c r="C78" s="117">
        <f>IF(OR(25129.14159="",20552.60952=""),"-",20552.60952/25129.14159*100)</f>
        <v>81.787949048680588</v>
      </c>
      <c r="D78" s="45">
        <f>IF(25129.14159="","-",25129.14159/2560872.65018*100)</f>
        <v>0.98127259816038537</v>
      </c>
      <c r="E78" s="45">
        <f>IF(20552.60952="","-",20552.60952/2266944.54682*100)</f>
        <v>0.906621626401518</v>
      </c>
      <c r="F78" s="117">
        <f>IF(OR(2487345.59713="",21164.21479="",25129.14159=""),"-",(25129.14159-21164.21479)/2487345.59713*100)</f>
        <v>0.15940393665339028</v>
      </c>
      <c r="G78" s="117">
        <f>IF(OR(2560872.65018="",20552.60952="",25129.14159=""),"-",(20552.60952-25129.14159)/2560872.65018*100)</f>
        <v>-0.17870986554830517</v>
      </c>
    </row>
    <row r="79" spans="1:7" ht="25.5" x14ac:dyDescent="0.25">
      <c r="A79" s="46" t="s">
        <v>217</v>
      </c>
      <c r="B79" s="45">
        <v>2556.2436699999998</v>
      </c>
      <c r="C79" s="117">
        <f>IF(OR(3913.67998="",2556.24367=""),"-",2556.24367/3913.67998*100)</f>
        <v>65.315602784671213</v>
      </c>
      <c r="D79" s="45">
        <f>IF(3913.67998="","-",3913.67998/2560872.65018*100)</f>
        <v>0.15282602903837927</v>
      </c>
      <c r="E79" s="45">
        <f>IF(2556.24367="","-",2556.24367/2266944.54682*100)</f>
        <v>0.11276163210899093</v>
      </c>
      <c r="F79" s="117">
        <f>IF(OR(2487345.59713="",3432.51429="",3913.67998=""),"-",(3913.67998-3432.51429)/2487345.59713*100)</f>
        <v>1.9344545066644066E-2</v>
      </c>
      <c r="G79" s="117">
        <f>IF(OR(2560872.65018="",2556.24367="",3913.67998=""),"-",(2556.24367-3913.67998)/2560872.65018*100)</f>
        <v>-5.3006786960085192E-2</v>
      </c>
    </row>
    <row r="80" spans="1:7" x14ac:dyDescent="0.25">
      <c r="A80" s="47" t="s">
        <v>36</v>
      </c>
      <c r="B80" s="45">
        <v>49397.78757</v>
      </c>
      <c r="C80" s="117">
        <f>IF(OR(61654.05645="",49397.78757=""),"-",49397.78757/61654.05645*100)</f>
        <v>80.12090430750564</v>
      </c>
      <c r="D80" s="45">
        <f>IF(61654.05645="","-",61654.05645/2560872.65018*100)</f>
        <v>2.4075409000001007</v>
      </c>
      <c r="E80" s="45">
        <f>IF(49397.78757="","-",49397.78757/2266944.54682*100)</f>
        <v>2.1790470190059876</v>
      </c>
      <c r="F80" s="117">
        <f>IF(OR(2487345.59713="",53367.39232="",61654.05645=""),"-",(61654.05645-53367.39232)/2487345.59713*100)</f>
        <v>0.33315290563408179</v>
      </c>
      <c r="G80" s="117">
        <f>IF(OR(2560872.65018="",49397.78757="",61654.05645=""),"-",(49397.78757-61654.05645)/2560872.65018*100)</f>
        <v>-0.47859735934696013</v>
      </c>
    </row>
    <row r="81" spans="1:7" ht="25.5" x14ac:dyDescent="0.25">
      <c r="A81" s="54" t="s">
        <v>218</v>
      </c>
      <c r="B81" s="55">
        <v>591.62243000000001</v>
      </c>
      <c r="C81" s="126">
        <f>IF(879.32971="","-",591.62243/879.32971*100)</f>
        <v>67.281069122525167</v>
      </c>
      <c r="D81" s="55">
        <f>IF(879.32971="","-",879.32971/2560872.65018*100)</f>
        <v>3.4337111997279256E-2</v>
      </c>
      <c r="E81" s="55">
        <f>IF(591.62243="","-",591.62243/2266944.54682*100)</f>
        <v>2.609779012150561E-2</v>
      </c>
      <c r="F81" s="126">
        <f>IF(2487345.59713="","-",(879.32971-1071.34655)/2487345.59713*100)</f>
        <v>-7.7197491261993025E-3</v>
      </c>
      <c r="G81" s="126">
        <f>IF(2560872.65018="","-",(591.62243-879.32971)/2560872.65018*100)</f>
        <v>-1.1234735939710919E-2</v>
      </c>
    </row>
    <row r="82" spans="1:7" x14ac:dyDescent="0.25">
      <c r="A82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2"/>
  <sheetViews>
    <sheetView zoomScaleNormal="100" workbookViewId="0">
      <selection activeCell="B7" sqref="B7"/>
    </sheetView>
  </sheetViews>
  <sheetFormatPr defaultRowHeight="15.75" x14ac:dyDescent="0.25"/>
  <cols>
    <col min="1" max="1" width="27.625" customWidth="1"/>
    <col min="2" max="2" width="13.12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4" t="s">
        <v>161</v>
      </c>
      <c r="B1" s="94"/>
      <c r="C1" s="94"/>
      <c r="D1" s="94"/>
      <c r="E1" s="94"/>
      <c r="F1" s="94"/>
      <c r="G1" s="94"/>
    </row>
    <row r="2" spans="1:7" x14ac:dyDescent="0.25">
      <c r="A2" s="94" t="s">
        <v>23</v>
      </c>
      <c r="B2" s="94"/>
      <c r="C2" s="94"/>
      <c r="D2" s="94"/>
      <c r="E2" s="94"/>
      <c r="F2" s="94"/>
      <c r="G2" s="94"/>
    </row>
    <row r="3" spans="1:7" x14ac:dyDescent="0.25">
      <c r="A3" s="5"/>
    </row>
    <row r="4" spans="1:7" ht="57" customHeight="1" x14ac:dyDescent="0.25">
      <c r="A4" s="102"/>
      <c r="B4" s="105" t="s">
        <v>279</v>
      </c>
      <c r="C4" s="100"/>
      <c r="D4" s="105" t="s">
        <v>0</v>
      </c>
      <c r="E4" s="100"/>
      <c r="F4" s="106" t="s">
        <v>120</v>
      </c>
      <c r="G4" s="107"/>
    </row>
    <row r="5" spans="1:7" ht="23.25" customHeight="1" x14ac:dyDescent="0.25">
      <c r="A5" s="103"/>
      <c r="B5" s="108" t="s">
        <v>111</v>
      </c>
      <c r="C5" s="95" t="s">
        <v>280</v>
      </c>
      <c r="D5" s="110" t="s">
        <v>281</v>
      </c>
      <c r="E5" s="110"/>
      <c r="F5" s="110" t="s">
        <v>281</v>
      </c>
      <c r="G5" s="105"/>
    </row>
    <row r="6" spans="1:7" ht="32.25" customHeight="1" x14ac:dyDescent="0.25">
      <c r="A6" s="104"/>
      <c r="B6" s="109"/>
      <c r="C6" s="96"/>
      <c r="D6" s="24">
        <v>2019</v>
      </c>
      <c r="E6" s="24">
        <v>2020</v>
      </c>
      <c r="F6" s="24" t="s">
        <v>122</v>
      </c>
      <c r="G6" s="20" t="s">
        <v>141</v>
      </c>
    </row>
    <row r="7" spans="1:7" x14ac:dyDescent="0.25">
      <c r="A7" s="39" t="s">
        <v>133</v>
      </c>
      <c r="B7" s="40">
        <v>4848565.1917599998</v>
      </c>
      <c r="C7" s="65">
        <f>IF(5302814.4312="","-",4848565.19176/5302814.4312*100)</f>
        <v>91.433808492951428</v>
      </c>
      <c r="D7" s="40">
        <v>100</v>
      </c>
      <c r="E7" s="40">
        <v>100</v>
      </c>
      <c r="F7" s="65">
        <f>IF(5240739.99296="","-",(5302814.4312-5240739.99296)/5240739.99296*100)</f>
        <v>1.1844594145747736</v>
      </c>
      <c r="G7" s="65">
        <f>IF(5302814.4312="","-",(4848565.19176-5302814.4312)/5302814.4312*100)</f>
        <v>-8.5661915070485755</v>
      </c>
    </row>
    <row r="8" spans="1:7" ht="12" customHeight="1" x14ac:dyDescent="0.25">
      <c r="A8" s="41" t="s">
        <v>138</v>
      </c>
      <c r="B8" s="33"/>
      <c r="C8" s="115"/>
      <c r="D8" s="33"/>
      <c r="E8" s="56"/>
      <c r="F8" s="115"/>
      <c r="G8" s="115"/>
    </row>
    <row r="9" spans="1:7" x14ac:dyDescent="0.25">
      <c r="A9" s="53" t="s">
        <v>219</v>
      </c>
      <c r="B9" s="43">
        <v>584906.02167000005</v>
      </c>
      <c r="C9" s="116">
        <f>IF(538727.55944="","-",584906.02167/538727.55944*100)</f>
        <v>108.57176534239346</v>
      </c>
      <c r="D9" s="43">
        <f>IF(538727.55944="","-",538727.55944/5302814.4312*100)</f>
        <v>10.15927610572804</v>
      </c>
      <c r="E9" s="43">
        <f>IF(584906.02167="","-",584906.02167/4848565.19176*100)</f>
        <v>12.063486795310732</v>
      </c>
      <c r="F9" s="116">
        <f>IF(5240739.99296="","-",(538727.55944-502868.05602)/5240739.99296*100)</f>
        <v>0.68424503921527902</v>
      </c>
      <c r="G9" s="116">
        <f>IF(5302814.4312="","-",(584906.02167-538727.55944)/5302814.4312*100)</f>
        <v>0.87082930826885652</v>
      </c>
    </row>
    <row r="10" spans="1:7" ht="14.25" customHeight="1" x14ac:dyDescent="0.25">
      <c r="A10" s="46" t="s">
        <v>24</v>
      </c>
      <c r="B10" s="45">
        <v>5838.7620100000004</v>
      </c>
      <c r="C10" s="117">
        <f>IF(OR(5039.97461="",5838.76201=""),"-",5838.76201/5039.97461*100)</f>
        <v>115.84903619187081</v>
      </c>
      <c r="D10" s="45">
        <f>IF(5039.97461="","-",5039.97461/5302814.4312*100)</f>
        <v>9.5043390173083608E-2</v>
      </c>
      <c r="E10" s="45">
        <f>IF(5838.76201="","-",5838.76201/4848565.19176*100)</f>
        <v>0.12042247095950802</v>
      </c>
      <c r="F10" s="117">
        <f>IF(OR(5240739.99296="",4447.82647="",5039.97461=""),"-",(5039.97461-4447.82647)/5240739.99296*100)</f>
        <v>1.1298941386053222E-2</v>
      </c>
      <c r="G10" s="117">
        <f>IF(OR(5302814.4312="",5838.76201="",5039.97461=""),"-",(5838.76201-5039.97461)/5302814.4312*100)</f>
        <v>1.5063461306513013E-2</v>
      </c>
    </row>
    <row r="11" spans="1:7" s="9" customFormat="1" x14ac:dyDescent="0.25">
      <c r="A11" s="46" t="s">
        <v>220</v>
      </c>
      <c r="B11" s="45">
        <v>36980.56465</v>
      </c>
      <c r="C11" s="117">
        <f>IF(OR(41874.25306="",36980.56465=""),"-",36980.56465/41874.25306*100)</f>
        <v>88.313371457663919</v>
      </c>
      <c r="D11" s="45">
        <f>IF(41874.25306="","-",41874.25306/5302814.4312*100)</f>
        <v>0.7896609169203771</v>
      </c>
      <c r="E11" s="45">
        <f>IF(36980.56465="","-",36980.56465/4848565.19176*100)</f>
        <v>0.76271150716602565</v>
      </c>
      <c r="F11" s="117">
        <f>IF(OR(5240739.99296="",37480.86013="",41874.25306=""),"-",(41874.25306-37480.86013)/5240739.99296*100)</f>
        <v>8.3831537834384878E-2</v>
      </c>
      <c r="G11" s="117">
        <f>IF(OR(5302814.4312="",36980.56465="",41874.25306=""),"-",(36980.56465-41874.25306)/5302814.4312*100)</f>
        <v>-9.2284738104489644E-2</v>
      </c>
    </row>
    <row r="12" spans="1:7" s="9" customFormat="1" x14ac:dyDescent="0.25">
      <c r="A12" s="46" t="s">
        <v>221</v>
      </c>
      <c r="B12" s="45">
        <v>72051.46342</v>
      </c>
      <c r="C12" s="117">
        <f>IF(OR(60380.43142="",72051.46342=""),"-",72051.46342/60380.43142*100)</f>
        <v>119.32916298463905</v>
      </c>
      <c r="D12" s="45">
        <f>IF(60380.43142="","-",60380.43142/5302814.4312*100)</f>
        <v>1.1386487723338305</v>
      </c>
      <c r="E12" s="45">
        <f>IF(72051.46342="","-",72051.46342/4848565.19176*100)</f>
        <v>1.4860368082180153</v>
      </c>
      <c r="F12" s="117">
        <f>IF(OR(5240739.99296="",52235.5627="",60380.43142=""),"-",(60380.43142-52235.5627)/5240739.99296*100)</f>
        <v>0.15541447831682503</v>
      </c>
      <c r="G12" s="117">
        <f>IF(OR(5302814.4312="",72051.46342="",60380.43142=""),"-",(72051.46342-60380.43142)/5302814.4312*100)</f>
        <v>0.2200912770269976</v>
      </c>
    </row>
    <row r="13" spans="1:7" s="9" customFormat="1" x14ac:dyDescent="0.25">
      <c r="A13" s="46" t="s">
        <v>222</v>
      </c>
      <c r="B13" s="45">
        <v>52551.544459999997</v>
      </c>
      <c r="C13" s="117">
        <f>IF(OR(51350.66568="",52551.54446=""),"-",52551.54446/51350.66568*100)</f>
        <v>102.33858463974639</v>
      </c>
      <c r="D13" s="45">
        <f>IF(51350.66568="","-",51350.66568/5302814.4312*100)</f>
        <v>0.96836625807363208</v>
      </c>
      <c r="E13" s="45">
        <f>IF(52551.54446="","-",52551.54446/4848565.19176*100)</f>
        <v>1.0838576440987091</v>
      </c>
      <c r="F13" s="117">
        <f>IF(OR(5240739.99296="",46122.04275="",51350.66568=""),"-",(51350.66568-46122.04275)/5240739.99296*100)</f>
        <v>9.9768790991801151E-2</v>
      </c>
      <c r="G13" s="117">
        <f>IF(OR(5302814.4312="",52551.54446="",51350.66568=""),"-",(52551.54446-51350.66568)/5302814.4312*100)</f>
        <v>2.2646064567796807E-2</v>
      </c>
    </row>
    <row r="14" spans="1:7" s="9" customFormat="1" x14ac:dyDescent="0.25">
      <c r="A14" s="46" t="s">
        <v>223</v>
      </c>
      <c r="B14" s="45">
        <v>89764.512229999993</v>
      </c>
      <c r="C14" s="117">
        <f>IF(OR(73201.345="",89764.51223=""),"-",89764.51223/73201.345*100)</f>
        <v>122.6268618834804</v>
      </c>
      <c r="D14" s="45">
        <f>IF(73201.345="","-",73201.345/5302814.4312*100)</f>
        <v>1.3804244132947134</v>
      </c>
      <c r="E14" s="45">
        <f>IF(89764.51223="","-",89764.51223/4848565.19176*100)</f>
        <v>1.8513623861869954</v>
      </c>
      <c r="F14" s="117">
        <f>IF(OR(5240739.99296="",68318.27121="",73201.345=""),"-",(73201.345-68318.27121)/5240739.99296*100)</f>
        <v>9.3175272891987265E-2</v>
      </c>
      <c r="G14" s="117">
        <f>IF(OR(5302814.4312="",89764.51223="",73201.345=""),"-",(89764.51223-73201.345)/5302814.4312*100)</f>
        <v>0.31234672540203956</v>
      </c>
    </row>
    <row r="15" spans="1:7" s="9" customFormat="1" x14ac:dyDescent="0.25">
      <c r="A15" s="46" t="s">
        <v>224</v>
      </c>
      <c r="B15" s="45">
        <v>150033.66058</v>
      </c>
      <c r="C15" s="117">
        <f>IF(OR(142937.28456="",150033.66058=""),"-",150033.66058/142937.28456*100)</f>
        <v>104.96467806971748</v>
      </c>
      <c r="D15" s="45">
        <f>IF(142937.28456="","-",142937.28456/5302814.4312*100)</f>
        <v>2.6954985209175804</v>
      </c>
      <c r="E15" s="45">
        <f>IF(150033.66058="","-",150033.66058/4848565.19176*100)</f>
        <v>3.0943929728938775</v>
      </c>
      <c r="F15" s="117">
        <f>IF(OR(5240739.99296="",131973.06632="",142937.28456=""),"-",(142937.28456-131973.06632)/5240739.99296*100)</f>
        <v>0.20921126128616302</v>
      </c>
      <c r="G15" s="117">
        <f>IF(OR(5302814.4312="",150033.66058="",142937.28456=""),"-",(150033.66058-142937.28456)/5302814.4312*100)</f>
        <v>0.13382282393755426</v>
      </c>
    </row>
    <row r="16" spans="1:7" s="9" customFormat="1" ht="14.25" customHeight="1" x14ac:dyDescent="0.25">
      <c r="A16" s="46" t="s">
        <v>181</v>
      </c>
      <c r="B16" s="45">
        <v>15229.07856</v>
      </c>
      <c r="C16" s="117">
        <f>IF(OR(14405.09435="",15229.07856=""),"-",15229.07856/14405.09435*100)</f>
        <v>105.72008894894881</v>
      </c>
      <c r="D16" s="45">
        <f>IF(14405.09435="","-",14405.09435/5302814.4312*100)</f>
        <v>0.27164998015478731</v>
      </c>
      <c r="E16" s="45">
        <f>IF(15229.07856="","-",15229.07856/4848565.19176*100)</f>
        <v>0.31409454050203123</v>
      </c>
      <c r="F16" s="117">
        <f>IF(OR(5240739.99296="",15282.12738="",14405.09435=""),"-",(14405.09435-15282.12738)/5240739.99296*100)</f>
        <v>-1.6734908260629951E-2</v>
      </c>
      <c r="G16" s="117">
        <f>IF(OR(5302814.4312="",15229.07856="",14405.09435=""),"-",(15229.07856-14405.09435)/5302814.4312*100)</f>
        <v>1.5538620494655648E-2</v>
      </c>
    </row>
    <row r="17" spans="1:7" s="9" customFormat="1" ht="25.5" x14ac:dyDescent="0.25">
      <c r="A17" s="46" t="s">
        <v>225</v>
      </c>
      <c r="B17" s="45">
        <v>51808.033199999998</v>
      </c>
      <c r="C17" s="117">
        <f>IF(OR(49367.07489="",51808.0332=""),"-",51808.0332/49367.07489*100)</f>
        <v>104.94450666854165</v>
      </c>
      <c r="D17" s="45">
        <f>IF(49367.07489="","-",49367.07489/5302814.4312*100)</f>
        <v>0.9309598804653717</v>
      </c>
      <c r="E17" s="45">
        <f>IF(51808.0332="","-",51808.0332/4848565.19176*100)</f>
        <v>1.0685229784688941</v>
      </c>
      <c r="F17" s="117">
        <f>IF(OR(5240739.99296="",49626.42544="",49367.07489=""),"-",(49367.07489-49626.42544)/5240739.99296*100)</f>
        <v>-4.9487391160100824E-3</v>
      </c>
      <c r="G17" s="117">
        <f>IF(OR(5302814.4312="",51808.0332="",49367.07489=""),"-",(51808.0332-49367.07489)/5302814.4312*100)</f>
        <v>4.603137337105756E-2</v>
      </c>
    </row>
    <row r="18" spans="1:7" s="9" customFormat="1" ht="25.5" x14ac:dyDescent="0.25">
      <c r="A18" s="46" t="s">
        <v>182</v>
      </c>
      <c r="B18" s="45">
        <v>35408.54191</v>
      </c>
      <c r="C18" s="117">
        <f>IF(OR(28861.43293="",35408.54191=""),"-",35408.54191/28861.43293*100)</f>
        <v>122.68462898525947</v>
      </c>
      <c r="D18" s="45">
        <f>IF(28861.43293="","-",28861.43293/5302814.4312*100)</f>
        <v>0.54426631941311965</v>
      </c>
      <c r="E18" s="45">
        <f>IF(35408.54191="","-",35408.54191/4848565.19176*100)</f>
        <v>0.73028907541917387</v>
      </c>
      <c r="F18" s="117">
        <f>IF(OR(5240739.99296="",32398.70914="",28861.43293=""),"-",(28861.43293-32398.70914)/5240739.99296*100)</f>
        <v>-6.7495739432822457E-2</v>
      </c>
      <c r="G18" s="117">
        <f>IF(OR(5302814.4312="",35408.54191="",28861.43293=""),"-",(35408.54191-28861.43293)/5302814.4312*100)</f>
        <v>0.12346479525059344</v>
      </c>
    </row>
    <row r="19" spans="1:7" s="9" customFormat="1" x14ac:dyDescent="0.25">
      <c r="A19" s="46" t="s">
        <v>226</v>
      </c>
      <c r="B19" s="45">
        <v>75239.860650000002</v>
      </c>
      <c r="C19" s="117">
        <f>IF(OR(71310.00294="",75239.86065=""),"-",75239.86065/71310.00294*100)</f>
        <v>105.5109487420812</v>
      </c>
      <c r="D19" s="45">
        <f>IF(71310.00294="","-",71310.00294/5302814.4312*100)</f>
        <v>1.3447576539815462</v>
      </c>
      <c r="E19" s="45">
        <f>IF(75239.86065="","-",75239.86065/4848565.19176*100)</f>
        <v>1.5517964113975002</v>
      </c>
      <c r="F19" s="117">
        <f>IF(OR(5240739.99296="",64983.16448="",71310.00294=""),"-",(71310.00294-64983.16448)/5240739.99296*100)</f>
        <v>0.1207241433175274</v>
      </c>
      <c r="G19" s="117">
        <f>IF(OR(5302814.4312="",75239.86065="",71310.00294=""),"-",(75239.86065-71310.00294)/5302814.4312*100)</f>
        <v>7.4108905016136678E-2</v>
      </c>
    </row>
    <row r="20" spans="1:7" s="9" customFormat="1" x14ac:dyDescent="0.25">
      <c r="A20" s="53" t="s">
        <v>227</v>
      </c>
      <c r="B20" s="43">
        <v>94587.762799999997</v>
      </c>
      <c r="C20" s="116">
        <f>IF(113578.93208="","-",94587.7628/113578.93208*100)</f>
        <v>83.279320440675164</v>
      </c>
      <c r="D20" s="43">
        <f>IF(113578.93208="","-",113578.93208/5302814.4312*100)</f>
        <v>2.1418613370993946</v>
      </c>
      <c r="E20" s="43">
        <f>IF(94587.7628="","-",94587.7628/4848565.19176*100)</f>
        <v>1.9508402807649001</v>
      </c>
      <c r="F20" s="116">
        <f>IF(5240739.99296="","-",(113578.93208-109156.62032)/5240739.99296*100)</f>
        <v>8.4383345976724353E-2</v>
      </c>
      <c r="G20" s="116">
        <f>IF(5302814.4312="","-",(94587.7628-113578.93208)/5302814.4312*100)</f>
        <v>-0.35813377078146019</v>
      </c>
    </row>
    <row r="21" spans="1:7" s="9" customFormat="1" x14ac:dyDescent="0.25">
      <c r="A21" s="46" t="s">
        <v>228</v>
      </c>
      <c r="B21" s="45">
        <v>47953.43288</v>
      </c>
      <c r="C21" s="117">
        <f>IF(OR(56620.04357="",47953.43288=""),"-",47953.43288/56620.04357*100)</f>
        <v>84.693387458656105</v>
      </c>
      <c r="D21" s="45">
        <f>IF(56620.04357="","-",56620.04357/5302814.4312*100)</f>
        <v>1.0677357147718851</v>
      </c>
      <c r="E21" s="45">
        <f>IF(47953.43288="","-",47953.43288/4848565.19176*100)</f>
        <v>0.98902316424445558</v>
      </c>
      <c r="F21" s="117">
        <f>IF(OR(5240739.99296="",54817.6863="",56620.04357=""),"-",(56620.04357-54817.6863)/5240739.99296*100)</f>
        <v>3.4391274370053584E-2</v>
      </c>
      <c r="G21" s="117">
        <f>IF(OR(5302814.4312="",47953.43288="",56620.04357=""),"-",(47953.43288-56620.04357)/5302814.4312*100)</f>
        <v>-0.16343416882568132</v>
      </c>
    </row>
    <row r="22" spans="1:7" s="9" customFormat="1" x14ac:dyDescent="0.25">
      <c r="A22" s="46" t="s">
        <v>229</v>
      </c>
      <c r="B22" s="45">
        <v>46634.329919999996</v>
      </c>
      <c r="C22" s="117">
        <f>IF(OR(56958.88851="",46634.32992=""),"-",46634.32992/56958.88851*100)</f>
        <v>81.87366562079707</v>
      </c>
      <c r="D22" s="45">
        <f>IF(56958.88851="","-",56958.88851/5302814.4312*100)</f>
        <v>1.0741256223275097</v>
      </c>
      <c r="E22" s="45">
        <f>IF(46634.32992="","-",46634.32992/4848565.19176*100)</f>
        <v>0.96181711652044455</v>
      </c>
      <c r="F22" s="117">
        <f>IF(OR(5240739.99296="",54338.93402="",56958.88851=""),"-",(56958.88851-54338.93402)/5240739.99296*100)</f>
        <v>4.9992071606670768E-2</v>
      </c>
      <c r="G22" s="117">
        <f>IF(OR(5302814.4312="",46634.32992="",56958.88851=""),"-",(46634.32992-56958.88851)/5302814.4312*100)</f>
        <v>-0.19469960195577887</v>
      </c>
    </row>
    <row r="23" spans="1:7" s="9" customFormat="1" ht="25.5" x14ac:dyDescent="0.25">
      <c r="A23" s="53" t="s">
        <v>25</v>
      </c>
      <c r="B23" s="43">
        <v>127219.11245</v>
      </c>
      <c r="C23" s="116">
        <f>IF(129519.93164="","-",127219.11245/129519.93164*100)</f>
        <v>98.223579057781535</v>
      </c>
      <c r="D23" s="43">
        <f>IF(129519.93164="","-",129519.93164/5302814.4312*100)</f>
        <v>2.4424752802577379</v>
      </c>
      <c r="E23" s="43">
        <f>IF(127219.11245="","-",127219.11245/4848565.19176*100)</f>
        <v>2.6238507149745107</v>
      </c>
      <c r="F23" s="116">
        <f>IF(5240739.99296="","-",(129519.93164-126026.53698)/5240739.99296*100)</f>
        <v>6.6658423518295956E-2</v>
      </c>
      <c r="G23" s="116">
        <f>IF(5302814.4312="","-",(127219.11245-129519.93164)/5302814.4312*100)</f>
        <v>-4.3388642387007514E-2</v>
      </c>
    </row>
    <row r="24" spans="1:7" s="9" customFormat="1" x14ac:dyDescent="0.25">
      <c r="A24" s="46" t="s">
        <v>236</v>
      </c>
      <c r="B24" s="45">
        <v>7.6098999999999997</v>
      </c>
      <c r="C24" s="117">
        <f>IF(OR(18.14="",7.6099=""),"-",7.6099/18.14*100)</f>
        <v>41.950937155457552</v>
      </c>
      <c r="D24" s="45">
        <f>IF(18.14="","-",18.14/5302814.4312*100)</f>
        <v>3.4208249666950929E-4</v>
      </c>
      <c r="E24" s="45">
        <f>IF(7.6099="","-",7.6099/4848565.19176*100)</f>
        <v>1.5695158668656886E-4</v>
      </c>
      <c r="F24" s="117">
        <f>IF(OR(5240739.99296="",39.57298="",18.14=""),"-",(18.14-39.57298)/5240739.99296*100)</f>
        <v>-4.0896858132232069E-4</v>
      </c>
      <c r="G24" s="117">
        <f>IF(OR(5302814.4312="",7.6099="",18.14=""),"-",(7.6099-18.14)/5302814.4312*100)</f>
        <v>-1.985756834718633E-4</v>
      </c>
    </row>
    <row r="25" spans="1:7" s="9" customFormat="1" x14ac:dyDescent="0.25">
      <c r="A25" s="46" t="s">
        <v>230</v>
      </c>
      <c r="B25" s="45">
        <v>32952.161480000002</v>
      </c>
      <c r="C25" s="117">
        <f>IF(OR(30412.18229="",32952.16148=""),"-",32952.16148/30412.18229*100)</f>
        <v>108.35184784103831</v>
      </c>
      <c r="D25" s="45">
        <f>IF(30412.18229="","-",30412.18229/5302814.4312*100)</f>
        <v>0.57351021206898767</v>
      </c>
      <c r="E25" s="45">
        <f>IF(32952.16148="","-",32952.16148/4848565.19176*100)</f>
        <v>0.67962706856043265</v>
      </c>
      <c r="F25" s="117">
        <f>IF(OR(5240739.99296="",34642.53514="",30412.18229=""),"-",(30412.18229-34642.53514)/5240739.99296*100)</f>
        <v>-8.0720525263278164E-2</v>
      </c>
      <c r="G25" s="117">
        <f>IF(OR(5302814.4312="",32952.16148="",30412.18229=""),"-",(32952.16148-30412.18229)/5302814.4312*100)</f>
        <v>4.7898700264818003E-2</v>
      </c>
    </row>
    <row r="26" spans="1:7" s="9" customFormat="1" ht="25.5" x14ac:dyDescent="0.25">
      <c r="A26" s="46" t="s">
        <v>231</v>
      </c>
      <c r="B26" s="45">
        <v>1322.07269</v>
      </c>
      <c r="C26" s="117">
        <f>IF(OR(1444.9346="",1322.07269=""),"-",1322.07269/1444.9346*100)</f>
        <v>91.497060835832983</v>
      </c>
      <c r="D26" s="45">
        <f>IF(1444.9346="","-",1444.9346/5302814.4312*100)</f>
        <v>2.7248447381045135E-2</v>
      </c>
      <c r="E26" s="45">
        <f>IF(1322.07269="","-",1322.07269/4848565.19176*100)</f>
        <v>2.7267297390304774E-2</v>
      </c>
      <c r="F26" s="117">
        <f>IF(OR(5240739.99296="",856.78098="",1444.9346=""),"-",(1444.9346-856.78098)/5240739.99296*100)</f>
        <v>1.1222720852209411E-2</v>
      </c>
      <c r="G26" s="117">
        <f>IF(OR(5302814.4312="",1322.07269="",1444.9346=""),"-",(1322.07269-1444.9346)/5302814.4312*100)</f>
        <v>-2.3169189039903295E-3</v>
      </c>
    </row>
    <row r="27" spans="1:7" s="9" customFormat="1" ht="14.25" customHeight="1" x14ac:dyDescent="0.25">
      <c r="A27" s="46" t="s">
        <v>232</v>
      </c>
      <c r="B27" s="45">
        <v>36620.940519999996</v>
      </c>
      <c r="C27" s="117">
        <f>IF(OR(36038.86028="",36620.94052=""),"-",36620.94052/36038.86028*100)</f>
        <v>101.61514608252756</v>
      </c>
      <c r="D27" s="45">
        <f>IF(36038.86028="","-",36038.86028/5302814.4312*100)</f>
        <v>0.67961760207861144</v>
      </c>
      <c r="E27" s="45">
        <f>IF(36620.94052="","-",36620.94052/4848565.19176*100)</f>
        <v>0.7552943823924706</v>
      </c>
      <c r="F27" s="117">
        <f>IF(OR(5240739.99296="",32865.83355="",36038.86028=""),"-",(36038.86028-32865.83355)/5240739.99296*100)</f>
        <v>6.0545395006476051E-2</v>
      </c>
      <c r="G27" s="117">
        <f>IF(OR(5302814.4312="",36620.94052="",36038.86028=""),"-",(36620.94052-36038.86028)/5302814.4312*100)</f>
        <v>1.0976817076140335E-2</v>
      </c>
    </row>
    <row r="28" spans="1:7" s="9" customFormat="1" ht="15.75" customHeight="1" x14ac:dyDescent="0.25">
      <c r="A28" s="46" t="s">
        <v>183</v>
      </c>
      <c r="B28" s="45">
        <v>456.59706</v>
      </c>
      <c r="C28" s="117">
        <f>IF(OR(429.1599="",456.59706=""),"-",456.59706/429.1599*100)</f>
        <v>106.39322546211795</v>
      </c>
      <c r="D28" s="45">
        <f>IF(429.1599="","-",429.1599/5302814.4312*100)</f>
        <v>8.0930589891089824E-3</v>
      </c>
      <c r="E28" s="45">
        <f>IF(456.59706="","-",456.59706/4848565.19176*100)</f>
        <v>9.417158312648324E-3</v>
      </c>
      <c r="F28" s="117">
        <f>IF(OR(5240739.99296="",498.99399="",429.1599=""),"-",(429.1599-498.99399)/5240739.99296*100)</f>
        <v>-1.332523462217352E-3</v>
      </c>
      <c r="G28" s="117">
        <f>IF(OR(5302814.4312="",456.59706="",429.1599=""),"-",(456.59706-429.1599)/5302814.4312*100)</f>
        <v>5.174075079559425E-4</v>
      </c>
    </row>
    <row r="29" spans="1:7" s="9" customFormat="1" ht="15" customHeight="1" x14ac:dyDescent="0.25">
      <c r="A29" s="46" t="s">
        <v>184</v>
      </c>
      <c r="B29" s="45">
        <v>7148.9451600000002</v>
      </c>
      <c r="C29" s="117">
        <f>IF(OR(7427.75588="",7148.94516=""),"-",7148.94516/7427.75588*100)</f>
        <v>96.246366675152501</v>
      </c>
      <c r="D29" s="45">
        <f>IF(7427.75588="","-",7427.75588/5302814.4312*100)</f>
        <v>0.14007195568258149</v>
      </c>
      <c r="E29" s="45">
        <f>IF(7148.94516="","-",7148.94516/4848565.19176*100)</f>
        <v>0.14744455065076637</v>
      </c>
      <c r="F29" s="117">
        <f>IF(OR(5240739.99296="",7978.64967="",7427.75588=""),"-",(7427.75588-7978.64967)/5240739.99296*100)</f>
        <v>-1.0511755796700993E-2</v>
      </c>
      <c r="G29" s="117">
        <f>IF(OR(5302814.4312="",7148.94516="",7427.75588=""),"-",(7148.94516-7427.75588)/5302814.4312*100)</f>
        <v>-5.2577876072669961E-3</v>
      </c>
    </row>
    <row r="30" spans="1:7" s="9" customFormat="1" ht="15.75" customHeight="1" x14ac:dyDescent="0.25">
      <c r="A30" s="46" t="s">
        <v>185</v>
      </c>
      <c r="B30" s="45">
        <v>16558.707910000001</v>
      </c>
      <c r="C30" s="117">
        <f>IF(OR(22431.01508="",16558.70791=""),"-",16558.70791/22431.01508*100)</f>
        <v>73.820591047456062</v>
      </c>
      <c r="D30" s="45">
        <f>IF(22431.01508="","-",22431.01508/5302814.4312*100)</f>
        <v>0.42300207504949355</v>
      </c>
      <c r="E30" s="45">
        <f>IF(16558.70791="","-",16558.70791/4848565.19176*100)</f>
        <v>0.34151769142221827</v>
      </c>
      <c r="F30" s="117">
        <f>IF(OR(5240739.99296="",14454.60072="",22431.01508=""),"-",(22431.01508-14454.60072)/5240739.99296*100)</f>
        <v>0.152200154381154</v>
      </c>
      <c r="G30" s="117">
        <f>IF(OR(5302814.4312="",16558.70791="",22431.01508=""),"-",(16558.70791-22431.01508)/5302814.4312*100)</f>
        <v>-0.11073944310495372</v>
      </c>
    </row>
    <row r="31" spans="1:7" s="9" customFormat="1" ht="25.5" x14ac:dyDescent="0.25">
      <c r="A31" s="46" t="s">
        <v>186</v>
      </c>
      <c r="B31" s="45">
        <v>1503.00056</v>
      </c>
      <c r="C31" s="117">
        <f>IF(OR(1377.58838="",1503.00056=""),"-",1503.00056/1377.58838*100)</f>
        <v>109.10374839253507</v>
      </c>
      <c r="D31" s="45">
        <f>IF(1377.58838="","-",1377.58838/5302814.4312*100)</f>
        <v>2.5978438391031131E-2</v>
      </c>
      <c r="E31" s="45">
        <f>IF(1503.00056="","-",1503.00056/4848565.19176*100)</f>
        <v>3.0998872873861886E-2</v>
      </c>
      <c r="F31" s="117">
        <f>IF(OR(5240739.99296="",3659.46623="",1377.58838=""),"-",(1377.58838-3659.46623)/5240739.99296*100)</f>
        <v>-4.354113833285559E-2</v>
      </c>
      <c r="G31" s="117">
        <f>IF(OR(5302814.4312="",1503.00056="",1377.58838=""),"-",(1503.00056-1377.58838)/5302814.4312*100)</f>
        <v>2.3650116674292124E-3</v>
      </c>
    </row>
    <row r="32" spans="1:7" s="9" customFormat="1" ht="25.5" x14ac:dyDescent="0.25">
      <c r="A32" s="46" t="s">
        <v>187</v>
      </c>
      <c r="B32" s="45">
        <v>30649.07717</v>
      </c>
      <c r="C32" s="117">
        <f>IF(OR(29940.29523="",30649.07717=""),"-",30649.07717/29940.29523*100)</f>
        <v>102.36731780550315</v>
      </c>
      <c r="D32" s="45">
        <f>IF(29940.29523="","-",29940.29523/5302814.4312*100)</f>
        <v>0.56461140812020949</v>
      </c>
      <c r="E32" s="45">
        <f>IF(30649.07717="","-",30649.07717/4848565.19176*100)</f>
        <v>0.63212674178512118</v>
      </c>
      <c r="F32" s="117">
        <f>IF(OR(5240739.99296="",31030.10372="",29940.29523=""),"-",(29940.29523-31030.10372)/5240739.99296*100)</f>
        <v>-2.0794935285168941E-2</v>
      </c>
      <c r="G32" s="117">
        <f>IF(OR(5302814.4312="",30649.07717="",29940.29523=""),"-",(30649.07717-29940.29523)/5302814.4312*100)</f>
        <v>1.3366146396331786E-2</v>
      </c>
    </row>
    <row r="33" spans="1:7" s="9" customFormat="1" ht="25.5" x14ac:dyDescent="0.25">
      <c r="A33" s="53" t="s">
        <v>188</v>
      </c>
      <c r="B33" s="43">
        <v>522237.05940999999</v>
      </c>
      <c r="C33" s="116">
        <f>IF(828023.45022="","-",522237.05941/828023.45022*100)</f>
        <v>63.070322376889841</v>
      </c>
      <c r="D33" s="43">
        <f>IF(828023.45022="","-",828023.45022/5302814.4312*100)</f>
        <v>15.614792125256821</v>
      </c>
      <c r="E33" s="43">
        <f>IF(522237.05941="","-",522237.05941/4848565.19176*100)</f>
        <v>10.770960866887531</v>
      </c>
      <c r="F33" s="116">
        <f>IF(5240739.99296="","-",(828023.45022-889354.67636)/5240739.99296*100)</f>
        <v>-1.1702779802544603</v>
      </c>
      <c r="G33" s="116">
        <f>IF(5302814.4312="","-",(522237.05941-828023.45022)/5302814.4312*100)</f>
        <v>-5.7664923933761356</v>
      </c>
    </row>
    <row r="34" spans="1:7" s="9" customFormat="1" x14ac:dyDescent="0.25">
      <c r="A34" s="46" t="s">
        <v>233</v>
      </c>
      <c r="B34" s="45">
        <v>13679.855159999999</v>
      </c>
      <c r="C34" s="117">
        <f>IF(OR(17331.08281="",13679.85516=""),"-",13679.85516/17331.08281*100)</f>
        <v>78.932489735186948</v>
      </c>
      <c r="D34" s="45">
        <f>IF(17331.08281="","-",17331.08281/5302814.4312*100)</f>
        <v>0.32682800868968104</v>
      </c>
      <c r="E34" s="45">
        <f>IF(13679.85516="","-",13679.85516/4848565.19176*100)</f>
        <v>0.28214233735061511</v>
      </c>
      <c r="F34" s="117">
        <f>IF(OR(5240739.99296="",16237.6439="",17331.08281=""),"-",(17331.08281-16237.6439)/5240739.99296*100)</f>
        <v>2.0864208326855385E-2</v>
      </c>
      <c r="G34" s="117">
        <f>IF(OR(5302814.4312="",13679.85516="",17331.08281=""),"-",(13679.85516-17331.08281)/5302814.4312*100)</f>
        <v>-6.8854524278982657E-2</v>
      </c>
    </row>
    <row r="35" spans="1:7" s="9" customFormat="1" ht="25.5" x14ac:dyDescent="0.25">
      <c r="A35" s="46" t="s">
        <v>189</v>
      </c>
      <c r="B35" s="45">
        <v>337406.78865</v>
      </c>
      <c r="C35" s="117">
        <f>IF(OR(537734.91433="",337406.78865=""),"-",337406.78865/537734.91433*100)</f>
        <v>62.745932923176042</v>
      </c>
      <c r="D35" s="45">
        <f>IF(537734.91433="","-",537734.91433/5302814.4312*100)</f>
        <v>10.140556893074484</v>
      </c>
      <c r="E35" s="45">
        <f>IF(337406.78865="","-",337406.78865/4848565.19176*100)</f>
        <v>6.9588997013675993</v>
      </c>
      <c r="F35" s="117">
        <f>IF(OR(5240739.99296="",588886.08632="",537734.91433=""),"-",(537734.91433-588886.08632)/5240739.99296*100)</f>
        <v>-0.97602956946370978</v>
      </c>
      <c r="G35" s="117">
        <f>IF(OR(5302814.4312="",337406.78865="",537734.91433=""),"-",(337406.78865-537734.91433)/5302814.4312*100)</f>
        <v>-3.777769866909463</v>
      </c>
    </row>
    <row r="36" spans="1:7" s="9" customFormat="1" ht="25.5" x14ac:dyDescent="0.25">
      <c r="A36" s="46" t="s">
        <v>234</v>
      </c>
      <c r="B36" s="45">
        <v>162035.41894</v>
      </c>
      <c r="C36" s="117">
        <f>IF(OR(236027.07626="",162035.41894=""),"-",162035.41894/236027.07626*100)</f>
        <v>68.65119947573595</v>
      </c>
      <c r="D36" s="45">
        <f>IF(236027.07626="","-",236027.07626/5302814.4312*100)</f>
        <v>4.450977482283653</v>
      </c>
      <c r="E36" s="45">
        <f>IF(162035.41894="","-",162035.41894/4848565.19176*100)</f>
        <v>3.341925137262765</v>
      </c>
      <c r="F36" s="117">
        <f>IF(OR(5240739.99296="",233896.51134="",236027.07626=""),"-",(236027.07626-233896.51134)/5240739.99296*100)</f>
        <v>4.0653894733607053E-2</v>
      </c>
      <c r="G36" s="117">
        <f>IF(OR(5302814.4312="",162035.41894="",236027.07626=""),"-",(162035.41894-236027.07626)/5302814.4312*100)</f>
        <v>-1.3953280523010128</v>
      </c>
    </row>
    <row r="37" spans="1:7" s="9" customFormat="1" x14ac:dyDescent="0.25">
      <c r="A37" s="46" t="s">
        <v>190</v>
      </c>
      <c r="B37" s="45">
        <v>9114.9966600000007</v>
      </c>
      <c r="C37" s="117">
        <f>IF(OR(36930.37682="",9114.99666=""),"-",9114.99666/36930.37682*100)</f>
        <v>24.681569604412179</v>
      </c>
      <c r="D37" s="45">
        <f>IF(36930.37682="","-",36930.37682/5302814.4312*100)</f>
        <v>0.69642974120900625</v>
      </c>
      <c r="E37" s="45">
        <f>IF(9114.99666="","-",9114.99666/4848565.19176*100)</f>
        <v>0.18799369090655274</v>
      </c>
      <c r="F37" s="117">
        <f>IF(OR(5240739.99296="",50334.4348="",36930.37682=""),"-",(36930.37682-50334.4348)/5240739.99296*100)</f>
        <v>-0.25576651385121119</v>
      </c>
      <c r="G37" s="117">
        <f>IF(OR(5302814.4312="",9114.99666="",36930.37682=""),"-",(9114.99666-36930.37682)/5302814.4312*100)</f>
        <v>-0.52453994988667774</v>
      </c>
    </row>
    <row r="38" spans="1:7" s="9" customFormat="1" ht="25.5" x14ac:dyDescent="0.25">
      <c r="A38" s="53" t="s">
        <v>191</v>
      </c>
      <c r="B38" s="43">
        <v>10607.9755</v>
      </c>
      <c r="C38" s="116">
        <f>IF(10414.19056="","-",10607.9755/10414.19056*100)</f>
        <v>101.86077774248065</v>
      </c>
      <c r="D38" s="43">
        <f>IF(10414.19056="","-",10414.19056/5302814.4312*100)</f>
        <v>0.19638987362496332</v>
      </c>
      <c r="E38" s="43">
        <f>IF(10607.9755="","-",10607.9755/4848565.19176*100)</f>
        <v>0.21878586923050877</v>
      </c>
      <c r="F38" s="116">
        <f>IF(5240739.99296="","-",(10414.19056-10481.57587)/5240739.99296*100)</f>
        <v>-1.2857976180944224E-3</v>
      </c>
      <c r="G38" s="116">
        <f>IF(5302814.4312="","-",(10607.9755-10414.19056)/5302814.4312*100)</f>
        <v>3.6543790568992025E-3</v>
      </c>
    </row>
    <row r="39" spans="1:7" s="9" customFormat="1" x14ac:dyDescent="0.25">
      <c r="A39" s="46" t="s">
        <v>237</v>
      </c>
      <c r="B39" s="45">
        <v>1538.71262</v>
      </c>
      <c r="C39" s="117">
        <f>IF(OR(1673.43429="",1538.71262=""),"-",1538.71262/1673.43429*100)</f>
        <v>91.949389898064055</v>
      </c>
      <c r="D39" s="45">
        <f>IF(1673.43429="","-",1673.43429/5302814.4312*100)</f>
        <v>3.1557474086855983E-2</v>
      </c>
      <c r="E39" s="45">
        <f>IF(1538.71262="","-",1538.71262/4848565.19176*100)</f>
        <v>3.1735421906154811E-2</v>
      </c>
      <c r="F39" s="117">
        <f>IF(OR(5240739.99296="",1430.10911="",1673.43429=""),"-",(1673.43429-1430.10911)/5240739.99296*100)</f>
        <v>4.6429546271492921E-3</v>
      </c>
      <c r="G39" s="117">
        <f>IF(OR(5302814.4312="",1538.71262="",1673.43429=""),"-",(1538.71262-1673.43429)/5302814.4312*100)</f>
        <v>-2.5405691967522433E-3</v>
      </c>
    </row>
    <row r="40" spans="1:7" s="9" customFormat="1" ht="25.5" x14ac:dyDescent="0.25">
      <c r="A40" s="46" t="s">
        <v>192</v>
      </c>
      <c r="B40" s="45">
        <v>7492.6314400000001</v>
      </c>
      <c r="C40" s="117">
        <f>IF(OR(6408.50662="",7492.63144=""),"-",7492.63144/6408.50662*100)</f>
        <v>116.91696496991368</v>
      </c>
      <c r="D40" s="45">
        <f>IF(6408.50662="","-",6408.50662/5302814.4312*100)</f>
        <v>0.12085104434910025</v>
      </c>
      <c r="E40" s="45">
        <f>IF(7492.63144="","-",7492.63144/4848565.19176*100)</f>
        <v>0.15453296271510419</v>
      </c>
      <c r="F40" s="117">
        <f>IF(OR(5240739.99296="",6507.58478="",6408.50662=""),"-",(6408.50662-6507.58478)/5240739.99296*100)</f>
        <v>-1.8905375983753032E-3</v>
      </c>
      <c r="G40" s="117">
        <f>IF(OR(5302814.4312="",7492.63144="",6408.50662=""),"-",(7492.63144-6408.50662)/5302814.4312*100)</f>
        <v>2.0444328838312147E-2</v>
      </c>
    </row>
    <row r="41" spans="1:7" s="9" customFormat="1" ht="63.75" x14ac:dyDescent="0.25">
      <c r="A41" s="46" t="s">
        <v>235</v>
      </c>
      <c r="B41" s="45">
        <v>1576.6314400000001</v>
      </c>
      <c r="C41" s="117">
        <f>IF(OR(2332.24965="",1576.63144=""),"-",1576.63144/2332.24965*100)</f>
        <v>67.601315322311223</v>
      </c>
      <c r="D41" s="45">
        <f>IF(2332.24965="","-",2332.24965/5302814.4312*100)</f>
        <v>4.3981355189007129E-2</v>
      </c>
      <c r="E41" s="45">
        <f>IF(1576.63144="","-",1576.63144/4848565.19176*100)</f>
        <v>3.2517484609249782E-2</v>
      </c>
      <c r="F41" s="117">
        <f>IF(OR(5240739.99296="",2543.88198="",2332.24965=""),"-",(2332.24965-2543.88198)/5240739.99296*100)</f>
        <v>-4.0382146468683844E-3</v>
      </c>
      <c r="G41" s="117">
        <f>IF(OR(5302814.4312="",1576.63144="",2332.24965=""),"-",(1576.63144-2332.24965)/5302814.4312*100)</f>
        <v>-1.4249380584660729E-2</v>
      </c>
    </row>
    <row r="42" spans="1:7" s="9" customFormat="1" ht="25.5" x14ac:dyDescent="0.25">
      <c r="A42" s="53" t="s">
        <v>193</v>
      </c>
      <c r="B42" s="43">
        <v>745724.52951999998</v>
      </c>
      <c r="C42" s="116">
        <f>IF(778843.39546="","-",745724.52952/778843.39546*100)</f>
        <v>95.747686103129965</v>
      </c>
      <c r="D42" s="43">
        <f>IF(778843.39546="","-",778843.39546/5302814.4312*100)</f>
        <v>14.687359053666746</v>
      </c>
      <c r="E42" s="43">
        <f>IF(745724.52952="","-",745724.52952/4848565.19176*100)</f>
        <v>15.380313557242415</v>
      </c>
      <c r="F42" s="116">
        <f>IF(5240739.99296="","-",(778843.39546-746297.58969)/5240739.99296*100)</f>
        <v>0.621015463726868</v>
      </c>
      <c r="G42" s="116">
        <f>IF(5302814.4312="","-",(745724.52952-778843.39546)/5302814.4312*100)</f>
        <v>-0.62455261012227081</v>
      </c>
    </row>
    <row r="43" spans="1:7" s="9" customFormat="1" x14ac:dyDescent="0.25">
      <c r="A43" s="46" t="s">
        <v>26</v>
      </c>
      <c r="B43" s="45">
        <v>11375.194170000001</v>
      </c>
      <c r="C43" s="117">
        <f>IF(OR(21368.42751="",11375.19417=""),"-",11375.19417/21368.42751*100)</f>
        <v>53.233651211239739</v>
      </c>
      <c r="D43" s="45">
        <f>IF(21368.42751="","-",21368.42751/5302814.4312*100)</f>
        <v>0.40296389374433439</v>
      </c>
      <c r="E43" s="45">
        <f>IF(11375.19417="","-",11375.19417/4848565.19176*100)</f>
        <v>0.23460949208916121</v>
      </c>
      <c r="F43" s="117">
        <f>IF(OR(5240739.99296="",20297.31227="",21368.42751=""),"-",(21368.42751-20297.31227)/5240739.99296*100)</f>
        <v>2.0438244244874868E-2</v>
      </c>
      <c r="G43" s="117">
        <f>IF(OR(5302814.4312="",11375.19417="",21368.42751=""),"-",(11375.19417-21368.42751)/5302814.4312*100)</f>
        <v>-0.18845150004124475</v>
      </c>
    </row>
    <row r="44" spans="1:7" s="9" customFormat="1" x14ac:dyDescent="0.25">
      <c r="A44" s="46" t="s">
        <v>27</v>
      </c>
      <c r="B44" s="45">
        <v>14391.37153</v>
      </c>
      <c r="C44" s="117">
        <f>IF(OR(16112.7216="",14391.37153=""),"-",14391.37153/16112.7216*100)</f>
        <v>89.316826091006249</v>
      </c>
      <c r="D44" s="45">
        <f>IF(16112.7216="","-",16112.7216/5302814.4312*100)</f>
        <v>0.30385226202142951</v>
      </c>
      <c r="E44" s="45">
        <f>IF(14391.37153="","-",14391.37153/4848565.19176*100)</f>
        <v>0.29681711930898097</v>
      </c>
      <c r="F44" s="117">
        <f>IF(OR(5240739.99296="",14939.32531="",16112.7216=""),"-",(16112.7216-14939.32531)/5240739.99296*100)</f>
        <v>2.2389897067518122E-2</v>
      </c>
      <c r="G44" s="117">
        <f>IF(OR(5302814.4312="",14391.37153="",16112.7216=""),"-",(14391.37153-16112.7216)/5302814.4312*100)</f>
        <v>-3.2461065578160676E-2</v>
      </c>
    </row>
    <row r="45" spans="1:7" s="9" customFormat="1" x14ac:dyDescent="0.25">
      <c r="A45" s="46" t="s">
        <v>194</v>
      </c>
      <c r="B45" s="45">
        <v>39947.941359999997</v>
      </c>
      <c r="C45" s="117">
        <f>IF(OR(36276.32151="",39947.94136=""),"-",39947.94136/36276.32151*100)</f>
        <v>110.12125733031633</v>
      </c>
      <c r="D45" s="45">
        <f>IF(36276.32151="","-",36276.32151/5302814.4312*100)</f>
        <v>0.68409562470378305</v>
      </c>
      <c r="E45" s="45">
        <f>IF(39947.94136="","-",39947.94136/4848565.19176*100)</f>
        <v>0.82391263765805201</v>
      </c>
      <c r="F45" s="117">
        <f>IF(OR(5240739.99296="",34645.11888="",36276.32151=""),"-",(36276.32151-34645.11888)/5240739.99296*100)</f>
        <v>3.1125425649645461E-2</v>
      </c>
      <c r="G45" s="117">
        <f>IF(OR(5302814.4312="",39947.94136="",36276.32151=""),"-",(39947.94136-36276.32151)/5302814.4312*100)</f>
        <v>6.9239078561704942E-2</v>
      </c>
    </row>
    <row r="46" spans="1:7" s="9" customFormat="1" x14ac:dyDescent="0.25">
      <c r="A46" s="46" t="s">
        <v>195</v>
      </c>
      <c r="B46" s="45">
        <v>227850.27539</v>
      </c>
      <c r="C46" s="117">
        <f>IF(OR(249313.10468="",227850.27539=""),"-",227850.27539/249313.10468*100)</f>
        <v>91.391214947345787</v>
      </c>
      <c r="D46" s="45">
        <f>IF(249313.10468="","-",249313.10468/5302814.4312*100)</f>
        <v>4.701524217274593</v>
      </c>
      <c r="E46" s="45">
        <f>IF(227850.27539="","-",227850.27539/4848565.19176*100)</f>
        <v>4.6993340581915888</v>
      </c>
      <c r="F46" s="117">
        <f>IF(OR(5240739.99296="",214047.9327="",249313.10468=""),"-",(249313.10468-214047.9327)/5240739.99296*100)</f>
        <v>0.67290443768193908</v>
      </c>
      <c r="G46" s="117">
        <f>IF(OR(5302814.4312="",227850.27539="",249313.10468=""),"-",(227850.27539-249313.10468)/5302814.4312*100)</f>
        <v>-0.40474411406365324</v>
      </c>
    </row>
    <row r="47" spans="1:7" s="9" customFormat="1" ht="38.25" x14ac:dyDescent="0.25">
      <c r="A47" s="46" t="s">
        <v>196</v>
      </c>
      <c r="B47" s="45">
        <v>102911.66961</v>
      </c>
      <c r="C47" s="117">
        <f>IF(OR(105122.8873="",102911.66961=""),"-",102911.66961/105122.8873*100)</f>
        <v>97.896540185687982</v>
      </c>
      <c r="D47" s="45">
        <f>IF(105122.8873="","-",105122.8873/5302814.4312*100)</f>
        <v>1.9823980013611606</v>
      </c>
      <c r="E47" s="45">
        <f>IF(102911.66961="","-",102911.66961/4848565.19176*100)</f>
        <v>2.1225180138836843</v>
      </c>
      <c r="F47" s="117">
        <f>IF(OR(5240739.99296="",103224.30803="",105122.8873=""),"-",(105122.8873-103224.30803)/5240739.99296*100)</f>
        <v>3.6227312794574903E-2</v>
      </c>
      <c r="G47" s="117">
        <f>IF(OR(5302814.4312="",102911.66961="",105122.8873=""),"-",(102911.66961-105122.8873)/5302814.4312*100)</f>
        <v>-4.1698945318356488E-2</v>
      </c>
    </row>
    <row r="48" spans="1:7" s="9" customFormat="1" x14ac:dyDescent="0.25">
      <c r="A48" s="46" t="s">
        <v>197</v>
      </c>
      <c r="B48" s="45">
        <v>69208.733110000001</v>
      </c>
      <c r="C48" s="117">
        <f>IF(OR(79752.86115="",69208.73311=""),"-",69208.73311/79752.86115*100)</f>
        <v>86.778997157019248</v>
      </c>
      <c r="D48" s="45">
        <f>IF(79752.86115="","-",79752.86115/5302814.4312*100)</f>
        <v>1.5039723185627736</v>
      </c>
      <c r="E48" s="45">
        <f>IF(69208.73311="","-",69208.73311/4848565.19176*100)</f>
        <v>1.427406467125951</v>
      </c>
      <c r="F48" s="117">
        <f>IF(OR(5240739.99296="",82141.85589="",79752.86115=""),"-",(79752.86115-82141.85589)/5240739.99296*100)</f>
        <v>-4.5585065147463862E-2</v>
      </c>
      <c r="G48" s="117">
        <f>IF(OR(5302814.4312="",69208.73311="",79752.86115=""),"-",(69208.73311-79752.86115)/5302814.4312*100)</f>
        <v>-0.1988402229948279</v>
      </c>
    </row>
    <row r="49" spans="1:7" s="9" customFormat="1" x14ac:dyDescent="0.25">
      <c r="A49" s="46" t="s">
        <v>28</v>
      </c>
      <c r="B49" s="45">
        <v>43480.978450000002</v>
      </c>
      <c r="C49" s="117">
        <f>IF(OR(49032.21466="",43480.97845=""),"-",43480.97845/49032.21466*100)</f>
        <v>88.678389812710947</v>
      </c>
      <c r="D49" s="45">
        <f>IF(49032.21466="","-",49032.21466/5302814.4312*100)</f>
        <v>0.92464511621433931</v>
      </c>
      <c r="E49" s="45">
        <f>IF(43480.97845="","-",43480.97845/4848565.19176*100)</f>
        <v>0.89678032016347231</v>
      </c>
      <c r="F49" s="117">
        <f>IF(OR(5240739.99296="",54898.74064="",49032.21466=""),"-",(49032.21466-54898.74064)/5240739.99296*100)</f>
        <v>-0.11194079438935413</v>
      </c>
      <c r="G49" s="117">
        <f>IF(OR(5302814.4312="",43480.97845="",49032.21466=""),"-",(43480.97845-49032.21466)/5302814.4312*100)</f>
        <v>-0.10468471567359333</v>
      </c>
    </row>
    <row r="50" spans="1:7" s="9" customFormat="1" x14ac:dyDescent="0.25">
      <c r="A50" s="46" t="s">
        <v>29</v>
      </c>
      <c r="B50" s="45">
        <v>111676.51452</v>
      </c>
      <c r="C50" s="117">
        <f>IF(OR(105699.60587="",111676.51452=""),"-",111676.51452/105699.60587*100)</f>
        <v>105.65461772615406</v>
      </c>
      <c r="D50" s="45">
        <f>IF(105699.60587="","-",105699.60587/5302814.4312*100)</f>
        <v>1.9932737085442513</v>
      </c>
      <c r="E50" s="45">
        <f>IF(111676.51452="","-",111676.51452/4848565.19176*100)</f>
        <v>2.303289944616834</v>
      </c>
      <c r="F50" s="117">
        <f>IF(OR(5240739.99296="",103487.60034="",105699.60587=""),"-",(105699.60587-103487.60034)/5240739.99296*100)</f>
        <v>4.2207885393502252E-2</v>
      </c>
      <c r="G50" s="117">
        <f>IF(OR(5302814.4312="",111676.51452="",105699.60587=""),"-",(111676.51452-105699.60587)/5302814.4312*100)</f>
        <v>0.11271200845411167</v>
      </c>
    </row>
    <row r="51" spans="1:7" s="9" customFormat="1" x14ac:dyDescent="0.25">
      <c r="A51" s="46" t="s">
        <v>198</v>
      </c>
      <c r="B51" s="45">
        <v>124881.85137999999</v>
      </c>
      <c r="C51" s="117">
        <f>IF(OR(116165.25118="",124881.85138=""),"-",124881.85138/116165.25118*100)</f>
        <v>107.50362101528405</v>
      </c>
      <c r="D51" s="45">
        <f>IF(116165.25118="","-",116165.25118/5302814.4312*100)</f>
        <v>2.1906339112400808</v>
      </c>
      <c r="E51" s="45">
        <f>IF(124881.85138="","-",124881.85138/4848565.19176*100)</f>
        <v>2.5756455042046911</v>
      </c>
      <c r="F51" s="117">
        <f>IF(OR(5240739.99296="",118615.39563="",116165.25118=""),"-",(116165.25118-118615.39563)/5240739.99296*100)</f>
        <v>-4.6751879568368682E-2</v>
      </c>
      <c r="G51" s="117">
        <f>IF(OR(5302814.4312="",124881.85138="",116165.25118=""),"-",(124881.85138-116165.25118)/5302814.4312*100)</f>
        <v>0.16437686653174968</v>
      </c>
    </row>
    <row r="52" spans="1:7" s="9" customFormat="1" ht="25.5" x14ac:dyDescent="0.25">
      <c r="A52" s="53" t="s">
        <v>241</v>
      </c>
      <c r="B52" s="43">
        <v>967212.81522999995</v>
      </c>
      <c r="C52" s="116">
        <f>IF(1041713.17262="","-",967212.81523/1041713.17262*100)</f>
        <v>92.848284983991789</v>
      </c>
      <c r="D52" s="43">
        <f>IF(1041713.17262="","-",1041713.17262/5302814.4312*100)</f>
        <v>19.644533787396092</v>
      </c>
      <c r="E52" s="43">
        <f>IF(967212.81523="","-",967212.81523/4848565.19176*100)</f>
        <v>19.94843375260275</v>
      </c>
      <c r="F52" s="116">
        <f>IF(5240739.99296="","-",(1041713.17262-1058117.03963)/5240739.99296*100)</f>
        <v>-0.31300669432247574</v>
      </c>
      <c r="G52" s="116">
        <f>IF(5302814.4312="","-",(967212.81523-1041713.17262)/5302814.4312*100)</f>
        <v>-1.4049210726980117</v>
      </c>
    </row>
    <row r="53" spans="1:7" s="9" customFormat="1" x14ac:dyDescent="0.25">
      <c r="A53" s="46" t="s">
        <v>199</v>
      </c>
      <c r="B53" s="45">
        <v>43574.645850000001</v>
      </c>
      <c r="C53" s="117">
        <f>IF(OR(50482.6897="",43574.64585=""),"-",43574.64585/50482.6897*100)</f>
        <v>86.316014675422494</v>
      </c>
      <c r="D53" s="45">
        <f>IF(50482.6897="","-",50482.6897/5302814.4312*100)</f>
        <v>0.95199804471709604</v>
      </c>
      <c r="E53" s="45">
        <f>IF(43574.64585="","-",43574.64585/4848565.19176*100)</f>
        <v>0.89871217827603689</v>
      </c>
      <c r="F53" s="117">
        <f>IF(OR(5240739.99296="",51678.40148="",50482.6897=""),"-",(50482.6897-51678.40148)/5240739.99296*100)</f>
        <v>-2.2815705064670705E-2</v>
      </c>
      <c r="G53" s="117">
        <f>IF(OR(5302814.4312="",43574.64585="",50482.6897=""),"-",(43574.64585-50482.6897)/5302814.4312*100)</f>
        <v>-0.13027127272935224</v>
      </c>
    </row>
    <row r="54" spans="1:7" s="9" customFormat="1" x14ac:dyDescent="0.25">
      <c r="A54" s="46" t="s">
        <v>30</v>
      </c>
      <c r="B54" s="45">
        <v>55429.396890000004</v>
      </c>
      <c r="C54" s="117">
        <f>IF(OR(62872.72823="",55429.39689=""),"-",55429.39689/62872.72823*100)</f>
        <v>88.161271906682785</v>
      </c>
      <c r="D54" s="45">
        <f>IF(62872.72823="","-",62872.72823/5302814.4312*100)</f>
        <v>1.185648282543657</v>
      </c>
      <c r="E54" s="45">
        <f>IF(55429.39689="","-",55429.39689/4848565.19176*100)</f>
        <v>1.143212366912189</v>
      </c>
      <c r="F54" s="117">
        <f>IF(OR(5240739.99296="",63255.46129="",62872.72823=""),"-",(62872.72823-63255.46129)/5240739.99296*100)</f>
        <v>-7.3030346957515977E-3</v>
      </c>
      <c r="G54" s="117">
        <f>IF(OR(5302814.4312="",55429.39689="",62872.72823=""),"-",(55429.39689-62872.72823)/5302814.4312*100)</f>
        <v>-0.14036567631342906</v>
      </c>
    </row>
    <row r="55" spans="1:7" s="9" customFormat="1" x14ac:dyDescent="0.25">
      <c r="A55" s="46" t="s">
        <v>200</v>
      </c>
      <c r="B55" s="45">
        <v>82597.169299999994</v>
      </c>
      <c r="C55" s="117">
        <f>IF(OR(84469.87456="",82597.1693=""),"-",82597.1693/84469.87456*100)</f>
        <v>97.782990362238792</v>
      </c>
      <c r="D55" s="45">
        <f>IF(84469.87456="","-",84469.87456/5302814.4312*100)</f>
        <v>1.5929253353277324</v>
      </c>
      <c r="E55" s="45">
        <f>IF(82597.1693="","-",82597.1693/4848565.19176*100)</f>
        <v>1.7035383878177313</v>
      </c>
      <c r="F55" s="117">
        <f>IF(OR(5240739.99296="",81100.81716="",84469.87456=""),"-",(84469.87456-81100.81716)/5240739.99296*100)</f>
        <v>6.4285910091432086E-2</v>
      </c>
      <c r="G55" s="117">
        <f>IF(OR(5302814.4312="",82597.1693="",84469.87456=""),"-",(82597.1693-84469.87456)/5302814.4312*100)</f>
        <v>-3.5315308206555866E-2</v>
      </c>
    </row>
    <row r="56" spans="1:7" s="9" customFormat="1" ht="25.5" x14ac:dyDescent="0.25">
      <c r="A56" s="46" t="s">
        <v>201</v>
      </c>
      <c r="B56" s="45">
        <v>84670.908049999998</v>
      </c>
      <c r="C56" s="117">
        <f>IF(OR(95849.16131="",84670.90805=""),"-",84670.90805/95849.16131*100)</f>
        <v>88.337661897899395</v>
      </c>
      <c r="D56" s="45">
        <f>IF(95849.16131="","-",95849.16131/5302814.4312*100)</f>
        <v>1.8075149065382212</v>
      </c>
      <c r="E56" s="45">
        <f>IF(84670.90805="","-",84670.90805/4848565.19176*100)</f>
        <v>1.746308540800809</v>
      </c>
      <c r="F56" s="117">
        <f>IF(OR(5240739.99296="",91185.38211="",95849.16131=""),"-",(95849.16131-91185.38211)/5240739.99296*100)</f>
        <v>8.8990852556412745E-2</v>
      </c>
      <c r="G56" s="117">
        <f>IF(OR(5302814.4312="",84670.90805="",95849.16131=""),"-",(84670.90805-95849.16131)/5302814.4312*100)</f>
        <v>-0.21079849964635503</v>
      </c>
    </row>
    <row r="57" spans="1:7" s="9" customFormat="1" ht="16.5" customHeight="1" x14ac:dyDescent="0.25">
      <c r="A57" s="46" t="s">
        <v>202</v>
      </c>
      <c r="B57" s="45">
        <v>236398.32625000001</v>
      </c>
      <c r="C57" s="117">
        <f>IF(OR(250369.91469="",236398.32625=""),"-",236398.32625/250369.91469*100)</f>
        <v>94.419621679665795</v>
      </c>
      <c r="D57" s="45">
        <f>IF(250369.91469="","-",250369.91469/5302814.4312*100)</f>
        <v>4.721453445870301</v>
      </c>
      <c r="E57" s="45">
        <f>IF(236398.32625="","-",236398.32625/4848565.19176*100)</f>
        <v>4.8756346857365624</v>
      </c>
      <c r="F57" s="117">
        <f>IF(OR(5240739.99296="",272886.23472="",250369.91469=""),"-",(250369.91469-272886.23472)/5240739.99296*100)</f>
        <v>-0.42964009014464877</v>
      </c>
      <c r="G57" s="117">
        <f>IF(OR(5302814.4312="",236398.32625="",250369.91469=""),"-",(236398.32625-250369.91469)/5302814.4312*100)</f>
        <v>-0.26347496449801833</v>
      </c>
    </row>
    <row r="58" spans="1:7" s="9" customFormat="1" ht="16.5" customHeight="1" x14ac:dyDescent="0.25">
      <c r="A58" s="46" t="s">
        <v>31</v>
      </c>
      <c r="B58" s="45">
        <v>128191.89387</v>
      </c>
      <c r="C58" s="117">
        <f>IF(OR(120154.64881="",128191.89387=""),"-",128191.89387/120154.64881*100)</f>
        <v>106.68908372634776</v>
      </c>
      <c r="D58" s="45">
        <f>IF(120154.64881="","-",120154.64881/5302814.4312*100)</f>
        <v>2.2658656147394094</v>
      </c>
      <c r="E58" s="45">
        <f>IF(128191.89387="","-",128191.89387/4848565.19176*100)</f>
        <v>2.6439139992973288</v>
      </c>
      <c r="F58" s="117">
        <f>IF(OR(5240739.99296="",119168.07566="",120154.64881=""),"-",(120154.64881-119168.07566)/5240739.99296*100)</f>
        <v>1.8825073392789601E-2</v>
      </c>
      <c r="G58" s="117">
        <f>IF(OR(5302814.4312="",128191.89387="",120154.64881=""),"-",(128191.89387-120154.64881)/5302814.4312*100)</f>
        <v>0.15156564809644324</v>
      </c>
    </row>
    <row r="59" spans="1:7" s="9" customFormat="1" ht="16.5" customHeight="1" x14ac:dyDescent="0.25">
      <c r="A59" s="46" t="s">
        <v>203</v>
      </c>
      <c r="B59" s="45">
        <v>121875.17385000001</v>
      </c>
      <c r="C59" s="117">
        <f>IF(OR(133691.26137="",121875.17385=""),"-",121875.17385/133691.26137*100)</f>
        <v>91.161660531200965</v>
      </c>
      <c r="D59" s="45">
        <f>IF(133691.26137="","-",133691.26137/5302814.4312*100)</f>
        <v>2.5211378430179447</v>
      </c>
      <c r="E59" s="45">
        <f>IF(121875.17385="","-",121875.17385/4848565.19176*100)</f>
        <v>2.5136338077318925</v>
      </c>
      <c r="F59" s="117">
        <f>IF(OR(5240739.99296="",127203.39897="",133691.26137=""),"-",(133691.26137-127203.39897)/5240739.99296*100)</f>
        <v>0.12379668536724364</v>
      </c>
      <c r="G59" s="117">
        <f>IF(OR(5302814.4312="",121875.17385="",133691.26137=""),"-",(121875.17385-133691.26137)/5302814.4312*100)</f>
        <v>-0.22282672104228365</v>
      </c>
    </row>
    <row r="60" spans="1:7" s="9" customFormat="1" ht="15.75" customHeight="1" x14ac:dyDescent="0.25">
      <c r="A60" s="46" t="s">
        <v>32</v>
      </c>
      <c r="B60" s="45">
        <v>59469.971080000003</v>
      </c>
      <c r="C60" s="117">
        <f>IF(OR(85447.37585="",59469.97108=""),"-",59469.97108/85447.37585*100)</f>
        <v>69.598358625310553</v>
      </c>
      <c r="D60" s="45">
        <f>IF(85447.37585="","-",85447.37585/5302814.4312*100)</f>
        <v>1.6113589671789379</v>
      </c>
      <c r="E60" s="45">
        <f>IF(59469.97108="","-",59469.97108/4848565.19176*100)</f>
        <v>1.2265478286456279</v>
      </c>
      <c r="F60" s="117">
        <f>IF(OR(5240739.99296="",98990.32968="",85447.37585=""),"-",(85447.37585-98990.32968)/5240739.99296*100)</f>
        <v>-0.25841682373467378</v>
      </c>
      <c r="G60" s="117">
        <f>IF(OR(5302814.4312="",59469.97108="",85447.37585=""),"-",(59469.97108-85447.37585)/5302814.4312*100)</f>
        <v>-0.48987957446064045</v>
      </c>
    </row>
    <row r="61" spans="1:7" s="9" customFormat="1" ht="15" customHeight="1" x14ac:dyDescent="0.25">
      <c r="A61" s="46" t="s">
        <v>33</v>
      </c>
      <c r="B61" s="45">
        <v>155005.33009</v>
      </c>
      <c r="C61" s="117">
        <f>IF(OR(158375.5181="",155005.33009=""),"-",155005.33009/158375.5181*100)</f>
        <v>97.872027160238233</v>
      </c>
      <c r="D61" s="45">
        <f>IF(158375.5181="","-",158375.5181/5302814.4312*100)</f>
        <v>2.9866313474627928</v>
      </c>
      <c r="E61" s="45">
        <f>IF(155005.33009="","-",155005.33009/4848565.19176*100)</f>
        <v>3.1969319573845723</v>
      </c>
      <c r="F61" s="117">
        <f>IF(OR(5240739.99296="",152648.93856="",158375.5181=""),"-",(158375.5181-152648.93856)/5240739.99296*100)</f>
        <v>0.10927043790939096</v>
      </c>
      <c r="G61" s="117">
        <f>IF(OR(5302814.4312="",155005.33009="",158375.5181=""),"-",(155005.33009-158375.5181)/5302814.4312*100)</f>
        <v>-6.3554703897819156E-2</v>
      </c>
    </row>
    <row r="62" spans="1:7" s="9" customFormat="1" ht="25.5" x14ac:dyDescent="0.25">
      <c r="A62" s="53" t="s">
        <v>204</v>
      </c>
      <c r="B62" s="43">
        <v>1262322.56009</v>
      </c>
      <c r="C62" s="116">
        <f>IF(1288358.44726="","-",1262322.56009/1288358.44726*100)</f>
        <v>97.979142588355629</v>
      </c>
      <c r="D62" s="43">
        <f>IF(1288358.44726="","-",1288358.44726/5302814.4312*100)</f>
        <v>24.295748304517815</v>
      </c>
      <c r="E62" s="43">
        <f>IF(1262322.56009="","-",1262322.56009/4848565.19176*100)</f>
        <v>26.034971381539464</v>
      </c>
      <c r="F62" s="116">
        <f>IF(5240739.99296="","-",(1288358.44726-1259427.00723)/5240739.99296*100)</f>
        <v>0.55204875778733864</v>
      </c>
      <c r="G62" s="116">
        <f>IF(5302814.4312="","-",(1262322.56009-1288358.44726)/5302814.4312*100)</f>
        <v>-0.49098243032630901</v>
      </c>
    </row>
    <row r="63" spans="1:7" s="9" customFormat="1" ht="25.5" x14ac:dyDescent="0.25">
      <c r="A63" s="46" t="s">
        <v>205</v>
      </c>
      <c r="B63" s="45">
        <v>18737.150280000002</v>
      </c>
      <c r="C63" s="117">
        <f>IF(OR(19597.05334="",18737.15028=""),"-",18737.15028/19597.05334*100)</f>
        <v>95.612079810770183</v>
      </c>
      <c r="D63" s="45">
        <f>IF(19597.05334="","-",19597.05334/5302814.4312*100)</f>
        <v>0.36955947816498047</v>
      </c>
      <c r="E63" s="45">
        <f>IF(18737.15028="","-",18737.15028/4848565.19176*100)</f>
        <v>0.38644732078354355</v>
      </c>
      <c r="F63" s="117">
        <f>IF(OR(5240739.99296="",21976.92071="",19597.05334=""),"-",(19597.05334-21976.92071)/5240739.99296*100)</f>
        <v>-4.5410903292224518E-2</v>
      </c>
      <c r="G63" s="117">
        <f>IF(OR(5302814.4312="",18737.15028="",19597.05334=""),"-",(18737.15028-19597.05334)/5302814.4312*100)</f>
        <v>-1.621597495361355E-2</v>
      </c>
    </row>
    <row r="64" spans="1:7" s="9" customFormat="1" ht="27" customHeight="1" x14ac:dyDescent="0.25">
      <c r="A64" s="46" t="s">
        <v>206</v>
      </c>
      <c r="B64" s="45">
        <v>150212.53927000001</v>
      </c>
      <c r="C64" s="117">
        <f>IF(OR(176347.88623="",150212.53927=""),"-",150212.53927/176347.88623*100)</f>
        <v>85.179665308880871</v>
      </c>
      <c r="D64" s="45">
        <f>IF(176347.88623="","-",176347.88623/5302814.4312*100)</f>
        <v>3.3255526573290508</v>
      </c>
      <c r="E64" s="45">
        <f>IF(150212.53927="","-",150212.53927/4848565.19176*100)</f>
        <v>3.0980822847402769</v>
      </c>
      <c r="F64" s="117">
        <f>IF(OR(5240739.99296="",194684.32775="",176347.88623=""),"-",(176347.88623-194684.32775)/5240739.99296*100)</f>
        <v>-0.3498826796336344</v>
      </c>
      <c r="G64" s="117">
        <f>IF(OR(5302814.4312="",150212.53927="",176347.88623=""),"-",(150212.53927-176347.88623)/5302814.4312*100)</f>
        <v>-0.49285803414557156</v>
      </c>
    </row>
    <row r="65" spans="1:7" s="9" customFormat="1" ht="25.5" x14ac:dyDescent="0.25">
      <c r="A65" s="46" t="s">
        <v>207</v>
      </c>
      <c r="B65" s="45">
        <v>13491.45515</v>
      </c>
      <c r="C65" s="117">
        <f>IF(OR(10062.61638="",13491.45515=""),"-",13491.45515/10062.61638*100)</f>
        <v>134.07502224585451</v>
      </c>
      <c r="D65" s="45">
        <f>IF(10062.61638="","-",10062.61638/5302814.4312*100)</f>
        <v>0.18975991920054575</v>
      </c>
      <c r="E65" s="45">
        <f>IF(13491.45515="","-",13491.45515/4848565.19176*100)</f>
        <v>0.27825665153328966</v>
      </c>
      <c r="F65" s="117">
        <f>IF(OR(5240739.99296="",13107.59757="",10062.61638=""),"-",(10062.61638-13107.59757)/5240739.99296*100)</f>
        <v>-5.8102122869869328E-2</v>
      </c>
      <c r="G65" s="117">
        <f>IF(OR(5302814.4312="",13491.45515="",10062.61638=""),"-",(13491.45515-10062.61638)/5302814.4312*100)</f>
        <v>6.4660734681301513E-2</v>
      </c>
    </row>
    <row r="66" spans="1:7" s="9" customFormat="1" ht="38.25" x14ac:dyDescent="0.25">
      <c r="A66" s="46" t="s">
        <v>208</v>
      </c>
      <c r="B66" s="45">
        <v>183437.15744000001</v>
      </c>
      <c r="C66" s="117">
        <f>IF(OR(172687.64315="",183437.15744=""),"-",183437.15744/172687.64315*100)</f>
        <v>106.2248312003788</v>
      </c>
      <c r="D66" s="45">
        <f>IF(172687.64315="","-",172687.64315/5302814.4312*100)</f>
        <v>3.2565281208779098</v>
      </c>
      <c r="E66" s="45">
        <f>IF(183437.15744="","-",183437.15744/4848565.19176*100)</f>
        <v>3.7833286794152281</v>
      </c>
      <c r="F66" s="117">
        <f>IF(OR(5240739.99296="",160029.44732="",172687.64315=""),"-",(172687.64315-160029.44732)/5240739.99296*100)</f>
        <v>0.24153451319859431</v>
      </c>
      <c r="G66" s="117">
        <f>IF(OR(5302814.4312="",183437.15744="",172687.64315=""),"-",(183437.15744-172687.64315)/5302814.4312*100)</f>
        <v>0.20271337851751792</v>
      </c>
    </row>
    <row r="67" spans="1:7" s="9" customFormat="1" ht="25.5" x14ac:dyDescent="0.25">
      <c r="A67" s="46" t="s">
        <v>209</v>
      </c>
      <c r="B67" s="45">
        <v>52793.425739999999</v>
      </c>
      <c r="C67" s="117">
        <f>IF(OR(42790.16723="",52793.42574=""),"-",52793.42574/42790.16723*100)</f>
        <v>123.37747000667659</v>
      </c>
      <c r="D67" s="45">
        <f>IF(42790.16723="","-",42790.16723/5302814.4312*100)</f>
        <v>0.80693314437399222</v>
      </c>
      <c r="E67" s="45">
        <f>IF(52793.42574="","-",52793.42574/4848565.19176*100)</f>
        <v>1.0888463628316465</v>
      </c>
      <c r="F67" s="117">
        <f>IF(OR(5240739.99296="",50452.6423="",42790.16723=""),"-",(42790.16723-50452.6423)/5240739.99296*100)</f>
        <v>-0.14620979251581206</v>
      </c>
      <c r="G67" s="117">
        <f>IF(OR(5302814.4312="",52793.42574="",42790.16723=""),"-",(52793.42574-42790.16723)/5302814.4312*100)</f>
        <v>0.18864055379996225</v>
      </c>
    </row>
    <row r="68" spans="1:7" s="9" customFormat="1" ht="38.25" x14ac:dyDescent="0.25">
      <c r="A68" s="46" t="s">
        <v>210</v>
      </c>
      <c r="B68" s="45">
        <v>150293.3983</v>
      </c>
      <c r="C68" s="117">
        <f>IF(OR(150082.78118="",150293.3983=""),"-",150293.3983/150082.78118*100)</f>
        <v>100.14033396659102</v>
      </c>
      <c r="D68" s="45">
        <f>IF(150082.78118="","-",150082.78118/5302814.4312*100)</f>
        <v>2.8302476567341808</v>
      </c>
      <c r="E68" s="45">
        <f>IF(150293.3983="","-",150293.3983/4848565.19176*100)</f>
        <v>3.0997499745990713</v>
      </c>
      <c r="F68" s="117">
        <f>IF(OR(5240739.99296="",136499.63883="",150082.78118=""),"-",(150082.78118-136499.63883)/5240739.99296*100)</f>
        <v>0.25918367192889763</v>
      </c>
      <c r="G68" s="117">
        <f>IF(OR(5302814.4312="",150293.3983="",150082.78118=""),"-",(150293.3983-150082.78118)/5302814.4312*100)</f>
        <v>3.9717988010443779E-3</v>
      </c>
    </row>
    <row r="69" spans="1:7" s="9" customFormat="1" ht="51" x14ac:dyDescent="0.25">
      <c r="A69" s="46" t="s">
        <v>211</v>
      </c>
      <c r="B69" s="45">
        <v>379068.58801000001</v>
      </c>
      <c r="C69" s="117">
        <f>IF(OR(406963.35774="",379068.58801=""),"-",379068.58801/406963.35774*100)</f>
        <v>93.145631123915251</v>
      </c>
      <c r="D69" s="45">
        <f>IF(406963.35774="","-",406963.35774/5302814.4312*100)</f>
        <v>7.6744785815163103</v>
      </c>
      <c r="E69" s="45">
        <f>IF(379068.58801="","-",379068.58801/4848565.19176*100)</f>
        <v>7.8181600745353785</v>
      </c>
      <c r="F69" s="117">
        <f>IF(OR(5240739.99296="",396410.17395="",406963.35774=""),"-",(406963.35774-396410.17395)/5240739.99296*100)</f>
        <v>0.20136819999038877</v>
      </c>
      <c r="G69" s="117">
        <f>IF(OR(5302814.4312="",379068.58801="",406963.35774=""),"-",(379068.58801-406963.35774)/5302814.4312*100)</f>
        <v>-0.5260370712932444</v>
      </c>
    </row>
    <row r="70" spans="1:7" s="9" customFormat="1" ht="25.5" x14ac:dyDescent="0.25">
      <c r="A70" s="46" t="s">
        <v>212</v>
      </c>
      <c r="B70" s="45">
        <v>261867.52906</v>
      </c>
      <c r="C70" s="117">
        <f>IF(OR(301083.92975="",261867.52906=""),"-",261867.52906/301083.92975*100)</f>
        <v>86.97492731592726</v>
      </c>
      <c r="D70" s="45">
        <f>IF(301083.92975="","-",301083.92975/5302814.4312*100)</f>
        <v>5.6778138035252015</v>
      </c>
      <c r="E70" s="45">
        <f>IF(261867.52906="","-",261867.52906/4848565.19176*100)</f>
        <v>5.4009282891573056</v>
      </c>
      <c r="F70" s="117">
        <f>IF(OR(5240739.99296="",282360.98647="",301083.92975=""),"-",(301083.92975-282360.98647)/5240739.99296*100)</f>
        <v>0.35725762592975308</v>
      </c>
      <c r="G70" s="117">
        <f>IF(OR(5302814.4312="",261867.52906="",301083.92975=""),"-",(261867.52906-301083.92975)/5302814.4312*100)</f>
        <v>-0.73953937477547249</v>
      </c>
    </row>
    <row r="71" spans="1:7" s="9" customFormat="1" x14ac:dyDescent="0.25">
      <c r="A71" s="46" t="s">
        <v>34</v>
      </c>
      <c r="B71" s="45">
        <v>52421.31684</v>
      </c>
      <c r="C71" s="117" t="s">
        <v>296</v>
      </c>
      <c r="D71" s="45">
        <f>IF(8743.01226="","-",8743.01226/5302814.4312*100)</f>
        <v>0.16487494279564108</v>
      </c>
      <c r="E71" s="45">
        <f>IF(52421.31684="","-",52421.31684/4848565.19176*100)</f>
        <v>1.0811717439437249</v>
      </c>
      <c r="F71" s="117">
        <f>IF(OR(5240739.99296="",3905.27233="",8743.01226=""),"-",(8743.01226-3905.27233)/5240739.99296*100)</f>
        <v>9.2310245051245451E-2</v>
      </c>
      <c r="G71" s="117">
        <f>IF(OR(5302814.4312="",52421.31684="",8743.01226=""),"-",(52421.31684-8743.01226)/5302814.4312*100)</f>
        <v>0.82368155904176743</v>
      </c>
    </row>
    <row r="72" spans="1:7" s="9" customFormat="1" x14ac:dyDescent="0.25">
      <c r="A72" s="53" t="s">
        <v>35</v>
      </c>
      <c r="B72" s="43">
        <v>533391.26607999997</v>
      </c>
      <c r="C72" s="116">
        <f>IF(573423.05061="","-",533391.26608/573423.05061*100)</f>
        <v>93.018804443348628</v>
      </c>
      <c r="D72" s="43">
        <f>IF(573423.05061="","-",573423.05061/5302814.4312*100)</f>
        <v>10.813560573347033</v>
      </c>
      <c r="E72" s="43">
        <f>IF(533391.26608="","-",533391.26608/4848565.19176*100)</f>
        <v>11.001012567315449</v>
      </c>
      <c r="F72" s="116">
        <f>IF(5240739.99296="","-",(573423.05061-538510.44716)/5240739.99296*100)</f>
        <v>0.66617698067255604</v>
      </c>
      <c r="G72" s="116">
        <f>IF(5302814.4312="","-",(533391.26608-573423.05061)/5302814.4312*100)</f>
        <v>-0.75491581026230758</v>
      </c>
    </row>
    <row r="73" spans="1:7" ht="38.25" x14ac:dyDescent="0.25">
      <c r="A73" s="46" t="s">
        <v>238</v>
      </c>
      <c r="B73" s="45">
        <v>49525.535089999998</v>
      </c>
      <c r="C73" s="117">
        <f>IF(OR(47270.61657="",49525.53509=""),"-",49525.53509/47270.61657*100)</f>
        <v>104.77023293457752</v>
      </c>
      <c r="D73" s="45">
        <f>IF(47270.61657="","-",47270.61657/5302814.4312*100)</f>
        <v>0.89142505707677366</v>
      </c>
      <c r="E73" s="45">
        <f>IF(49525.53509="","-",49525.53509/4848565.19176*100)</f>
        <v>1.0214472350328969</v>
      </c>
      <c r="F73" s="117">
        <f>IF(OR(5240739.99296="",40967.72499="",47270.61657=""),"-",(47270.61657-40967.72499)/5240739.99296*100)</f>
        <v>0.12026720631946647</v>
      </c>
      <c r="G73" s="117">
        <f>IF(OR(5302814.4312="",49525.53509="",47270.61657=""),"-",(49525.53509-47270.61657)/5302814.4312*100)</f>
        <v>4.2523051659752731E-2</v>
      </c>
    </row>
    <row r="74" spans="1:7" x14ac:dyDescent="0.25">
      <c r="A74" s="46" t="s">
        <v>213</v>
      </c>
      <c r="B74" s="45">
        <v>50136.967640000003</v>
      </c>
      <c r="C74" s="117">
        <f>IF(OR(52234.87992="",50136.96764=""),"-",50136.96764/52234.87992*100)</f>
        <v>95.983694643860503</v>
      </c>
      <c r="D74" s="45">
        <f>IF(52234.87992="","-",52234.87992/5302814.4312*100)</f>
        <v>0.98504069108410253</v>
      </c>
      <c r="E74" s="45">
        <f>IF(50136.96764="","-",50136.96764/4848565.19176*100)</f>
        <v>1.0340578224091195</v>
      </c>
      <c r="F74" s="117">
        <f>IF(OR(5240739.99296="",48183.37171="",52234.87992=""),"-",(52234.87992-48183.37171)/5240739.99296*100)</f>
        <v>7.7307941539600869E-2</v>
      </c>
      <c r="G74" s="117">
        <f>IF(OR(5302814.4312="",50136.96764="",52234.87992=""),"-",(50136.96764-52234.87992)/5302814.4312*100)</f>
        <v>-3.9562242036164368E-2</v>
      </c>
    </row>
    <row r="75" spans="1:7" x14ac:dyDescent="0.25">
      <c r="A75" s="46" t="s">
        <v>214</v>
      </c>
      <c r="B75" s="45">
        <v>8202.7772100000002</v>
      </c>
      <c r="C75" s="117">
        <f>IF(OR(8517.45631="",8202.77721=""),"-",8202.77721/8517.45631*100)</f>
        <v>96.305480315401823</v>
      </c>
      <c r="D75" s="45">
        <f>IF(8517.45631="","-",8517.45631/5302814.4312*100)</f>
        <v>0.16062142887531786</v>
      </c>
      <c r="E75" s="45">
        <f>IF(8202.77721="","-",8202.77721/4848565.19176*100)</f>
        <v>0.16917947651689597</v>
      </c>
      <c r="F75" s="117">
        <f>IF(OR(5240739.99296="",7574.86759="",8517.45631=""),"-",(8517.45631-7574.86759)/5240739.99296*100)</f>
        <v>1.7985794396711142E-2</v>
      </c>
      <c r="G75" s="117">
        <f>IF(OR(5302814.4312="",8202.77721="",8517.45631=""),"-",(8202.77721-8517.45631)/5302814.4312*100)</f>
        <v>-5.9341903074814758E-3</v>
      </c>
    </row>
    <row r="76" spans="1:7" x14ac:dyDescent="0.25">
      <c r="A76" s="46" t="s">
        <v>215</v>
      </c>
      <c r="B76" s="45">
        <v>124329.45798000001</v>
      </c>
      <c r="C76" s="117">
        <f>IF(OR(131110.46523="",124329.45798=""),"-",124329.45798/131110.46523*100)</f>
        <v>94.82801983952659</v>
      </c>
      <c r="D76" s="45">
        <f>IF(131110.46523="","-",131110.46523/5302814.4312*100)</f>
        <v>2.4724694203626951</v>
      </c>
      <c r="E76" s="45">
        <f>IF(124329.45798="","-",124329.45798/4848565.19176*100)</f>
        <v>2.56425257911958</v>
      </c>
      <c r="F76" s="117">
        <f>IF(OR(5240739.99296="",132561.31396="",131110.46523=""),"-",(131110.46523-132561.31396)/5240739.99296*100)</f>
        <v>-2.7684043321152253E-2</v>
      </c>
      <c r="G76" s="117">
        <f>IF(OR(5302814.4312="",124329.45798="",131110.46523=""),"-",(124329.45798-131110.46523)/5302814.4312*100)</f>
        <v>-0.12787562789493065</v>
      </c>
    </row>
    <row r="77" spans="1:7" x14ac:dyDescent="0.25">
      <c r="A77" s="46" t="s">
        <v>216</v>
      </c>
      <c r="B77" s="45">
        <v>35874.643100000001</v>
      </c>
      <c r="C77" s="117">
        <f>IF(OR(43181.15048="",35874.6431=""),"-",35874.6431/43181.15048*100)</f>
        <v>83.079405484149589</v>
      </c>
      <c r="D77" s="45">
        <f>IF(43181.15048="","-",43181.15048/5302814.4312*100)</f>
        <v>0.81430627151379154</v>
      </c>
      <c r="E77" s="45">
        <f>IF(35874.6431="","-",35874.6431/4848565.19176*100)</f>
        <v>0.73990225316487335</v>
      </c>
      <c r="F77" s="117">
        <f>IF(OR(5240739.99296="",38647.38269="",43181.15048=""),"-",(43181.15048-38647.38269)/5240739.99296*100)</f>
        <v>8.6510069114100432E-2</v>
      </c>
      <c r="G77" s="117">
        <f>IF(OR(5302814.4312="",35874.6431="",43181.15048=""),"-",(35874.6431-43181.15048)/5302814.4312*100)</f>
        <v>-0.13778546231998862</v>
      </c>
    </row>
    <row r="78" spans="1:7" ht="25.5" x14ac:dyDescent="0.25">
      <c r="A78" s="46" t="s">
        <v>239</v>
      </c>
      <c r="B78" s="45">
        <v>53282.78</v>
      </c>
      <c r="C78" s="117">
        <f>IF(OR(57452.42451="",53282.78=""),"-",53282.78/57452.42451*100)</f>
        <v>92.742439426078107</v>
      </c>
      <c r="D78" s="45">
        <f>IF(57452.42451="","-",57452.42451/5302814.4312*100)</f>
        <v>1.0834326800494656</v>
      </c>
      <c r="E78" s="45">
        <f>IF(53282.78="","-",53282.78/4848565.19176*100)</f>
        <v>1.0989391271989617</v>
      </c>
      <c r="F78" s="117">
        <f>IF(OR(5240739.99296="",55077.29527="",57452.42451=""),"-",(57452.42451-55077.29527)/5240739.99296*100)</f>
        <v>4.5320493731621059E-2</v>
      </c>
      <c r="G78" s="117">
        <f>IF(OR(5302814.4312="",53282.78="",57452.42451=""),"-",(53282.78-57452.42451)/5302814.4312*100)</f>
        <v>-7.8630783032255347E-2</v>
      </c>
    </row>
    <row r="79" spans="1:7" ht="25.5" x14ac:dyDescent="0.25">
      <c r="A79" s="46" t="s">
        <v>217</v>
      </c>
      <c r="B79" s="45">
        <v>9660.6754899999996</v>
      </c>
      <c r="C79" s="117">
        <f>IF(OR(10693.54932="",9660.67549=""),"-",9660.67549/10693.54932*100)</f>
        <v>90.341150547010329</v>
      </c>
      <c r="D79" s="45">
        <f>IF(10693.54932="","-",10693.54932/5302814.4312*100)</f>
        <v>0.20165799612150681</v>
      </c>
      <c r="E79" s="45">
        <f>IF(9660.67549="","-",9660.67549/4848565.19176*100)</f>
        <v>0.19924813028023314</v>
      </c>
      <c r="F79" s="117">
        <f>IF(OR(5240739.99296="",11537.57909="",10693.54932=""),"-",(10693.54932-11537.57909)/5240739.99296*100)</f>
        <v>-1.61051639870286E-2</v>
      </c>
      <c r="G79" s="117">
        <f>IF(OR(5302814.4312="",9660.67549="",10693.54932=""),"-",(9660.67549-10693.54932)/5302814.4312*100)</f>
        <v>-1.9477842255292088E-2</v>
      </c>
    </row>
    <row r="80" spans="1:7" x14ac:dyDescent="0.25">
      <c r="A80" s="46" t="s">
        <v>36</v>
      </c>
      <c r="B80" s="48">
        <v>202378.42957000001</v>
      </c>
      <c r="C80" s="118">
        <f>IF(OR(222962.50827="",202378.42957=""),"-",202378.42957/222962.50827*100)</f>
        <v>90.767919297412377</v>
      </c>
      <c r="D80" s="48">
        <f>IF(222962.50827="","-",222962.50827/5302814.4312*100)</f>
        <v>4.2046070282633794</v>
      </c>
      <c r="E80" s="48">
        <f>IF(202378.42957="","-",202378.42957/4848565.19176*100)</f>
        <v>4.1739859435928892</v>
      </c>
      <c r="F80" s="118">
        <f>IF(OR(5240739.99296="",203960.91186="",222962.50827=""),"-",(222962.50827-203960.91186)/5240739.99296*100)</f>
        <v>0.36257468287923561</v>
      </c>
      <c r="G80" s="118">
        <f>IF(OR(5302814.4312="",202378.42957="",222962.50827=""),"-",(202378.42957-222962.50827)/5302814.4312*100)</f>
        <v>-0.38817271407594606</v>
      </c>
    </row>
    <row r="81" spans="1:7" ht="25.5" x14ac:dyDescent="0.25">
      <c r="A81" s="54" t="s">
        <v>218</v>
      </c>
      <c r="B81" s="55">
        <v>356.08900999999997</v>
      </c>
      <c r="C81" s="126" t="s">
        <v>104</v>
      </c>
      <c r="D81" s="55">
        <f>IF(212.30131="","-",212.30131/5302814.4312*100)</f>
        <v>4.00355910534771E-3</v>
      </c>
      <c r="E81" s="55">
        <f>IF(356.08901="","-",356.08901/4848565.19176*100)</f>
        <v>7.3442141317427928E-3</v>
      </c>
      <c r="F81" s="126">
        <f>IF(5240739.99296="","-",(212.30131-500.4437)/5240739.99296*100)</f>
        <v>-5.4981241272619493E-3</v>
      </c>
      <c r="G81" s="126">
        <f>IF(5302814.4312="","-",(356.08901-212.30131)/5302814.4312*100)</f>
        <v>2.7115355791822709E-3</v>
      </c>
    </row>
    <row r="82" spans="1:7" x14ac:dyDescent="0.25">
      <c r="A82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G47" sqref="G47"/>
    </sheetView>
  </sheetViews>
  <sheetFormatPr defaultRowHeight="15.75" x14ac:dyDescent="0.25"/>
  <cols>
    <col min="1" max="1" width="42.625" customWidth="1"/>
    <col min="2" max="2" width="14.75" customWidth="1"/>
    <col min="3" max="3" width="14.25" customWidth="1"/>
    <col min="4" max="4" width="15" customWidth="1"/>
    <col min="6" max="6" width="12.125" bestFit="1" customWidth="1"/>
  </cols>
  <sheetData>
    <row r="1" spans="1:6" x14ac:dyDescent="0.25">
      <c r="A1" s="94" t="s">
        <v>162</v>
      </c>
      <c r="B1" s="94"/>
      <c r="C1" s="94"/>
      <c r="D1" s="94"/>
    </row>
    <row r="2" spans="1:6" x14ac:dyDescent="0.25">
      <c r="A2" s="94" t="s">
        <v>23</v>
      </c>
      <c r="B2" s="94"/>
      <c r="C2" s="94"/>
      <c r="D2" s="94"/>
    </row>
    <row r="3" spans="1:6" x14ac:dyDescent="0.25">
      <c r="A3" s="5"/>
    </row>
    <row r="4" spans="1:6" ht="22.5" customHeight="1" x14ac:dyDescent="0.25">
      <c r="A4" s="95"/>
      <c r="B4" s="99" t="s">
        <v>283</v>
      </c>
      <c r="C4" s="100"/>
      <c r="D4" s="106" t="s">
        <v>285</v>
      </c>
      <c r="E4" s="1"/>
    </row>
    <row r="5" spans="1:6" ht="34.5" customHeight="1" x14ac:dyDescent="0.25">
      <c r="A5" s="96"/>
      <c r="B5" s="21">
        <v>2019</v>
      </c>
      <c r="C5" s="20">
        <v>2020</v>
      </c>
      <c r="D5" s="111"/>
      <c r="E5" s="1"/>
    </row>
    <row r="6" spans="1:6" ht="14.25" customHeight="1" x14ac:dyDescent="0.25">
      <c r="A6" s="39" t="s">
        <v>140</v>
      </c>
      <c r="B6" s="40">
        <v>-2741941.7810200001</v>
      </c>
      <c r="C6" s="40">
        <v>-2581620.64494</v>
      </c>
      <c r="D6" s="57">
        <f>IF(-2741941.78102="","-",-2581620.64494/-2741941.78102*100)</f>
        <v>94.153007288857864</v>
      </c>
      <c r="F6" s="18"/>
    </row>
    <row r="7" spans="1:6" x14ac:dyDescent="0.25">
      <c r="A7" s="41" t="s">
        <v>138</v>
      </c>
      <c r="B7" s="34"/>
      <c r="C7" s="37"/>
      <c r="D7" s="58"/>
    </row>
    <row r="8" spans="1:6" x14ac:dyDescent="0.25">
      <c r="A8" s="53" t="s">
        <v>219</v>
      </c>
      <c r="B8" s="43">
        <v>40309.660770000002</v>
      </c>
      <c r="C8" s="43">
        <v>-96190.995859999995</v>
      </c>
      <c r="D8" s="59" t="s">
        <v>22</v>
      </c>
    </row>
    <row r="9" spans="1:6" x14ac:dyDescent="0.25">
      <c r="A9" s="46" t="s">
        <v>24</v>
      </c>
      <c r="B9" s="45">
        <v>3933.4285100000002</v>
      </c>
      <c r="C9" s="45">
        <v>3617.1675599999999</v>
      </c>
      <c r="D9" s="60">
        <f>IF(OR(3933.42851="",3617.16756="",3933.42851=0,3617.16756=0),"-",3617.16756/3933.42851*100)</f>
        <v>91.959661928621145</v>
      </c>
    </row>
    <row r="10" spans="1:6" x14ac:dyDescent="0.25">
      <c r="A10" s="46" t="s">
        <v>220</v>
      </c>
      <c r="B10" s="45">
        <v>-34203.538209999999</v>
      </c>
      <c r="C10" s="45">
        <v>-31739.212940000001</v>
      </c>
      <c r="D10" s="60">
        <f>IF(OR(-34203.53821="",-31739.21294="",-34203.53821=0,-31739.21294=0),"-",-31739.21294/-34203.53821*100)</f>
        <v>92.795115947158038</v>
      </c>
    </row>
    <row r="11" spans="1:6" x14ac:dyDescent="0.25">
      <c r="A11" s="46" t="s">
        <v>221</v>
      </c>
      <c r="B11" s="45">
        <v>-46122.762269999999</v>
      </c>
      <c r="C11" s="45">
        <v>-61040.362439999997</v>
      </c>
      <c r="D11" s="60">
        <f>IF(OR(-46122.76227="",-61040.36244="",-46122.76227=0,-61040.36244=0),"-",-61040.36244/-46122.76227*100)</f>
        <v>132.34324970103313</v>
      </c>
    </row>
    <row r="12" spans="1:6" x14ac:dyDescent="0.25">
      <c r="A12" s="46" t="s">
        <v>222</v>
      </c>
      <c r="B12" s="45">
        <v>-51328.253810000002</v>
      </c>
      <c r="C12" s="45">
        <v>-52537.23143</v>
      </c>
      <c r="D12" s="60">
        <f>IF(OR(-51328.25381="",-52537.23143="",-51328.25381=0,-52537.23143=0),"-",-52537.23143/-51328.25381*100)</f>
        <v>102.35538427719599</v>
      </c>
    </row>
    <row r="13" spans="1:6" x14ac:dyDescent="0.25">
      <c r="A13" s="46" t="s">
        <v>223</v>
      </c>
      <c r="B13" s="45">
        <v>159694.10581000001</v>
      </c>
      <c r="C13" s="45">
        <v>39833.952239999999</v>
      </c>
      <c r="D13" s="60">
        <f>IF(OR(159694.10581="",39833.95224="",159694.10581=0,39833.95224=0),"-",39833.95224/159694.10581*100)</f>
        <v>24.943908880014284</v>
      </c>
    </row>
    <row r="14" spans="1:6" x14ac:dyDescent="0.25">
      <c r="A14" s="46" t="s">
        <v>224</v>
      </c>
      <c r="B14" s="45">
        <v>118441.94104000001</v>
      </c>
      <c r="C14" s="45">
        <v>128386.83392999999</v>
      </c>
      <c r="D14" s="60">
        <f>IF(OR(118441.94104="",128386.83393="",118441.94104=0,128386.83393=0),"-",128386.83393/118441.94104*100)</f>
        <v>108.39642849709921</v>
      </c>
    </row>
    <row r="15" spans="1:6" x14ac:dyDescent="0.25">
      <c r="A15" s="46" t="s">
        <v>181</v>
      </c>
      <c r="B15" s="45">
        <v>5512.3111799999997</v>
      </c>
      <c r="C15" s="45">
        <v>2096.66489</v>
      </c>
      <c r="D15" s="60">
        <f>IF(OR(5512.31118="",2096.66489="",5512.31118=0,2096.66489=0),"-",2096.66489/5512.31118*100)</f>
        <v>38.036040084369837</v>
      </c>
    </row>
    <row r="16" spans="1:6" x14ac:dyDescent="0.25">
      <c r="A16" s="46" t="s">
        <v>225</v>
      </c>
      <c r="B16" s="45">
        <v>-40014.143889999999</v>
      </c>
      <c r="C16" s="45">
        <v>-44487.150979999999</v>
      </c>
      <c r="D16" s="60">
        <f>IF(OR(-40014.14389="",-44487.15098="",-40014.14389=0,-44487.15098=0),"-",-44487.15098/-40014.14389*100)</f>
        <v>111.17856501515169</v>
      </c>
    </row>
    <row r="17" spans="1:4" x14ac:dyDescent="0.25">
      <c r="A17" s="46" t="s">
        <v>182</v>
      </c>
      <c r="B17" s="45">
        <v>-6880.8828700000004</v>
      </c>
      <c r="C17" s="45">
        <v>-8571.7434400000002</v>
      </c>
      <c r="D17" s="60">
        <f>IF(OR(-6880.88287="",-8571.74344="",-6880.88287=0,-8571.74344=0),"-",-8571.74344/-6880.88287*100)</f>
        <v>124.57330842488238</v>
      </c>
    </row>
    <row r="18" spans="1:4" x14ac:dyDescent="0.25">
      <c r="A18" s="46" t="s">
        <v>226</v>
      </c>
      <c r="B18" s="45">
        <v>-68722.544720000005</v>
      </c>
      <c r="C18" s="45">
        <v>-71749.913249999998</v>
      </c>
      <c r="D18" s="60">
        <f>IF(OR(-68722.54472="",-71749.91325="",-68722.54472=0,-71749.91325=0),"-",-71749.91325/-68722.54472*100)</f>
        <v>104.40520435082048</v>
      </c>
    </row>
    <row r="19" spans="1:4" x14ac:dyDescent="0.25">
      <c r="A19" s="53" t="s">
        <v>227</v>
      </c>
      <c r="B19" s="43">
        <v>86954.83653</v>
      </c>
      <c r="C19" s="43">
        <v>75406.244349999994</v>
      </c>
      <c r="D19" s="59">
        <f>IF(86954.83653="","-",75406.24435/86954.83653*100)</f>
        <v>86.718861605799617</v>
      </c>
    </row>
    <row r="20" spans="1:4" x14ac:dyDescent="0.25">
      <c r="A20" s="46" t="s">
        <v>228</v>
      </c>
      <c r="B20" s="45">
        <v>122672.49552</v>
      </c>
      <c r="C20" s="45">
        <v>114085.68994</v>
      </c>
      <c r="D20" s="60">
        <f>IF(OR(122672.49552="",114085.68994="",122672.49552=0,114085.68994=0),"-",114085.68994/122672.49552*100)</f>
        <v>93.000219369793413</v>
      </c>
    </row>
    <row r="21" spans="1:4" x14ac:dyDescent="0.25">
      <c r="A21" s="46" t="s">
        <v>229</v>
      </c>
      <c r="B21" s="45">
        <v>-35717.658990000004</v>
      </c>
      <c r="C21" s="45">
        <v>-38679.445590000003</v>
      </c>
      <c r="D21" s="60">
        <f>IF(OR(-35717.65899="",-38679.44559="",-35717.65899=0,-38679.44559=0),"-",-38679.44559/-35717.65899*100)</f>
        <v>108.29221926562774</v>
      </c>
    </row>
    <row r="22" spans="1:4" x14ac:dyDescent="0.25">
      <c r="A22" s="53" t="s">
        <v>25</v>
      </c>
      <c r="B22" s="43">
        <v>140840.74883</v>
      </c>
      <c r="C22" s="43">
        <v>109933.63035000001</v>
      </c>
      <c r="D22" s="59">
        <f>IF(140840.74883="","-",109933.63035/140840.74883*100)</f>
        <v>78.055272542390398</v>
      </c>
    </row>
    <row r="23" spans="1:4" x14ac:dyDescent="0.25">
      <c r="A23" s="46" t="s">
        <v>236</v>
      </c>
      <c r="B23" s="45">
        <v>1449.61085</v>
      </c>
      <c r="C23" s="45">
        <v>1161.5085999999999</v>
      </c>
      <c r="D23" s="60">
        <f>IF(OR(1449.61085="",1161.5086="",1449.61085=0,1161.5086=0),"-",1161.5086/1449.61085*100)</f>
        <v>80.125545417930596</v>
      </c>
    </row>
    <row r="24" spans="1:4" x14ac:dyDescent="0.25">
      <c r="A24" s="46" t="s">
        <v>230</v>
      </c>
      <c r="B24" s="45">
        <v>207196.51261999999</v>
      </c>
      <c r="C24" s="45">
        <v>165070.74609</v>
      </c>
      <c r="D24" s="60">
        <f>IF(OR(207196.51262="",165070.74609="",207196.51262=0,165070.74609=0),"-",165070.74609/207196.51262*100)</f>
        <v>79.668689401515664</v>
      </c>
    </row>
    <row r="25" spans="1:4" x14ac:dyDescent="0.25">
      <c r="A25" s="46" t="s">
        <v>231</v>
      </c>
      <c r="B25" s="45">
        <v>-1443.6826599999999</v>
      </c>
      <c r="C25" s="45">
        <v>-1321.9047800000001</v>
      </c>
      <c r="D25" s="60">
        <f>IF(OR(-1443.68266="",-1321.90478="",-1443.68266=0,-1321.90478=0),"-",-1321.90478/-1443.68266*100)</f>
        <v>91.564775045507588</v>
      </c>
    </row>
    <row r="26" spans="1:4" x14ac:dyDescent="0.25">
      <c r="A26" s="46" t="s">
        <v>232</v>
      </c>
      <c r="B26" s="45">
        <v>-35027.38435</v>
      </c>
      <c r="C26" s="45">
        <v>-35154.808870000001</v>
      </c>
      <c r="D26" s="60">
        <f>IF(OR(-35027.38435="",-35154.80887="",-35027.38435=0,-35154.80887=0),"-",-35154.80887/-35027.38435*100)</f>
        <v>100.3637854277863</v>
      </c>
    </row>
    <row r="27" spans="1:4" x14ac:dyDescent="0.25">
      <c r="A27" s="46" t="s">
        <v>183</v>
      </c>
      <c r="B27" s="45">
        <v>2027.71875</v>
      </c>
      <c r="C27" s="45">
        <v>1379.17066</v>
      </c>
      <c r="D27" s="60">
        <f>IF(OR(2027.71875="",1379.17066="",2027.71875=0,1379.17066=0),"-",1379.17066/2027.71875*100)</f>
        <v>68.015875475827201</v>
      </c>
    </row>
    <row r="28" spans="1:4" ht="25.5" x14ac:dyDescent="0.25">
      <c r="A28" s="46" t="s">
        <v>184</v>
      </c>
      <c r="B28" s="45">
        <v>-7093.7552999999998</v>
      </c>
      <c r="C28" s="45">
        <v>-6974.5876500000004</v>
      </c>
      <c r="D28" s="60">
        <f>IF(OR(-7093.7553="",-6974.58765="",-7093.7553=0,-6974.58765=0),"-",-6974.58765/-7093.7553*100)</f>
        <v>98.320104867445892</v>
      </c>
    </row>
    <row r="29" spans="1:4" ht="25.5" x14ac:dyDescent="0.25">
      <c r="A29" s="46" t="s">
        <v>185</v>
      </c>
      <c r="B29" s="45">
        <v>-13459.158390000001</v>
      </c>
      <c r="C29" s="45">
        <v>-8741.0863399999998</v>
      </c>
      <c r="D29" s="60">
        <f>IF(OR(-13459.15839="",-8741.08634="",-13459.15839=0,-8741.08634=0),"-",-8741.08634/-13459.15839*100)</f>
        <v>64.945266908327099</v>
      </c>
    </row>
    <row r="30" spans="1:4" x14ac:dyDescent="0.25">
      <c r="A30" s="46" t="s">
        <v>186</v>
      </c>
      <c r="B30" s="45">
        <v>13396.144490000001</v>
      </c>
      <c r="C30" s="45">
        <v>21315.468099999998</v>
      </c>
      <c r="D30" s="60" t="s">
        <v>105</v>
      </c>
    </row>
    <row r="31" spans="1:4" x14ac:dyDescent="0.25">
      <c r="A31" s="46" t="s">
        <v>187</v>
      </c>
      <c r="B31" s="45">
        <v>-26205.257180000001</v>
      </c>
      <c r="C31" s="45">
        <v>-26800.875459999999</v>
      </c>
      <c r="D31" s="60">
        <f>IF(OR(-26205.25718="",-26800.87546="",-26205.25718=0,-26800.87546=0),"-",-26800.87546/-26205.25718*100)</f>
        <v>102.27289614411636</v>
      </c>
    </row>
    <row r="32" spans="1:4" x14ac:dyDescent="0.25">
      <c r="A32" s="53" t="s">
        <v>188</v>
      </c>
      <c r="B32" s="43">
        <v>-818314.44192999997</v>
      </c>
      <c r="C32" s="43">
        <v>-511070.42507</v>
      </c>
      <c r="D32" s="59">
        <f>IF(-818314.44193="","-",-511070.42507/-818314.44193*100)</f>
        <v>62.454039533340875</v>
      </c>
    </row>
    <row r="33" spans="1:4" x14ac:dyDescent="0.25">
      <c r="A33" s="46" t="s">
        <v>233</v>
      </c>
      <c r="B33" s="45">
        <v>-17327.09878</v>
      </c>
      <c r="C33" s="45">
        <v>-13612.35584</v>
      </c>
      <c r="D33" s="60">
        <f>IF(OR(-17327.09878="",-13612.35584="",-17327.09878=0,-13612.35584=0),"-",-13612.35584/-17327.09878*100)</f>
        <v>78.56107945614194</v>
      </c>
    </row>
    <row r="34" spans="1:4" x14ac:dyDescent="0.25">
      <c r="A34" s="46" t="s">
        <v>189</v>
      </c>
      <c r="B34" s="45">
        <v>-528063.20906999998</v>
      </c>
      <c r="C34" s="45">
        <v>-326839.61797999998</v>
      </c>
      <c r="D34" s="60">
        <f>IF(OR(-528063.20907="",-326839.61798="",-528063.20907=0,-326839.61798=0),"-",-326839.61798/-528063.20907*100)</f>
        <v>61.894033207807539</v>
      </c>
    </row>
    <row r="35" spans="1:4" x14ac:dyDescent="0.25">
      <c r="A35" s="46" t="s">
        <v>234</v>
      </c>
      <c r="B35" s="45">
        <v>-236000.96502</v>
      </c>
      <c r="C35" s="45">
        <v>-161510.04130000001</v>
      </c>
      <c r="D35" s="60">
        <f>IF(OR(-236000.96502="",-161510.0413="",-236000.96502=0,-161510.0413=0),"-",-161510.0413/-236000.96502*100)</f>
        <v>68.436178337793137</v>
      </c>
    </row>
    <row r="36" spans="1:4" x14ac:dyDescent="0.25">
      <c r="A36" s="46" t="s">
        <v>190</v>
      </c>
      <c r="B36" s="45">
        <v>-36923.16906</v>
      </c>
      <c r="C36" s="45">
        <v>-9108.4099499999993</v>
      </c>
      <c r="D36" s="60">
        <f>IF(OR(-36923.16906="",-9108.40995="",-36923.16906=0,-9108.40995=0),"-",-9108.40995/-36923.16906*100)</f>
        <v>24.668548723970225</v>
      </c>
    </row>
    <row r="37" spans="1:4" x14ac:dyDescent="0.25">
      <c r="A37" s="53" t="s">
        <v>191</v>
      </c>
      <c r="B37" s="43">
        <v>46956.604469999998</v>
      </c>
      <c r="C37" s="43">
        <v>84021.545989999999</v>
      </c>
      <c r="D37" s="59">
        <f>IF(46956.60447="","-",84021.54599/46956.60447*100)</f>
        <v>178.93445860992853</v>
      </c>
    </row>
    <row r="38" spans="1:4" x14ac:dyDescent="0.25">
      <c r="A38" s="46" t="s">
        <v>237</v>
      </c>
      <c r="B38" s="45">
        <v>-1673.4342899999999</v>
      </c>
      <c r="C38" s="45">
        <v>-1534.3927900000001</v>
      </c>
      <c r="D38" s="60">
        <f>IF(OR(-1673.43429="",-1534.39279="",-1673.43429=0,-1534.39279=0),"-",-1534.39279/-1673.43429*100)</f>
        <v>91.691248301120936</v>
      </c>
    </row>
    <row r="39" spans="1:4" ht="14.25" customHeight="1" x14ac:dyDescent="0.25">
      <c r="A39" s="46" t="s">
        <v>192</v>
      </c>
      <c r="B39" s="45">
        <v>50935.889190000002</v>
      </c>
      <c r="C39" s="45">
        <v>87097.259550000002</v>
      </c>
      <c r="D39" s="60" t="s">
        <v>104</v>
      </c>
    </row>
    <row r="40" spans="1:4" ht="38.25" x14ac:dyDescent="0.25">
      <c r="A40" s="46" t="s">
        <v>235</v>
      </c>
      <c r="B40" s="45">
        <v>-2305.85043</v>
      </c>
      <c r="C40" s="45">
        <v>-1541.32077</v>
      </c>
      <c r="D40" s="60">
        <f>IF(OR(-2305.85043="",-1541.32077="",-2305.85043=0,-1541.32077=0),"-",-1541.32077/-2305.85043*100)</f>
        <v>66.843917972598078</v>
      </c>
    </row>
    <row r="41" spans="1:4" ht="15" customHeight="1" x14ac:dyDescent="0.25">
      <c r="A41" s="53" t="s">
        <v>193</v>
      </c>
      <c r="B41" s="43">
        <v>-639775.65659999999</v>
      </c>
      <c r="C41" s="43">
        <v>-632211.59180000005</v>
      </c>
      <c r="D41" s="59">
        <f>IF(-639775.6566="","-",-632211.5918/-639775.6566*100)</f>
        <v>98.817700435774924</v>
      </c>
    </row>
    <row r="42" spans="1:4" x14ac:dyDescent="0.25">
      <c r="A42" s="46" t="s">
        <v>26</v>
      </c>
      <c r="B42" s="45">
        <v>629.49501999999995</v>
      </c>
      <c r="C42" s="45">
        <v>34661.16416</v>
      </c>
      <c r="D42" s="60" t="s">
        <v>297</v>
      </c>
    </row>
    <row r="43" spans="1:4" x14ac:dyDescent="0.25">
      <c r="A43" s="46" t="s">
        <v>27</v>
      </c>
      <c r="B43" s="45">
        <v>-14862.12125</v>
      </c>
      <c r="C43" s="45">
        <v>-12918.72329</v>
      </c>
      <c r="D43" s="60">
        <f>IF(OR(-14862.12125="",-12918.72329="",-14862.12125=0,-12918.72329=0),"-",-12918.72329/-14862.12125*100)</f>
        <v>86.923818428678203</v>
      </c>
    </row>
    <row r="44" spans="1:4" x14ac:dyDescent="0.25">
      <c r="A44" s="46" t="s">
        <v>194</v>
      </c>
      <c r="B44" s="45">
        <v>-35421.35469</v>
      </c>
      <c r="C44" s="45">
        <v>-39116.96686</v>
      </c>
      <c r="D44" s="60">
        <f>IF(OR(-35421.35469="",-39116.96686="",-35421.35469=0,-39116.96686=0),"-",-39116.96686/-35421.35469*100)</f>
        <v>110.43328862586763</v>
      </c>
    </row>
    <row r="45" spans="1:4" x14ac:dyDescent="0.25">
      <c r="A45" s="46" t="s">
        <v>195</v>
      </c>
      <c r="B45" s="45">
        <v>-155029.59734000001</v>
      </c>
      <c r="C45" s="45">
        <v>-180035.90163000001</v>
      </c>
      <c r="D45" s="60">
        <f>IF(OR(-155029.59734="",-180035.90163="",-155029.59734=0,-180035.90163=0),"-",-180035.90163/-155029.59734*100)</f>
        <v>116.13001950534512</v>
      </c>
    </row>
    <row r="46" spans="1:4" ht="25.5" x14ac:dyDescent="0.25">
      <c r="A46" s="46" t="s">
        <v>196</v>
      </c>
      <c r="B46" s="45">
        <v>-90810.050040000002</v>
      </c>
      <c r="C46" s="45">
        <v>-92450.607940000002</v>
      </c>
      <c r="D46" s="60">
        <f>IF(OR(-90810.05004="",-92450.60794="",-90810.05004=0,-92450.60794=0),"-",-92450.60794/-90810.05004*100)</f>
        <v>101.80658186982319</v>
      </c>
    </row>
    <row r="47" spans="1:4" x14ac:dyDescent="0.25">
      <c r="A47" s="46" t="s">
        <v>197</v>
      </c>
      <c r="B47" s="45">
        <v>-79707.196689999997</v>
      </c>
      <c r="C47" s="45">
        <v>-69171.424719999995</v>
      </c>
      <c r="D47" s="60">
        <f>IF(OR(-79707.19669="",-69171.42472="",-79707.19669=0,-69171.42472=0),"-",-69171.42472/-79707.19669*100)</f>
        <v>86.781906267540563</v>
      </c>
    </row>
    <row r="48" spans="1:4" x14ac:dyDescent="0.25">
      <c r="A48" s="46" t="s">
        <v>28</v>
      </c>
      <c r="B48" s="45">
        <v>-47091.90554</v>
      </c>
      <c r="C48" s="45">
        <v>-41598.924249999996</v>
      </c>
      <c r="D48" s="60">
        <f>IF(OR(-47091.90554="",-41598.92425="",-47091.90554=0,-41598.92425=0),"-",-41598.92425/-47091.90554*100)</f>
        <v>88.335614736731671</v>
      </c>
    </row>
    <row r="49" spans="1:4" x14ac:dyDescent="0.25">
      <c r="A49" s="46" t="s">
        <v>29</v>
      </c>
      <c r="B49" s="45">
        <v>-103369.88539</v>
      </c>
      <c r="C49" s="45">
        <v>-109269.58734</v>
      </c>
      <c r="D49" s="60">
        <f>IF(OR(-103369.88539="",-109269.58734="",-103369.88539=0,-109269.58734=0),"-",-109269.58734/-103369.88539*100)</f>
        <v>105.70737011823246</v>
      </c>
    </row>
    <row r="50" spans="1:4" x14ac:dyDescent="0.25">
      <c r="A50" s="46" t="s">
        <v>198</v>
      </c>
      <c r="B50" s="45">
        <v>-114113.04068000001</v>
      </c>
      <c r="C50" s="45">
        <v>-122310.61993</v>
      </c>
      <c r="D50" s="60">
        <f>IF(OR(-114113.04068="",-122310.61993="",-114113.04068=0,-122310.61993=0),"-",-122310.61993/-114113.04068*100)</f>
        <v>107.1837357072869</v>
      </c>
    </row>
    <row r="51" spans="1:4" ht="25.5" x14ac:dyDescent="0.25">
      <c r="A51" s="53" t="s">
        <v>241</v>
      </c>
      <c r="B51" s="43">
        <v>-879644.71696999995</v>
      </c>
      <c r="C51" s="43">
        <v>-807589.82848999999</v>
      </c>
      <c r="D51" s="59">
        <f>IF(-879644.71697="","-",-807589.82849/-879644.71697*100)</f>
        <v>91.808637386216759</v>
      </c>
    </row>
    <row r="52" spans="1:4" x14ac:dyDescent="0.25">
      <c r="A52" s="46" t="s">
        <v>199</v>
      </c>
      <c r="B52" s="45">
        <v>-49940.143219999998</v>
      </c>
      <c r="C52" s="45">
        <v>-42872.650419999998</v>
      </c>
      <c r="D52" s="60">
        <f>IF(OR(-49940.14322="",-42872.65042="",-49940.14322=0,-42872.65042=0),"-",-42872.65042/-49940.14322*100)</f>
        <v>85.848072623929497</v>
      </c>
    </row>
    <row r="53" spans="1:4" x14ac:dyDescent="0.25">
      <c r="A53" s="46" t="s">
        <v>30</v>
      </c>
      <c r="B53" s="45">
        <v>-60550.902540000003</v>
      </c>
      <c r="C53" s="45">
        <v>-53395.729469999998</v>
      </c>
      <c r="D53" s="60">
        <f>IF(OR(-60550.90254="",-53395.72947="",-60550.90254=0,-53395.72947=0),"-",-53395.72947/-60550.90254*100)</f>
        <v>88.183209878212324</v>
      </c>
    </row>
    <row r="54" spans="1:4" x14ac:dyDescent="0.25">
      <c r="A54" s="46" t="s">
        <v>200</v>
      </c>
      <c r="B54" s="45">
        <v>-65560.43836</v>
      </c>
      <c r="C54" s="45">
        <v>-64872.611709999997</v>
      </c>
      <c r="D54" s="60">
        <f>IF(OR(-65560.43836="",-64872.61171="",-65560.43836=0,-64872.61171=0),"-",-64872.61171/-65560.43836*100)</f>
        <v>98.950851051020933</v>
      </c>
    </row>
    <row r="55" spans="1:4" ht="25.5" x14ac:dyDescent="0.25">
      <c r="A55" s="46" t="s">
        <v>201</v>
      </c>
      <c r="B55" s="45">
        <v>-85868.986480000007</v>
      </c>
      <c r="C55" s="45">
        <v>-76200.307149999993</v>
      </c>
      <c r="D55" s="60">
        <f>IF(OR(-85868.98648="",-76200.30715="",-85868.98648=0,-76200.30715=0),"-",-76200.30715/-85868.98648*100)</f>
        <v>88.740196284659802</v>
      </c>
    </row>
    <row r="56" spans="1:4" ht="25.5" x14ac:dyDescent="0.25">
      <c r="A56" s="46" t="s">
        <v>202</v>
      </c>
      <c r="B56" s="45">
        <v>-192170.34656999999</v>
      </c>
      <c r="C56" s="45">
        <v>-180062.59513</v>
      </c>
      <c r="D56" s="60">
        <f>IF(OR(-192170.34657="",-180062.59513="",-192170.34657=0,-180062.59513=0),"-",-180062.59513/-192170.34657*100)</f>
        <v>93.699469425898329</v>
      </c>
    </row>
    <row r="57" spans="1:4" x14ac:dyDescent="0.25">
      <c r="A57" s="46" t="s">
        <v>31</v>
      </c>
      <c r="B57" s="45">
        <v>-74876.772519999999</v>
      </c>
      <c r="C57" s="45">
        <v>-81222.204589999994</v>
      </c>
      <c r="D57" s="60">
        <f>IF(OR(-74876.77252="",-81222.20459="",-74876.77252=0,-81222.20459=0),"-",-81222.20459/-74876.77252*100)</f>
        <v>108.47449997701904</v>
      </c>
    </row>
    <row r="58" spans="1:4" x14ac:dyDescent="0.25">
      <c r="A58" s="46" t="s">
        <v>203</v>
      </c>
      <c r="B58" s="45">
        <v>-130380.14559</v>
      </c>
      <c r="C58" s="45">
        <v>-120670.61224</v>
      </c>
      <c r="D58" s="60">
        <f>IF(OR(-130380.14559="",-120670.61224="",-130380.14559=0,-120670.61224=0),"-",-120670.61224/-130380.14559*100)</f>
        <v>92.552904964124608</v>
      </c>
    </row>
    <row r="59" spans="1:4" x14ac:dyDescent="0.25">
      <c r="A59" s="46" t="s">
        <v>32</v>
      </c>
      <c r="B59" s="45">
        <v>-83875.306079999995</v>
      </c>
      <c r="C59" s="45">
        <v>-57342.250370000002</v>
      </c>
      <c r="D59" s="60">
        <f>IF(OR(-83875.30608="",-57342.25037="",-83875.30608=0,-57342.25037=0),"-",-57342.25037/-83875.30608*100)</f>
        <v>68.36606988391452</v>
      </c>
    </row>
    <row r="60" spans="1:4" x14ac:dyDescent="0.25">
      <c r="A60" s="46" t="s">
        <v>33</v>
      </c>
      <c r="B60" s="45">
        <v>-136421.67561000001</v>
      </c>
      <c r="C60" s="45">
        <v>-130950.86741000001</v>
      </c>
      <c r="D60" s="60">
        <f>IF(OR(-136421.67561="",-130950.86741="",-136421.67561=0,-130950.86741=0),"-",-130950.86741/-136421.67561*100)</f>
        <v>95.9897808207254</v>
      </c>
    </row>
    <row r="61" spans="1:4" x14ac:dyDescent="0.25">
      <c r="A61" s="53" t="s">
        <v>204</v>
      </c>
      <c r="B61" s="43">
        <v>-683792.23806999996</v>
      </c>
      <c r="C61" s="43">
        <v>-741123.40891</v>
      </c>
      <c r="D61" s="59">
        <f>IF(-683792.23807="","-",-741123.40891/-683792.23807*100)</f>
        <v>108.38429681533341</v>
      </c>
    </row>
    <row r="62" spans="1:4" x14ac:dyDescent="0.25">
      <c r="A62" s="46" t="s">
        <v>205</v>
      </c>
      <c r="B62" s="45">
        <v>-15618.277099999999</v>
      </c>
      <c r="C62" s="45">
        <v>-16949.582249999999</v>
      </c>
      <c r="D62" s="60">
        <f>IF(OR(-15618.2771="",-16949.58225="",-15618.2771=0,-16949.58225=0),"-",-16949.58225/-15618.2771*100)</f>
        <v>108.52402055281757</v>
      </c>
    </row>
    <row r="63" spans="1:4" x14ac:dyDescent="0.25">
      <c r="A63" s="46" t="s">
        <v>206</v>
      </c>
      <c r="B63" s="45">
        <v>-163422.5655</v>
      </c>
      <c r="C63" s="45">
        <v>-136473.38975</v>
      </c>
      <c r="D63" s="60">
        <f>IF(OR(-163422.5655="",-136473.38975="",-163422.5655=0,-136473.38975=0),"-",-136473.38975/-163422.5655*100)</f>
        <v>83.509513715228024</v>
      </c>
    </row>
    <row r="64" spans="1:4" x14ac:dyDescent="0.25">
      <c r="A64" s="46" t="s">
        <v>207</v>
      </c>
      <c r="B64" s="45">
        <v>-7611.9206100000001</v>
      </c>
      <c r="C64" s="45">
        <v>-10683.065720000001</v>
      </c>
      <c r="D64" s="60">
        <f>IF(OR(-7611.92061="",-10683.06572="",-7611.92061=0,-10683.06572=0),"-",-10683.06572/-7611.92061*100)</f>
        <v>140.34652050844235</v>
      </c>
    </row>
    <row r="65" spans="1:4" ht="25.5" x14ac:dyDescent="0.25">
      <c r="A65" s="46" t="s">
        <v>208</v>
      </c>
      <c r="B65" s="45">
        <v>-151144.04697</v>
      </c>
      <c r="C65" s="45">
        <v>-164517.38070000001</v>
      </c>
      <c r="D65" s="60">
        <f>IF(OR(-151144.04697="",-164517.3807="",-151144.04697=0,-164517.3807=0),"-",-164517.3807/-151144.04697*100)</f>
        <v>108.84807175545221</v>
      </c>
    </row>
    <row r="66" spans="1:4" ht="25.5" x14ac:dyDescent="0.25">
      <c r="A66" s="46" t="s">
        <v>209</v>
      </c>
      <c r="B66" s="45">
        <v>-41639.683729999997</v>
      </c>
      <c r="C66" s="45">
        <v>-50823.169670000003</v>
      </c>
      <c r="D66" s="60">
        <f>IF(OR(-41639.68373="",-50823.16967="",-41639.68373=0,-50823.16967=0),"-",-50823.16967/-41639.68373*100)</f>
        <v>122.05464863649675</v>
      </c>
    </row>
    <row r="67" spans="1:4" ht="25.5" x14ac:dyDescent="0.25">
      <c r="A67" s="46" t="s">
        <v>210</v>
      </c>
      <c r="B67" s="45">
        <v>-146112.60775</v>
      </c>
      <c r="C67" s="45">
        <v>-148172.3089</v>
      </c>
      <c r="D67" s="60">
        <f>IF(OR(-146112.60775="",-148172.3089="",-146112.60775=0,-148172.3089=0),"-",-148172.3089/-146112.60775*100)</f>
        <v>101.40966695599889</v>
      </c>
    </row>
    <row r="68" spans="1:4" ht="26.25" customHeight="1" x14ac:dyDescent="0.25">
      <c r="A68" s="46" t="s">
        <v>211</v>
      </c>
      <c r="B68" s="45">
        <v>126808.56965999999</v>
      </c>
      <c r="C68" s="45">
        <v>57106.737330000004</v>
      </c>
      <c r="D68" s="60">
        <f>IF(OR(126808.56966="",57106.73733="",126808.56966=0,57106.73733=0),"-",57106.73733/126808.56966*100)</f>
        <v>45.033815524546156</v>
      </c>
    </row>
    <row r="69" spans="1:4" x14ac:dyDescent="0.25">
      <c r="A69" s="46" t="s">
        <v>212</v>
      </c>
      <c r="B69" s="45">
        <v>-279351.55612000002</v>
      </c>
      <c r="C69" s="45">
        <v>-236745.12903000001</v>
      </c>
      <c r="D69" s="60">
        <f>IF(OR(-279351.55612="",-236745.12903="",-279351.55612=0,-236745.12903=0),"-",-236745.12903/-279351.55612*100)</f>
        <v>84.748097457635879</v>
      </c>
    </row>
    <row r="70" spans="1:4" x14ac:dyDescent="0.25">
      <c r="A70" s="46" t="s">
        <v>34</v>
      </c>
      <c r="B70" s="45">
        <v>-5700.14995</v>
      </c>
      <c r="C70" s="45">
        <v>-33866.120219999997</v>
      </c>
      <c r="D70" s="60" t="s">
        <v>293</v>
      </c>
    </row>
    <row r="71" spans="1:4" x14ac:dyDescent="0.25">
      <c r="A71" s="53" t="s">
        <v>35</v>
      </c>
      <c r="B71" s="43">
        <v>-36143.606449999999</v>
      </c>
      <c r="C71" s="43">
        <v>-63031.348919999997</v>
      </c>
      <c r="D71" s="59" t="s">
        <v>104</v>
      </c>
    </row>
    <row r="72" spans="1:4" ht="25.5" x14ac:dyDescent="0.25">
      <c r="A72" s="46" t="s">
        <v>238</v>
      </c>
      <c r="B72" s="45">
        <v>-38832.767970000001</v>
      </c>
      <c r="C72" s="45">
        <v>-39096.202640000003</v>
      </c>
      <c r="D72" s="60">
        <f>IF(OR(-38832.76797="",-39096.20264="",-38832.76797=0,-39096.20264=0),"-",-39096.20264/-38832.76797*100)</f>
        <v>100.67838241714708</v>
      </c>
    </row>
    <row r="73" spans="1:4" x14ac:dyDescent="0.25">
      <c r="A73" s="46" t="s">
        <v>213</v>
      </c>
      <c r="B73" s="45">
        <v>83369.344800000006</v>
      </c>
      <c r="C73" s="45">
        <v>76808.331449999998</v>
      </c>
      <c r="D73" s="60">
        <f>IF(OR(83369.3448="",76808.33145="",83369.3448=0,76808.33145=0),"-",76808.33145/83369.3448*100)</f>
        <v>92.13018482304301</v>
      </c>
    </row>
    <row r="74" spans="1:4" x14ac:dyDescent="0.25">
      <c r="A74" s="46" t="s">
        <v>214</v>
      </c>
      <c r="B74" s="45">
        <v>4635.8511399999998</v>
      </c>
      <c r="C74" s="45">
        <v>2926.14696</v>
      </c>
      <c r="D74" s="60">
        <f>IF(OR(4635.85114="",2926.14696="",4635.85114=0,2926.14696=0),"-",2926.14696/4635.85114*100)</f>
        <v>63.1199508274116</v>
      </c>
    </row>
    <row r="75" spans="1:4" x14ac:dyDescent="0.25">
      <c r="A75" s="46" t="s">
        <v>215</v>
      </c>
      <c r="B75" s="45">
        <v>125520.51071</v>
      </c>
      <c r="C75" s="45">
        <v>94431.387159999998</v>
      </c>
      <c r="D75" s="60">
        <f>IF(OR(125520.51071="",94431.38716="",125520.51071=0,94431.38716=0),"-",94431.38716/125520.51071*100)</f>
        <v>75.231837909082699</v>
      </c>
    </row>
    <row r="76" spans="1:4" x14ac:dyDescent="0.25">
      <c r="A76" s="46" t="s">
        <v>216</v>
      </c>
      <c r="B76" s="45">
        <v>-10424.941049999999</v>
      </c>
      <c r="C76" s="45">
        <v>-5285.7675499999996</v>
      </c>
      <c r="D76" s="60">
        <f>IF(OR(-10424.94105="",-5285.76755="",-10424.94105=0,-5285.76755=0),"-",-5285.76755/-10424.94105*100)</f>
        <v>50.703092944587922</v>
      </c>
    </row>
    <row r="77" spans="1:4" x14ac:dyDescent="0.25">
      <c r="A77" s="46" t="s">
        <v>239</v>
      </c>
      <c r="B77" s="45">
        <v>-32323.282920000001</v>
      </c>
      <c r="C77" s="45">
        <v>-32730.170480000001</v>
      </c>
      <c r="D77" s="60">
        <f>IF(OR(-32323.28292="",-32730.17048="",-32323.28292=0,-32730.17048=0),"-",-32730.17048/-32323.28292*100)</f>
        <v>101.2588064182931</v>
      </c>
    </row>
    <row r="78" spans="1:4" ht="25.5" x14ac:dyDescent="0.25">
      <c r="A78" s="46" t="s">
        <v>217</v>
      </c>
      <c r="B78" s="45">
        <v>-6779.8693400000002</v>
      </c>
      <c r="C78" s="45">
        <v>-7104.4318199999998</v>
      </c>
      <c r="D78" s="60">
        <f>IF(OR(-6779.86934="",-7104.43182="",-6779.86934=0,-7104.43182=0),"-",-7104.43182/-6779.86934*100)</f>
        <v>104.78714948214621</v>
      </c>
    </row>
    <row r="79" spans="1:4" x14ac:dyDescent="0.25">
      <c r="A79" s="46" t="s">
        <v>36</v>
      </c>
      <c r="B79" s="48">
        <v>-161308.45181999999</v>
      </c>
      <c r="C79" s="48">
        <v>-152980.64199999999</v>
      </c>
      <c r="D79" s="61">
        <f>IF(OR(-161308.45182="",-152980.642="",-161308.45182=0,-152980.642=0),"-",-152980.642/-161308.45182*100)</f>
        <v>94.837338201415022</v>
      </c>
    </row>
    <row r="80" spans="1:4" x14ac:dyDescent="0.25">
      <c r="A80" s="54" t="s">
        <v>218</v>
      </c>
      <c r="B80" s="55">
        <v>667.02840000000003</v>
      </c>
      <c r="C80" s="55">
        <v>235.53342000000001</v>
      </c>
      <c r="D80" s="62">
        <f>IF(667.0284="","-",235.53342/667.0284*100)</f>
        <v>35.310853330982603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2021-01-14T10:34:18Z</cp:lastPrinted>
  <dcterms:created xsi:type="dcterms:W3CDTF">2016-09-01T07:59:47Z</dcterms:created>
  <dcterms:modified xsi:type="dcterms:W3CDTF">2021-01-14T10:38:23Z</dcterms:modified>
</cp:coreProperties>
</file>