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7_2021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D150" i="3" l="1"/>
  <c r="D148" i="3"/>
  <c r="D147" i="3"/>
  <c r="D144" i="3"/>
  <c r="D141" i="3"/>
  <c r="D136" i="3"/>
  <c r="D134" i="3"/>
  <c r="D129" i="3"/>
  <c r="D127" i="3"/>
  <c r="D126" i="3"/>
  <c r="D125" i="3"/>
  <c r="D123" i="3"/>
  <c r="D120" i="3"/>
  <c r="D119" i="3"/>
  <c r="D113" i="3"/>
  <c r="D112" i="3"/>
  <c r="D108" i="3"/>
  <c r="D107" i="3"/>
  <c r="D103" i="3"/>
  <c r="D102" i="3"/>
  <c r="D100" i="3"/>
  <c r="D99" i="3"/>
  <c r="D96" i="3"/>
  <c r="D92" i="3"/>
  <c r="D91" i="3"/>
  <c r="D89" i="3"/>
  <c r="D85" i="3"/>
  <c r="D84" i="3"/>
  <c r="D81" i="3"/>
  <c r="D79" i="3"/>
  <c r="D77" i="3"/>
  <c r="D74" i="3"/>
  <c r="D70" i="3"/>
  <c r="D67" i="3"/>
  <c r="D65" i="3"/>
  <c r="D64" i="3"/>
  <c r="D63" i="3"/>
  <c r="D61" i="3"/>
  <c r="D60" i="3"/>
  <c r="D58" i="3"/>
  <c r="D57" i="3"/>
  <c r="D55" i="3"/>
  <c r="D54" i="3"/>
  <c r="D53" i="3"/>
  <c r="D52" i="3"/>
  <c r="D51" i="3"/>
  <c r="D49" i="3"/>
  <c r="D48" i="3"/>
  <c r="D47" i="3"/>
  <c r="D44" i="3"/>
  <c r="D42" i="3"/>
  <c r="D41" i="3"/>
  <c r="D38" i="3"/>
  <c r="D37" i="3"/>
  <c r="D36" i="3"/>
  <c r="D35" i="3"/>
  <c r="D33" i="3"/>
  <c r="D28" i="3"/>
  <c r="D27" i="3"/>
  <c r="D24" i="3"/>
  <c r="D23" i="3"/>
  <c r="D22" i="3"/>
  <c r="D20" i="3"/>
  <c r="D19" i="3"/>
  <c r="D12" i="3"/>
  <c r="D11" i="3"/>
  <c r="D10" i="3"/>
  <c r="D8" i="3"/>
  <c r="D5" i="3"/>
  <c r="E39" i="8" l="1"/>
  <c r="D39" i="8"/>
  <c r="E38" i="8"/>
  <c r="D38" i="8"/>
  <c r="E37" i="8"/>
  <c r="D37" i="8"/>
  <c r="E36" i="8"/>
  <c r="D36" i="8"/>
  <c r="D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9" i="7" l="1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80" i="4" l="1"/>
  <c r="E75" i="4"/>
  <c r="E74" i="4"/>
  <c r="E73" i="4"/>
  <c r="E70" i="4"/>
  <c r="E68" i="4"/>
  <c r="E67" i="4"/>
  <c r="E65" i="4"/>
  <c r="E64" i="4"/>
  <c r="E63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28" i="4"/>
  <c r="E26" i="4"/>
  <c r="E24" i="4"/>
  <c r="E23" i="4"/>
  <c r="E22" i="4"/>
  <c r="E21" i="4"/>
  <c r="E20" i="4"/>
  <c r="E19" i="4"/>
  <c r="E18" i="4"/>
  <c r="E16" i="4"/>
  <c r="E14" i="4"/>
  <c r="E13" i="4"/>
  <c r="E12" i="4"/>
  <c r="E11" i="4"/>
  <c r="E10" i="4"/>
  <c r="E9" i="4"/>
  <c r="E6" i="4"/>
  <c r="H80" i="6" l="1"/>
  <c r="G80" i="6"/>
  <c r="F80" i="6"/>
  <c r="E80" i="6"/>
  <c r="D80" i="6"/>
  <c r="H79" i="6"/>
  <c r="G79" i="6"/>
  <c r="F79" i="6"/>
  <c r="E79" i="6"/>
  <c r="D79" i="6"/>
  <c r="H78" i="6"/>
  <c r="G78" i="6"/>
  <c r="F78" i="6"/>
  <c r="E78" i="6"/>
  <c r="H77" i="6"/>
  <c r="G77" i="6"/>
  <c r="F77" i="6"/>
  <c r="E77" i="6"/>
  <c r="H76" i="6"/>
  <c r="G76" i="6"/>
  <c r="F76" i="6"/>
  <c r="E76" i="6"/>
  <c r="D76" i="6"/>
  <c r="H75" i="6"/>
  <c r="G75" i="6"/>
  <c r="F75" i="6"/>
  <c r="E75" i="6"/>
  <c r="H74" i="6"/>
  <c r="G74" i="6"/>
  <c r="F74" i="6"/>
  <c r="E74" i="6"/>
  <c r="H73" i="6"/>
  <c r="G73" i="6"/>
  <c r="F73" i="6"/>
  <c r="E73" i="6"/>
  <c r="D73" i="6"/>
  <c r="H72" i="6"/>
  <c r="G72" i="6"/>
  <c r="F72" i="6"/>
  <c r="E72" i="6"/>
  <c r="H71" i="6"/>
  <c r="G71" i="6"/>
  <c r="F71" i="6"/>
  <c r="E71" i="6"/>
  <c r="H70" i="6"/>
  <c r="G70" i="6"/>
  <c r="F70" i="6"/>
  <c r="E70" i="6"/>
  <c r="D70" i="6"/>
  <c r="H69" i="6"/>
  <c r="G69" i="6"/>
  <c r="F69" i="6"/>
  <c r="E69" i="6"/>
  <c r="H68" i="6"/>
  <c r="G68" i="6"/>
  <c r="F68" i="6"/>
  <c r="E68" i="6"/>
  <c r="H67" i="6"/>
  <c r="G67" i="6"/>
  <c r="F67" i="6"/>
  <c r="E67" i="6"/>
  <c r="D67" i="6"/>
  <c r="H66" i="6"/>
  <c r="G66" i="6"/>
  <c r="F66" i="6"/>
  <c r="E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D35" i="6"/>
  <c r="H34" i="6"/>
  <c r="G34" i="6"/>
  <c r="F34" i="6"/>
  <c r="E34" i="6"/>
  <c r="D34" i="6"/>
  <c r="H33" i="6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H26" i="6"/>
  <c r="G26" i="6"/>
  <c r="F26" i="6"/>
  <c r="E26" i="6"/>
  <c r="D26" i="6"/>
  <c r="H25" i="6"/>
  <c r="G25" i="6"/>
  <c r="F25" i="6"/>
  <c r="E25" i="6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H7" i="6"/>
  <c r="G7" i="6"/>
  <c r="D7" i="6"/>
  <c r="H79" i="5" l="1"/>
  <c r="G79" i="5"/>
  <c r="F79" i="5"/>
  <c r="E79" i="5"/>
  <c r="D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H70" i="5"/>
  <c r="G70" i="5"/>
  <c r="F70" i="5"/>
  <c r="E70" i="5"/>
  <c r="D70" i="5"/>
  <c r="H69" i="5"/>
  <c r="G69" i="5"/>
  <c r="F69" i="5"/>
  <c r="E69" i="5"/>
  <c r="H68" i="5"/>
  <c r="G68" i="5"/>
  <c r="F68" i="5"/>
  <c r="E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H58" i="5"/>
  <c r="G58" i="5"/>
  <c r="F58" i="5"/>
  <c r="E58" i="5"/>
  <c r="D58" i="5"/>
  <c r="H57" i="5"/>
  <c r="G57" i="5"/>
  <c r="F57" i="5"/>
  <c r="E57" i="5"/>
  <c r="H56" i="5"/>
  <c r="G56" i="5"/>
  <c r="F56" i="5"/>
  <c r="E56" i="5"/>
  <c r="D56" i="5"/>
  <c r="H55" i="5"/>
  <c r="G55" i="5"/>
  <c r="F55" i="5"/>
  <c r="E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D52" i="5"/>
  <c r="H51" i="5"/>
  <c r="G51" i="5"/>
  <c r="F51" i="5"/>
  <c r="E51" i="5"/>
  <c r="H50" i="5"/>
  <c r="G50" i="5"/>
  <c r="F50" i="5"/>
  <c r="E50" i="5"/>
  <c r="H49" i="5"/>
  <c r="G49" i="5"/>
  <c r="F49" i="5"/>
  <c r="E49" i="5"/>
  <c r="H48" i="5"/>
  <c r="G48" i="5"/>
  <c r="F48" i="5"/>
  <c r="E48" i="5"/>
  <c r="H47" i="5"/>
  <c r="G47" i="5"/>
  <c r="F47" i="5"/>
  <c r="E47" i="5"/>
  <c r="D47" i="5"/>
  <c r="H46" i="5"/>
  <c r="G46" i="5"/>
  <c r="F46" i="5"/>
  <c r="E46" i="5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D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H36" i="5"/>
  <c r="G36" i="5"/>
  <c r="F36" i="5"/>
  <c r="E36" i="5"/>
  <c r="D36" i="5"/>
  <c r="H35" i="5"/>
  <c r="G35" i="5"/>
  <c r="F35" i="5"/>
  <c r="E35" i="5"/>
  <c r="D35" i="5"/>
  <c r="H34" i="5"/>
  <c r="G34" i="5"/>
  <c r="F34" i="5"/>
  <c r="E34" i="5"/>
  <c r="H33" i="5"/>
  <c r="G33" i="5"/>
  <c r="F33" i="5"/>
  <c r="E33" i="5"/>
  <c r="H32" i="5"/>
  <c r="G32" i="5"/>
  <c r="F32" i="5"/>
  <c r="E32" i="5"/>
  <c r="H31" i="5"/>
  <c r="G31" i="5"/>
  <c r="F31" i="5"/>
  <c r="E31" i="5"/>
  <c r="D31" i="5"/>
  <c r="H30" i="5"/>
  <c r="G30" i="5"/>
  <c r="F30" i="5"/>
  <c r="E30" i="5"/>
  <c r="H29" i="5"/>
  <c r="G29" i="5"/>
  <c r="F29" i="5"/>
  <c r="E29" i="5"/>
  <c r="D29" i="5"/>
  <c r="H28" i="5"/>
  <c r="G28" i="5"/>
  <c r="F28" i="5"/>
  <c r="E28" i="5"/>
  <c r="H27" i="5"/>
  <c r="G27" i="5"/>
  <c r="F27" i="5"/>
  <c r="E27" i="5"/>
  <c r="H26" i="5"/>
  <c r="G26" i="5"/>
  <c r="F26" i="5"/>
  <c r="E26" i="5"/>
  <c r="D26" i="5"/>
  <c r="H25" i="5"/>
  <c r="G25" i="5"/>
  <c r="F25" i="5"/>
  <c r="E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H11" i="5"/>
  <c r="G11" i="5"/>
  <c r="F11" i="5"/>
  <c r="E11" i="5"/>
  <c r="D11" i="5"/>
  <c r="H10" i="5"/>
  <c r="G10" i="5"/>
  <c r="F10" i="5"/>
  <c r="E10" i="5"/>
  <c r="H9" i="5"/>
  <c r="G9" i="5"/>
  <c r="F9" i="5"/>
  <c r="E9" i="5"/>
  <c r="D9" i="5"/>
  <c r="H8" i="5"/>
  <c r="G8" i="5"/>
  <c r="F8" i="5"/>
  <c r="E8" i="5"/>
  <c r="D8" i="5"/>
  <c r="H7" i="5"/>
  <c r="G7" i="5"/>
  <c r="D7" i="5"/>
  <c r="G120" i="2" l="1"/>
  <c r="F120" i="2"/>
  <c r="E120" i="2"/>
  <c r="D120" i="2"/>
  <c r="G119" i="2"/>
  <c r="F119" i="2"/>
  <c r="E119" i="2"/>
  <c r="D119" i="2"/>
  <c r="G118" i="2"/>
  <c r="F118" i="2"/>
  <c r="E118" i="2"/>
  <c r="D118" i="2"/>
  <c r="C118" i="2"/>
  <c r="G117" i="2"/>
  <c r="F117" i="2"/>
  <c r="E117" i="2"/>
  <c r="D117" i="2"/>
  <c r="G116" i="2"/>
  <c r="F116" i="2"/>
  <c r="E116" i="2"/>
  <c r="D116" i="2"/>
  <c r="C116" i="2"/>
  <c r="G115" i="2"/>
  <c r="F115" i="2"/>
  <c r="E115" i="2"/>
  <c r="D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G111" i="2"/>
  <c r="F111" i="2"/>
  <c r="E111" i="2"/>
  <c r="D111" i="2"/>
  <c r="C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C108" i="2"/>
  <c r="G107" i="2"/>
  <c r="F107" i="2"/>
  <c r="E107" i="2"/>
  <c r="D107" i="2"/>
  <c r="C107" i="2"/>
  <c r="G106" i="2"/>
  <c r="F106" i="2"/>
  <c r="E106" i="2"/>
  <c r="D106" i="2"/>
  <c r="C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C103" i="2"/>
  <c r="G102" i="2"/>
  <c r="F102" i="2"/>
  <c r="E102" i="2"/>
  <c r="D102" i="2"/>
  <c r="C102" i="2"/>
  <c r="G101" i="2"/>
  <c r="F101" i="2"/>
  <c r="E101" i="2"/>
  <c r="D101" i="2"/>
  <c r="C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G91" i="2"/>
  <c r="F91" i="2"/>
  <c r="E91" i="2"/>
  <c r="D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G86" i="2"/>
  <c r="F86" i="2"/>
  <c r="E86" i="2"/>
  <c r="D86" i="2"/>
  <c r="C86" i="2"/>
  <c r="G85" i="2"/>
  <c r="F85" i="2"/>
  <c r="E85" i="2"/>
  <c r="D85" i="2"/>
  <c r="G84" i="2"/>
  <c r="F84" i="2"/>
  <c r="E84" i="2"/>
  <c r="D84" i="2"/>
  <c r="C84" i="2"/>
  <c r="G83" i="2"/>
  <c r="F83" i="2"/>
  <c r="E83" i="2"/>
  <c r="D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G75" i="2"/>
  <c r="F75" i="2"/>
  <c r="E75" i="2"/>
  <c r="D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G46" i="2"/>
  <c r="F46" i="2"/>
  <c r="E46" i="2"/>
  <c r="D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C31" i="2"/>
  <c r="G30" i="2"/>
  <c r="F30" i="2"/>
  <c r="E30" i="2"/>
  <c r="D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6" i="2"/>
  <c r="F6" i="2"/>
  <c r="C6" i="2"/>
  <c r="G111" i="1" l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G99" i="1"/>
  <c r="F99" i="1"/>
  <c r="E99" i="1"/>
  <c r="D99" i="1"/>
  <c r="C99" i="1"/>
  <c r="G98" i="1"/>
  <c r="F98" i="1"/>
  <c r="E98" i="1"/>
  <c r="D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G91" i="1"/>
  <c r="F91" i="1"/>
  <c r="E91" i="1"/>
  <c r="D91" i="1"/>
  <c r="C91" i="1"/>
  <c r="G90" i="1"/>
  <c r="F90" i="1"/>
  <c r="E90" i="1"/>
  <c r="D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G86" i="1"/>
  <c r="F86" i="1"/>
  <c r="E86" i="1"/>
  <c r="D86" i="1"/>
  <c r="G85" i="1"/>
  <c r="F85" i="1"/>
  <c r="E85" i="1"/>
  <c r="D85" i="1"/>
  <c r="C85" i="1"/>
  <c r="G84" i="1"/>
  <c r="F84" i="1"/>
  <c r="E84" i="1"/>
  <c r="D84" i="1"/>
  <c r="G83" i="1"/>
  <c r="F83" i="1"/>
  <c r="E83" i="1"/>
  <c r="D83" i="1"/>
  <c r="C83" i="1"/>
  <c r="G82" i="1"/>
  <c r="F82" i="1"/>
  <c r="E82" i="1"/>
  <c r="D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G73" i="1"/>
  <c r="F73" i="1"/>
  <c r="E73" i="1"/>
  <c r="D73" i="1"/>
  <c r="C73" i="1"/>
  <c r="G72" i="1"/>
  <c r="F72" i="1"/>
  <c r="E72" i="1"/>
  <c r="D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G66" i="1"/>
  <c r="F66" i="1"/>
  <c r="E66" i="1"/>
  <c r="D66" i="1"/>
  <c r="G65" i="1"/>
  <c r="F65" i="1"/>
  <c r="E65" i="1"/>
  <c r="D65" i="1"/>
  <c r="C65" i="1"/>
  <c r="G64" i="1"/>
  <c r="F64" i="1"/>
  <c r="E64" i="1"/>
  <c r="D64" i="1"/>
  <c r="G63" i="1"/>
  <c r="F63" i="1"/>
  <c r="E63" i="1"/>
  <c r="D63" i="1"/>
  <c r="C63" i="1"/>
  <c r="G62" i="1"/>
  <c r="F62" i="1"/>
  <c r="E62" i="1"/>
  <c r="D62" i="1"/>
  <c r="G61" i="1"/>
  <c r="F61" i="1"/>
  <c r="E61" i="1"/>
  <c r="D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G54" i="1"/>
  <c r="F54" i="1"/>
  <c r="E54" i="1"/>
  <c r="D54" i="1"/>
  <c r="C54" i="1"/>
  <c r="G53" i="1"/>
  <c r="F53" i="1"/>
  <c r="E53" i="1"/>
  <c r="D53" i="1"/>
  <c r="G52" i="1"/>
  <c r="F52" i="1"/>
  <c r="E52" i="1"/>
  <c r="D52" i="1"/>
  <c r="C52" i="1"/>
  <c r="G51" i="1"/>
  <c r="F51" i="1"/>
  <c r="E51" i="1"/>
  <c r="D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C42" i="1"/>
  <c r="G41" i="1"/>
  <c r="F41" i="1"/>
  <c r="E41" i="1"/>
  <c r="D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G32" i="1"/>
  <c r="F32" i="1"/>
  <c r="E32" i="1"/>
  <c r="D32" i="1"/>
  <c r="G31" i="1"/>
  <c r="F31" i="1"/>
  <c r="E31" i="1"/>
  <c r="D31" i="1"/>
  <c r="C31" i="1"/>
  <c r="G30" i="1"/>
  <c r="F30" i="1"/>
  <c r="E30" i="1"/>
  <c r="D30" i="1"/>
  <c r="G29" i="1"/>
  <c r="F29" i="1"/>
  <c r="E29" i="1"/>
  <c r="D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G20" i="1"/>
  <c r="F20" i="1"/>
  <c r="E20" i="1"/>
  <c r="D20" i="1"/>
  <c r="C20" i="1"/>
  <c r="G19" i="1"/>
  <c r="F19" i="1"/>
  <c r="E19" i="1"/>
  <c r="D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6" i="1"/>
  <c r="F6" i="1"/>
  <c r="C6" i="1"/>
</calcChain>
</file>

<file path=xl/sharedStrings.xml><?xml version="1.0" encoding="utf-8"?>
<sst xmlns="http://schemas.openxmlformats.org/spreadsheetml/2006/main" count="1170" uniqueCount="411">
  <si>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</si>
  <si>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</si>
  <si>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</si>
  <si>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</si>
  <si>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</si>
  <si>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</si>
  <si>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</si>
  <si>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</si>
  <si>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</si>
  <si>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</si>
  <si>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</si>
  <si>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</si>
  <si>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</si>
  <si>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</si>
  <si>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</si>
  <si>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</si>
  <si>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</si>
  <si>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</si>
  <si>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</si>
  <si>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</si>
  <si>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</si>
  <si>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</si>
  <si>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</si>
  <si>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</si>
  <si>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</si>
  <si>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</si>
  <si>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</si>
  <si>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</si>
  <si>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</si>
  <si>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</si>
  <si>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</si>
  <si>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</si>
  <si>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</si>
  <si>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</si>
  <si>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</si>
  <si>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</si>
  <si>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</si>
  <si>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</si>
  <si>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</si>
  <si>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</si>
  <si>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</si>
  <si>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</si>
  <si>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</si>
  <si>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</si>
  <si>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</si>
  <si>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</si>
  <si>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</si>
  <si>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</si>
  <si>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</si>
  <si>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</si>
  <si>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</si>
  <si>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</si>
  <si>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</si>
  <si>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</si>
  <si>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</si>
  <si>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</si>
  <si>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</si>
  <si>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</si>
  <si>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</si>
  <si>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</si>
  <si>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</si>
  <si>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</si>
  <si>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</si>
  <si>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</si>
  <si>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</si>
  <si>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</si>
  <si>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</si>
  <si>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</si>
  <si>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</si>
  <si>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</si>
  <si>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</si>
  <si>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</si>
  <si>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</si>
  <si>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</si>
  <si>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</si>
  <si>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</si>
  <si>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</si>
  <si>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</si>
  <si>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</si>
  <si>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</si>
  <si>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</si>
  <si>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</si>
  <si>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</si>
  <si>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</si>
  <si>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</si>
  <si>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</si>
  <si>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</si>
  <si>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</si>
  <si>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</si>
  <si>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</si>
  <si>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</si>
  <si>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</si>
  <si>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</si>
  <si>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</si>
  <si>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</si>
  <si>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</si>
  <si>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</si>
  <si>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</si>
  <si>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</si>
  <si>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</si>
  <si>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</si>
  <si>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</si>
  <si>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</si>
  <si>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</si>
  <si>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</si>
  <si>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</si>
  <si>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</si>
  <si>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</si>
  <si>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</si>
  <si>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</si>
  <si>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</si>
  <si>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</si>
  <si>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</si>
  <si>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</si>
  <si>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</si>
  <si>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</si>
  <si>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</si>
  <si>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</si>
  <si>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</si>
  <si>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</si>
  <si>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</si>
  <si>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</si>
  <si>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Regatul Unit al Marii Britanii şi Irlandei de Nord</t>
  </si>
  <si>
    <t>Franţa</t>
  </si>
  <si>
    <t>Croaţia</t>
  </si>
  <si>
    <t>Federaţia Rusă</t>
  </si>
  <si>
    <t>Kârgâzstan</t>
  </si>
  <si>
    <t>Elveţia</t>
  </si>
  <si>
    <t>Siria</t>
  </si>
  <si>
    <t>IMPORT - total</t>
  </si>
  <si>
    <t>Etiopia</t>
  </si>
  <si>
    <t>Bahrain</t>
  </si>
  <si>
    <t>Senegal</t>
  </si>
  <si>
    <t xml:space="preserve">   din care:</t>
  </si>
  <si>
    <t xml:space="preserve">IMPORT - total      </t>
  </si>
  <si>
    <t>Burkina Faso</t>
  </si>
  <si>
    <t>Macedonia de Nord</t>
  </si>
  <si>
    <t>Cote D'Ivoire</t>
  </si>
  <si>
    <t>Insulele Feroe</t>
  </si>
  <si>
    <t>Laos</t>
  </si>
  <si>
    <t xml:space="preserve">     din care:</t>
  </si>
  <si>
    <t>Republica Yemen</t>
  </si>
  <si>
    <t>Zimbabwe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</si>
  <si>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</si>
  <si>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</si>
  <si>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</si>
  <si>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</si>
  <si>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</si>
  <si>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</si>
  <si>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</si>
  <si>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</si>
  <si>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</si>
  <si>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</si>
  <si>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</si>
  <si>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</si>
  <si>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</si>
  <si>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</si>
  <si>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</si>
  <si>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Sri Lanka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</si>
  <si>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</si>
  <si>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</si>
  <si>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</si>
  <si>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</si>
  <si>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</si>
  <si>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</si>
  <si>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</si>
  <si>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</si>
  <si>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</si>
  <si>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</si>
  <si>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</si>
  <si>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</si>
  <si>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</si>
  <si>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</si>
  <si>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</si>
  <si>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</si>
  <si>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</si>
  <si>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</si>
  <si>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</si>
  <si>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</si>
  <si>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</si>
  <si>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</si>
  <si>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</si>
  <si>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</si>
  <si>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</si>
  <si>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</si>
  <si>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</si>
  <si>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</si>
  <si>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</si>
  <si>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</si>
  <si>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</si>
  <si>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</si>
  <si>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</si>
  <si>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</si>
  <si>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</si>
  <si>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</si>
  <si>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</si>
  <si>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</si>
  <si>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</si>
  <si>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</si>
  <si>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</si>
  <si>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</si>
  <si>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</si>
  <si>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</si>
  <si>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</si>
  <si>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</si>
  <si>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</si>
  <si>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</si>
  <si>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</si>
  <si>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</si>
  <si>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</si>
  <si>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</si>
  <si>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</si>
  <si>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</si>
  <si>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</si>
  <si>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</si>
  <si>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</si>
  <si>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</si>
  <si>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</si>
  <si>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</si>
  <si>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</si>
  <si>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de 2,2 ori</t>
  </si>
  <si>
    <t>de 1,8 ori</t>
  </si>
  <si>
    <t>Țările CSI - total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</si>
  <si>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</si>
  <si>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</si>
  <si>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</si>
  <si>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</si>
  <si>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</si>
  <si>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BALANŢA COMERCIALĂ – total, mii dolari SUA</t>
  </si>
  <si>
    <t>de 2,5 ori</t>
  </si>
  <si>
    <t>Bosnia şi Herţegovina</t>
  </si>
  <si>
    <t>Libia</t>
  </si>
  <si>
    <t>Statul Palestina</t>
  </si>
  <si>
    <t>de 2,3 ori</t>
  </si>
  <si>
    <t>de 1,5 ori</t>
  </si>
  <si>
    <t>Kosovo</t>
  </si>
  <si>
    <t>Afganistan</t>
  </si>
  <si>
    <t>Tanzania</t>
  </si>
  <si>
    <t>Nicaragua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</si>
  <si>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</si>
  <si>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</si>
  <si>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</si>
  <si>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</si>
  <si>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</si>
  <si>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</si>
  <si>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</si>
  <si>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</si>
  <si>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</si>
  <si>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</si>
  <si>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</si>
  <si>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</si>
  <si>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</si>
  <si>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</si>
  <si>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</si>
  <si>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</si>
  <si>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</si>
  <si>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</si>
  <si>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</si>
  <si>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</si>
  <si>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</si>
  <si>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</si>
  <si>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</si>
  <si>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</si>
  <si>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</si>
  <si>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</si>
  <si>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</si>
  <si>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</si>
  <si>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</si>
  <si>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</si>
  <si>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</si>
  <si>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</si>
  <si>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</si>
  <si>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</si>
  <si>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</si>
  <si>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</si>
  <si>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</si>
  <si>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</si>
  <si>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</si>
  <si>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</si>
  <si>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</si>
  <si>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</si>
  <si>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</si>
  <si>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</si>
  <si>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</si>
  <si>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</si>
  <si>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</si>
  <si>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</si>
  <si>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</si>
  <si>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</si>
  <si>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</si>
  <si>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</si>
  <si>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</si>
  <si>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</si>
  <si>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</si>
  <si>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</si>
  <si>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</si>
  <si>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</si>
  <si>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</si>
  <si>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</si>
  <si>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</si>
  <si>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</si>
  <si>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</si>
  <si>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</si>
  <si>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</si>
  <si>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</si>
  <si>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</si>
  <si>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</si>
  <si>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</si>
  <si>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</si>
  <si>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de 2,6 ori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</si>
  <si>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</si>
  <si>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</si>
  <si>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</si>
  <si>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</si>
  <si>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</si>
  <si>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</si>
  <si>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Sierra Leone</t>
  </si>
  <si>
    <t>de 2,9 ori</t>
  </si>
  <si>
    <t>-</t>
  </si>
  <si>
    <t>de 2,7 ori</t>
  </si>
  <si>
    <t>de 2,4 ori</t>
  </si>
  <si>
    <t>35</t>
  </si>
  <si>
    <t>Energie electrica</t>
  </si>
  <si>
    <t>de 4,3 ori</t>
  </si>
  <si>
    <t>Energie electrică</t>
  </si>
  <si>
    <t>BALANŢA COMERCIALĂ - total, mii dolari SUA</t>
  </si>
  <si>
    <t>mii dolari                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</si>
  <si>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</si>
  <si>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</si>
  <si>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r>
      <t xml:space="preserve">  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Faţă de perioada corespunzătoare din anul precedent</t>
    </r>
  </si>
  <si>
    <t>de 131,7 ori</t>
  </si>
  <si>
    <t>de 4,2 ori</t>
  </si>
  <si>
    <t xml:space="preserve">Ţări cu codul tarii de origine a marfii "EU" </t>
  </si>
  <si>
    <t>Andorra</t>
  </si>
  <si>
    <t>Mauritius</t>
  </si>
  <si>
    <t>Republica Dominicană</t>
  </si>
  <si>
    <t>de 3,0 ori</t>
  </si>
  <si>
    <t xml:space="preserve">      din care:</t>
  </si>
  <si>
    <t>de 3,1 ori</t>
  </si>
  <si>
    <t>de 5,8 ori</t>
  </si>
  <si>
    <t>Celelalte țări ale lumii</t>
  </si>
  <si>
    <t>de 8,2 ori</t>
  </si>
  <si>
    <t>de 3,4 ori</t>
  </si>
  <si>
    <t>Țările Uniunii Europene - total</t>
  </si>
  <si>
    <t>Trinidad Tobago</t>
  </si>
  <si>
    <t>Congo</t>
  </si>
  <si>
    <t>Gambia</t>
  </si>
  <si>
    <t>Angola</t>
  </si>
  <si>
    <t>de 2,8 ori</t>
  </si>
  <si>
    <t>Ianuarie - iulie 2021</t>
  </si>
  <si>
    <t>în % faţă de ianuarie - iulie 2020 ¹</t>
  </si>
  <si>
    <t>ianuarie - iulie</t>
  </si>
  <si>
    <t>în % faţă de ianuarie-iulie 2020 ¹</t>
  </si>
  <si>
    <t>Ianuarie - iulie</t>
  </si>
  <si>
    <t>Ianuarie - iulie 2021        în % faţă de            ianuarie - iulie 2020 ¹</t>
  </si>
  <si>
    <t>Mărfuri manufacturate, clasificate iulie ales după materia primă</t>
  </si>
  <si>
    <r>
      <t xml:space="preserve">ianuarie - iulie </t>
    </r>
    <r>
      <rPr>
        <b/>
        <vertAlign val="superscript"/>
        <sz val="10"/>
        <color indexed="8"/>
        <rFont val="Times New Roman"/>
        <family val="1"/>
        <charset val="204"/>
      </rPr>
      <t>1,2</t>
    </r>
  </si>
  <si>
    <t>Ianuarie - iulie 2021 în % faţă de            ianuarie - iulie 2020 ¹</t>
  </si>
  <si>
    <r>
      <t xml:space="preserve">ianuarie - iulie </t>
    </r>
    <r>
      <rPr>
        <b/>
        <vertAlign val="superscript"/>
        <sz val="10"/>
        <rFont val="Times New Roman"/>
        <family val="1"/>
        <charset val="204"/>
      </rPr>
      <t>1,2</t>
    </r>
  </si>
  <si>
    <r>
      <t>ianuarie - iulie</t>
    </r>
    <r>
      <rPr>
        <b/>
        <vertAlign val="superscript"/>
        <sz val="10"/>
        <rFont val="Times New Roman"/>
        <family val="1"/>
        <charset val="204"/>
      </rPr>
      <t xml:space="preserve"> 1,2</t>
    </r>
  </si>
  <si>
    <t>Insulele Turks şi Caicos</t>
  </si>
  <si>
    <t>Madagascar</t>
  </si>
  <si>
    <t>Nepal</t>
  </si>
  <si>
    <t>Togo</t>
  </si>
  <si>
    <t>de 30,9 ori</t>
  </si>
  <si>
    <t>de 11,6 ori</t>
  </si>
  <si>
    <t>de 22,9 ori</t>
  </si>
  <si>
    <t>de 4,5 ori</t>
  </si>
  <si>
    <t>de 5,3 ori</t>
  </si>
  <si>
    <t>de 9,3 ori</t>
  </si>
  <si>
    <t>de 6,9 ori</t>
  </si>
  <si>
    <t>de 106,3 ori</t>
  </si>
  <si>
    <t>de 10,5 ori</t>
  </si>
  <si>
    <t>de 14,1 ori</t>
  </si>
  <si>
    <t>Kâirgâzstan</t>
  </si>
  <si>
    <t>Bosnia şi Hertegovina</t>
  </si>
  <si>
    <t>San Marino</t>
  </si>
  <si>
    <t>Malawi</t>
  </si>
  <si>
    <t>de 75,8 ori</t>
  </si>
  <si>
    <t>de 4,6 ori</t>
  </si>
  <si>
    <t>de 23,8 ori</t>
  </si>
  <si>
    <t>de 3,6 ori</t>
  </si>
  <si>
    <t>de 8,5 ori</t>
  </si>
  <si>
    <t>de 403,9 ori</t>
  </si>
  <si>
    <t>de 13,4 ori</t>
  </si>
  <si>
    <t>de 3,7 ori</t>
  </si>
  <si>
    <t>de 4,9 ori</t>
  </si>
  <si>
    <t>de 6,7 ori</t>
  </si>
  <si>
    <t>de 471,3 ori</t>
  </si>
  <si>
    <t>de 7,2 ori</t>
  </si>
  <si>
    <t>de 12,8 ori</t>
  </si>
  <si>
    <t>de 6,6 ori</t>
  </si>
  <si>
    <t xml:space="preserve">Tari cu codul ţării de origine a mărfii "EU" </t>
  </si>
  <si>
    <t>Barbados</t>
  </si>
  <si>
    <t>Guatemala</t>
  </si>
  <si>
    <t>Coreea de Nord</t>
  </si>
  <si>
    <t>Honduras</t>
  </si>
  <si>
    <t>Bolivia</t>
  </si>
  <si>
    <t>Mauritania</t>
  </si>
  <si>
    <t>Groenlanda</t>
  </si>
  <si>
    <t>Paraguay</t>
  </si>
  <si>
    <t>Montenegro</t>
  </si>
  <si>
    <t>Panama</t>
  </si>
  <si>
    <t>Djibouti</t>
  </si>
  <si>
    <t>de 43,8 ori</t>
  </si>
  <si>
    <t>de 15,7 ori</t>
  </si>
  <si>
    <t>de 8,8 ori</t>
  </si>
  <si>
    <t>de 4,4 ori</t>
  </si>
  <si>
    <t>de 27,0 ori</t>
  </si>
  <si>
    <t>de 4,1 ori</t>
  </si>
  <si>
    <t>de 3,9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</si>
</sst>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9"/>
      <color indexed="8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31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4" fillId="0" borderId="0" xfId="0" applyFont="1"/>
    <xf numFmtId="4" fontId="23" fillId="0" borderId="0" xfId="0" applyNumberFormat="1" applyFont="1" applyFill="1" applyAlignment="1" applyProtection="1">
      <alignment horizontal="right" vertical="top" indent="1"/>
    </xf>
    <xf numFmtId="4" fontId="23" fillId="0" borderId="0" xfId="0" applyNumberFormat="1" applyFont="1" applyFill="1" applyAlignment="1" applyProtection="1">
      <alignment horizontal="right" vertical="top" wrapText="1" indent="1"/>
    </xf>
    <xf numFmtId="4" fontId="23" fillId="0" borderId="0" xfId="0" applyNumberFormat="1" applyFont="1" applyFill="1" applyBorder="1" applyAlignment="1" applyProtection="1">
      <alignment horizontal="right" vertical="top" wrapText="1" indent="1"/>
    </xf>
    <xf numFmtId="4" fontId="25" fillId="0" borderId="0" xfId="0" applyNumberFormat="1" applyFont="1" applyAlignment="1">
      <alignment horizontal="right" vertical="top" indent="2"/>
    </xf>
    <xf numFmtId="0" fontId="24" fillId="0" borderId="0" xfId="0" applyFont="1" applyAlignment="1">
      <alignment horizontal="right" vertical="top" indent="2"/>
    </xf>
    <xf numFmtId="4" fontId="23" fillId="0" borderId="0" xfId="0" applyNumberFormat="1" applyFont="1" applyFill="1" applyBorder="1" applyAlignment="1" applyProtection="1">
      <alignment horizontal="right" vertical="top"/>
    </xf>
    <xf numFmtId="4" fontId="25" fillId="0" borderId="0" xfId="0" applyNumberFormat="1" applyFont="1" applyAlignment="1">
      <alignment horizontal="right" vertical="top"/>
    </xf>
    <xf numFmtId="4" fontId="11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center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0" fontId="24" fillId="0" borderId="0" xfId="0" applyFont="1" applyAlignment="1">
      <alignment horizontal="center" vertical="top"/>
    </xf>
    <xf numFmtId="0" fontId="29" fillId="0" borderId="0" xfId="0" applyFont="1" applyAlignment="1">
      <alignment horizontal="left"/>
    </xf>
    <xf numFmtId="38" fontId="29" fillId="0" borderId="0" xfId="0" applyNumberFormat="1" applyFont="1" applyFill="1" applyBorder="1" applyAlignment="1" applyProtection="1">
      <alignment horizontal="left" wrapText="1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3" fillId="0" borderId="5" xfId="0" applyNumberFormat="1" applyFont="1" applyFill="1" applyBorder="1" applyAlignment="1" applyProtection="1">
      <alignment horizontal="center" vertical="top"/>
    </xf>
    <xf numFmtId="38" fontId="11" fillId="0" borderId="3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32" fillId="0" borderId="5" xfId="0" applyNumberFormat="1" applyFont="1" applyFill="1" applyBorder="1" applyAlignment="1" applyProtection="1">
      <alignment horizontal="left" wrapText="1" indent="1"/>
    </xf>
    <xf numFmtId="4" fontId="32" fillId="0" borderId="5" xfId="0" applyNumberFormat="1" applyFont="1" applyFill="1" applyBorder="1" applyAlignment="1" applyProtection="1">
      <alignment horizontal="right" vertical="top"/>
    </xf>
    <xf numFmtId="4" fontId="32" fillId="0" borderId="5" xfId="0" applyNumberFormat="1" applyFont="1" applyFill="1" applyBorder="1" applyAlignment="1" applyProtection="1">
      <alignment horizontal="right" vertical="top" indent="1"/>
    </xf>
    <xf numFmtId="0" fontId="9" fillId="0" borderId="0" xfId="0" applyNumberFormat="1" applyFont="1" applyFill="1" applyBorder="1" applyAlignment="1" applyProtection="1">
      <alignment horizontal="left" wrapText="1"/>
    </xf>
    <xf numFmtId="4" fontId="22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Alignment="1" applyProtection="1">
      <alignment horizontal="left" vertical="top" wrapText="1" indent="1"/>
    </xf>
    <xf numFmtId="4" fontId="11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Alignment="1" applyProtection="1">
      <alignment horizontal="left" vertical="top" wrapText="1" indent="1"/>
    </xf>
    <xf numFmtId="4" fontId="9" fillId="0" borderId="0" xfId="0" applyNumberFormat="1" applyFont="1" applyFill="1" applyAlignment="1" applyProtection="1">
      <alignment horizontal="right" vertical="top" indent="1"/>
    </xf>
    <xf numFmtId="38" fontId="9" fillId="0" borderId="3" xfId="0" applyNumberFormat="1" applyFont="1" applyFill="1" applyBorder="1" applyAlignment="1" applyProtection="1">
      <alignment horizontal="left" vertical="top" wrapText="1" indent="1"/>
    </xf>
    <xf numFmtId="4" fontId="9" fillId="0" borderId="3" xfId="0" applyNumberFormat="1" applyFont="1" applyFill="1" applyBorder="1" applyAlignment="1" applyProtection="1">
      <alignment horizontal="right" vertical="top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32" fillId="0" borderId="5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0" fontId="32" fillId="0" borderId="5" xfId="0" applyNumberFormat="1" applyFont="1" applyFill="1" applyBorder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11" fillId="0" borderId="3" xfId="0" applyNumberFormat="1" applyFont="1" applyFill="1" applyBorder="1" applyAlignment="1" applyProtection="1">
      <alignment horizontal="right" vertical="top" indent="1"/>
    </xf>
    <xf numFmtId="38" fontId="11" fillId="0" borderId="0" xfId="0" applyNumberFormat="1" applyFont="1" applyFill="1" applyBorder="1" applyAlignment="1" applyProtection="1">
      <alignment horizontal="center" vertical="top"/>
    </xf>
    <xf numFmtId="38" fontId="9" fillId="0" borderId="0" xfId="0" applyNumberFormat="1" applyFont="1" applyFill="1" applyBorder="1" applyAlignment="1" applyProtection="1">
      <alignment horizontal="center" vertical="top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32" fillId="0" borderId="5" xfId="0" applyNumberFormat="1" applyFont="1" applyFill="1" applyBorder="1" applyAlignment="1" applyProtection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4" fontId="11" fillId="0" borderId="3" xfId="0" applyNumberFormat="1" applyFont="1" applyFill="1" applyBorder="1" applyAlignment="1" applyProtection="1">
      <alignment horizontal="right" vertical="top" indent="2"/>
    </xf>
    <xf numFmtId="4" fontId="32" fillId="0" borderId="0" xfId="0" applyNumberFormat="1" applyFont="1" applyFill="1" applyAlignment="1" applyProtection="1">
      <alignment horizontal="right" vertical="top" indent="1"/>
    </xf>
    <xf numFmtId="4" fontId="32" fillId="0" borderId="0" xfId="0" applyNumberFormat="1" applyFont="1" applyFill="1" applyAlignment="1" applyProtection="1">
      <alignment horizontal="right" vertical="top" wrapText="1" indent="1"/>
    </xf>
    <xf numFmtId="4" fontId="34" fillId="0" borderId="0" xfId="0" applyNumberFormat="1" applyFont="1" applyAlignment="1">
      <alignment horizontal="right" vertical="top" wrapText="1" indent="1"/>
    </xf>
    <xf numFmtId="4" fontId="23" fillId="0" borderId="0" xfId="0" applyNumberFormat="1" applyFont="1" applyFill="1" applyAlignment="1" applyProtection="1">
      <alignment horizontal="right" vertical="top" wrapText="1"/>
    </xf>
    <xf numFmtId="4" fontId="9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Fill="1" applyAlignment="1" applyProtection="1">
      <alignment horizontal="right" vertical="center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9" fillId="0" borderId="0" xfId="0" applyNumberFormat="1" applyFont="1" applyBorder="1" applyAlignment="1">
      <alignment horizontal="right" vertical="top" indent="1"/>
    </xf>
    <xf numFmtId="2" fontId="9" fillId="0" borderId="3" xfId="0" applyNumberFormat="1" applyFont="1" applyBorder="1" applyAlignment="1">
      <alignment horizontal="right" vertical="top" wrapText="1" indent="1"/>
    </xf>
    <xf numFmtId="0" fontId="32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4" fontId="32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4" fontId="9" fillId="0" borderId="3" xfId="0" applyNumberFormat="1" applyFont="1" applyBorder="1" applyAlignment="1">
      <alignment horizontal="right" vertical="top" indent="1"/>
    </xf>
    <xf numFmtId="164" fontId="9" fillId="0" borderId="0" xfId="0" applyNumberFormat="1" applyFont="1" applyFill="1" applyAlignment="1" applyProtection="1">
      <alignment horizontal="right" vertical="top" indent="2"/>
    </xf>
    <xf numFmtId="0" fontId="11" fillId="0" borderId="0" xfId="0" applyNumberFormat="1" applyFont="1" applyFill="1" applyBorder="1" applyAlignment="1" applyProtection="1">
      <alignment horizontal="left" vertical="top" wrapText="1" indent="1"/>
    </xf>
    <xf numFmtId="4" fontId="9" fillId="0" borderId="3" xfId="0" applyNumberFormat="1" applyFont="1" applyFill="1" applyBorder="1" applyAlignment="1" applyProtection="1">
      <alignment horizontal="right" vertical="top" indent="2"/>
    </xf>
    <xf numFmtId="0" fontId="35" fillId="0" borderId="0" xfId="0" applyFont="1"/>
    <xf numFmtId="0" fontId="2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3"/>
  <sheetViews>
    <sheetView tabSelected="1" zoomScale="99" zoomScaleNormal="99" workbookViewId="0">
      <selection activeCell="C94" sqref="C94"/>
    </sheetView>
  </sheetViews>
  <sheetFormatPr defaultRowHeight="15.75" x14ac:dyDescent="0.25"/>
  <cols>
    <col min="1" max="1" width="30.5" style="7" customWidth="1"/>
    <col min="2" max="2" width="11.75" style="7" customWidth="1"/>
    <col min="3" max="3" width="10.5" style="7" customWidth="1"/>
    <col min="4" max="4" width="8.5" style="7" customWidth="1"/>
    <col min="5" max="5" width="8.25" style="7" customWidth="1"/>
    <col min="6" max="7" width="9.875" style="7" customWidth="1"/>
  </cols>
  <sheetData>
    <row r="1" spans="1:7" x14ac:dyDescent="0.25">
      <c r="A1" s="99" t="s">
        <v>145</v>
      </c>
      <c r="B1" s="99"/>
      <c r="C1" s="99"/>
      <c r="D1" s="99"/>
      <c r="E1" s="99"/>
      <c r="F1" s="99"/>
      <c r="G1" s="99"/>
    </row>
    <row r="3" spans="1:7" ht="54" customHeight="1" x14ac:dyDescent="0.25">
      <c r="A3" s="100"/>
      <c r="B3" s="103" t="s">
        <v>349</v>
      </c>
      <c r="C3" s="104"/>
      <c r="D3" s="103" t="s">
        <v>108</v>
      </c>
      <c r="E3" s="104"/>
      <c r="F3" s="105" t="s">
        <v>1</v>
      </c>
      <c r="G3" s="106"/>
    </row>
    <row r="4" spans="1:7" ht="22.5" customHeight="1" x14ac:dyDescent="0.25">
      <c r="A4" s="101"/>
      <c r="B4" s="107" t="s">
        <v>99</v>
      </c>
      <c r="C4" s="109" t="s">
        <v>350</v>
      </c>
      <c r="D4" s="111" t="s">
        <v>351</v>
      </c>
      <c r="E4" s="111"/>
      <c r="F4" s="111" t="s">
        <v>359</v>
      </c>
      <c r="G4" s="103"/>
    </row>
    <row r="5" spans="1:7" ht="38.25" customHeight="1" x14ac:dyDescent="0.25">
      <c r="A5" s="102"/>
      <c r="B5" s="108"/>
      <c r="C5" s="110"/>
      <c r="D5" s="20">
        <v>2020</v>
      </c>
      <c r="E5" s="20">
        <v>2021</v>
      </c>
      <c r="F5" s="20">
        <v>2020</v>
      </c>
      <c r="G5" s="16">
        <v>2021</v>
      </c>
    </row>
    <row r="6" spans="1:7" ht="15.75" customHeight="1" x14ac:dyDescent="0.25">
      <c r="A6" s="50" t="s">
        <v>100</v>
      </c>
      <c r="B6" s="51">
        <v>1572447.88026</v>
      </c>
      <c r="C6" s="52">
        <f>IF(1361306.86729="","-",1572447.88026/1361306.86729*100)</f>
        <v>115.51017026677648</v>
      </c>
      <c r="D6" s="52">
        <v>100</v>
      </c>
      <c r="E6" s="52">
        <v>100</v>
      </c>
      <c r="F6" s="52">
        <f>IF(1581380.128="","-",(1361306.86729-1581380.128)/1581380.128*100)</f>
        <v>-13.916531314221753</v>
      </c>
      <c r="G6" s="52">
        <f>IF(1361306.86729="","-",(1572447.88026-1361306.86729)/1361306.86729*100)</f>
        <v>15.510170266776488</v>
      </c>
    </row>
    <row r="7" spans="1:7" x14ac:dyDescent="0.25">
      <c r="A7" s="53" t="s">
        <v>337</v>
      </c>
      <c r="B7" s="54"/>
      <c r="C7" s="54"/>
      <c r="D7" s="54"/>
      <c r="E7" s="54"/>
      <c r="F7" s="54"/>
      <c r="G7" s="54"/>
    </row>
    <row r="8" spans="1:7" x14ac:dyDescent="0.25">
      <c r="A8" s="55" t="s">
        <v>153</v>
      </c>
      <c r="B8" s="35">
        <v>1009893.5901</v>
      </c>
      <c r="C8" s="56">
        <f>IF(875522.35184="","-",1009893.5901/875522.35184*100)</f>
        <v>115.34755086236292</v>
      </c>
      <c r="D8" s="56">
        <f>IF(875522.35184="","-",875522.35184/1361306.86729*100)</f>
        <v>64.314841339405888</v>
      </c>
      <c r="E8" s="56">
        <f>IF(1009893.5901="","-",1009893.5901/1572447.88026*100)</f>
        <v>64.224296574651291</v>
      </c>
      <c r="F8" s="56">
        <f>IF(1581380.128="","-",(875522.35184-1001510.03241)/1581380.128*100)</f>
        <v>-7.966944717418377</v>
      </c>
      <c r="G8" s="56">
        <f>IF(1361306.86729="","-",(1009893.5901-875522.35184)/1361306.86729*100)</f>
        <v>9.8707529866133292</v>
      </c>
    </row>
    <row r="9" spans="1:7" ht="15.75" customHeight="1" x14ac:dyDescent="0.25">
      <c r="A9" s="57" t="s">
        <v>2</v>
      </c>
      <c r="B9" s="36">
        <v>438744.51403999998</v>
      </c>
      <c r="C9" s="58">
        <f>IF(OR(357021.51263="",438744.51404=""),"-",438744.51404/357021.51263*100)</f>
        <v>122.89021768127843</v>
      </c>
      <c r="D9" s="58">
        <f>IF(357021.51263="","-",357021.51263/1361306.86729*100)</f>
        <v>26.226380047632823</v>
      </c>
      <c r="E9" s="58">
        <f>IF(438744.51404="","-",438744.51404/1572447.88026*100)</f>
        <v>27.902006772234305</v>
      </c>
      <c r="F9" s="58">
        <f>IF(OR(1581380.128="",448157.66799="",357021.51263=""),"-",(357021.51263-448157.66799)/1581380.128*100)</f>
        <v>-5.7630770582188555</v>
      </c>
      <c r="G9" s="58">
        <f>IF(OR(1361306.86729="",438744.51404="",357021.51263=""),"-",(438744.51404-357021.51263)/1361306.86729*100)</f>
        <v>6.0032754828225272</v>
      </c>
    </row>
    <row r="10" spans="1:7" ht="15.75" customHeight="1" x14ac:dyDescent="0.25">
      <c r="A10" s="57" t="s">
        <v>4</v>
      </c>
      <c r="B10" s="36">
        <v>155152.69433</v>
      </c>
      <c r="C10" s="58">
        <f>IF(OR(121478.61347="",155152.69433=""),"-",155152.69433/121478.61347*100)</f>
        <v>127.72017221641738</v>
      </c>
      <c r="D10" s="58">
        <f>IF(121478.61347="","-",121478.61347/1361306.86729*100)</f>
        <v>8.9236759461760169</v>
      </c>
      <c r="E10" s="58">
        <f>IF(155152.69433="","-",155152.69433/1572447.88026*100)</f>
        <v>9.8669530658368103</v>
      </c>
      <c r="F10" s="58">
        <f>IF(OR(1581380.128="",140730.13259="",121478.61347=""),"-",(121478.61347-140730.13259)/1581380.128*100)</f>
        <v>-1.2173871910448084</v>
      </c>
      <c r="G10" s="58">
        <f>IF(OR(1361306.86729="",155152.69433="",121478.61347=""),"-",(155152.69433-121478.61347)/1361306.86729*100)</f>
        <v>2.473658340315005</v>
      </c>
    </row>
    <row r="11" spans="1:7" ht="13.5" customHeight="1" x14ac:dyDescent="0.25">
      <c r="A11" s="57" t="s">
        <v>3</v>
      </c>
      <c r="B11" s="36">
        <v>118849.17814</v>
      </c>
      <c r="C11" s="58">
        <f>IF(OR(124232.66174="",118849.17814=""),"-",118849.17814/124232.66174*100)</f>
        <v>95.666611723037207</v>
      </c>
      <c r="D11" s="58">
        <f>IF(124232.66174="","-",124232.66174/1361306.86729*100)</f>
        <v>9.1259850901446047</v>
      </c>
      <c r="E11" s="58">
        <f>IF(118849.17814="","-",118849.17814/1572447.88026*100)</f>
        <v>7.5582268660216974</v>
      </c>
      <c r="F11" s="58">
        <f>IF(OR(1581380.128="",160649.39035="",124232.66174=""),"-",(124232.66174-160649.39035)/1581380.128*100)</f>
        <v>-2.3028447092007474</v>
      </c>
      <c r="G11" s="58">
        <f>IF(OR(1361306.86729="",118849.17814="",124232.66174=""),"-",(118849.17814-124232.66174)/1361306.86729*100)</f>
        <v>-0.39546436805369806</v>
      </c>
    </row>
    <row r="12" spans="1:7" ht="15.75" customHeight="1" x14ac:dyDescent="0.25">
      <c r="A12" s="57" t="s">
        <v>5</v>
      </c>
      <c r="B12" s="36">
        <v>60333.994160000002</v>
      </c>
      <c r="C12" s="58">
        <f>IF(OR(54035.21941="",60333.99416=""),"-",60333.99416/54035.21941*100)</f>
        <v>111.65679499181292</v>
      </c>
      <c r="D12" s="58">
        <f>IF(54035.21941="","-",54035.21941/1361306.86729*100)</f>
        <v>3.9693636099529672</v>
      </c>
      <c r="E12" s="58">
        <f>IF(60333.99416="","-",60333.99416/1572447.88026*100)</f>
        <v>3.8369471521068119</v>
      </c>
      <c r="F12" s="58">
        <f>IF(OR(1581380.128="",60858.82551="",54035.21941=""),"-",(54035.21941-60858.82551)/1581380.128*100)</f>
        <v>-0.43149689180867234</v>
      </c>
      <c r="G12" s="58">
        <f>IF(OR(1361306.86729="",60333.99416="",54035.21941=""),"-",(60333.99416-54035.21941)/1361306.86729*100)</f>
        <v>0.46270057849184221</v>
      </c>
    </row>
    <row r="13" spans="1:7" s="12" customFormat="1" x14ac:dyDescent="0.25">
      <c r="A13" s="57" t="s">
        <v>7</v>
      </c>
      <c r="B13" s="36">
        <v>49898.47956</v>
      </c>
      <c r="C13" s="58">
        <f>IF(OR(46614.63328="",49898.47956=""),"-",49898.47956/46614.63328*100)</f>
        <v>107.04466827031531</v>
      </c>
      <c r="D13" s="58">
        <f>IF(46614.63328="","-",46614.63328/1361306.86729*100)</f>
        <v>3.4242560880337982</v>
      </c>
      <c r="E13" s="58">
        <f>IF(49898.47956="","-",49898.47956/1572447.88026*100)</f>
        <v>3.1732994260992244</v>
      </c>
      <c r="F13" s="58">
        <f>IF(OR(1581380.128="",29349.42273="",46614.63328=""),"-",(46614.63328-29349.42273)/1581380.128*100)</f>
        <v>1.0917811754619444</v>
      </c>
      <c r="G13" s="58">
        <f>IF(OR(1361306.86729="",49898.47956="",46614.63328=""),"-",(49898.47956-46614.63328)/1361306.86729*100)</f>
        <v>0.24122748212805703</v>
      </c>
    </row>
    <row r="14" spans="1:7" s="12" customFormat="1" x14ac:dyDescent="0.25">
      <c r="A14" s="57" t="s">
        <v>42</v>
      </c>
      <c r="B14" s="36">
        <v>22908.646379999998</v>
      </c>
      <c r="C14" s="58" t="s">
        <v>20</v>
      </c>
      <c r="D14" s="58">
        <f>IF(11599.2305="","-",11599.2305/1361306.86729*100)</f>
        <v>0.85206581842130735</v>
      </c>
      <c r="E14" s="58">
        <f>IF(22908.64638="","-",22908.64638/1572447.88026*100)</f>
        <v>1.4568779460093848</v>
      </c>
      <c r="F14" s="58">
        <f>IF(OR(1581380.128="",4834.5906="",11599.2305=""),"-",(11599.2305-4834.5906)/1581380.128*100)</f>
        <v>0.42776811091937533</v>
      </c>
      <c r="G14" s="58">
        <f>IF(OR(1361306.86729="",22908.64638="",11599.2305=""),"-",(22908.64638-11599.2305)/1361306.86729*100)</f>
        <v>0.83077637759324896</v>
      </c>
    </row>
    <row r="15" spans="1:7" s="12" customFormat="1" x14ac:dyDescent="0.25">
      <c r="A15" s="57" t="s">
        <v>6</v>
      </c>
      <c r="B15" s="36">
        <v>21667.154760000001</v>
      </c>
      <c r="C15" s="58">
        <f>IF(OR(20948.8324="",21667.15476=""),"-",21667.15476/20948.8324*100)</f>
        <v>103.42893745238042</v>
      </c>
      <c r="D15" s="58">
        <f>IF(20948.8324="","-",20948.8324/1361306.86729*100)</f>
        <v>1.5388765680513723</v>
      </c>
      <c r="E15" s="58">
        <f>IF(21667.15476="","-",21667.15476/1572447.88026*100)</f>
        <v>1.3779251466457123</v>
      </c>
      <c r="F15" s="58">
        <f>IF(OR(1581380.128="",23236.45476="",20948.8324=""),"-",(20948.8324-23236.45476)/1581380.128*100)</f>
        <v>-0.14465986510739823</v>
      </c>
      <c r="G15" s="58">
        <f>IF(OR(1361306.86729="",21667.15476="",20948.8324=""),"-",(21667.15476-20948.8324)/1361306.86729*100)</f>
        <v>5.2767114987819816E-2</v>
      </c>
    </row>
    <row r="16" spans="1:7" s="12" customFormat="1" x14ac:dyDescent="0.25">
      <c r="A16" s="57" t="s">
        <v>10</v>
      </c>
      <c r="B16" s="36">
        <v>21491.044870000002</v>
      </c>
      <c r="C16" s="58">
        <f>IF(OR(20499.17493="",21491.04487=""),"-",21491.04487/20499.17493*100)</f>
        <v>104.83858469127176</v>
      </c>
      <c r="D16" s="58">
        <f>IF(20499.17493="","-",20499.17493/1361306.86729*100)</f>
        <v>1.5058452596223515</v>
      </c>
      <c r="E16" s="58">
        <f>IF(21491.04487="","-",21491.04487/1572447.88026*100)</f>
        <v>1.3667254183614985</v>
      </c>
      <c r="F16" s="58">
        <f>IF(OR(1581380.128="",22139.29721="",20499.17493=""),"-",(20499.17493-22139.29721)/1581380.128*100)</f>
        <v>-0.10371461301175525</v>
      </c>
      <c r="G16" s="58">
        <f>IF(OR(1361306.86729="",21491.04487="",20499.17493=""),"-",(21491.04487-20499.17493)/1361306.86729*100)</f>
        <v>7.2861598206328732E-2</v>
      </c>
    </row>
    <row r="17" spans="1:7" s="12" customFormat="1" x14ac:dyDescent="0.25">
      <c r="A17" s="57" t="s">
        <v>123</v>
      </c>
      <c r="B17" s="36">
        <v>20448.1662</v>
      </c>
      <c r="C17" s="58">
        <f>IF(OR(20287.57356="",20448.1662=""),"-",20448.1662/20287.57356*100)</f>
        <v>100.79158130727191</v>
      </c>
      <c r="D17" s="58">
        <f>IF(20287.57356="","-",20287.57356/1361306.86729*100)</f>
        <v>1.4903012720700635</v>
      </c>
      <c r="E17" s="58">
        <f>IF(20448.1662="","-",20448.1662/1572447.88026*100)</f>
        <v>1.3004034319165447</v>
      </c>
      <c r="F17" s="58">
        <f>IF(OR(1581380.128="",20774.62256="",20287.57356=""),"-",(20287.57356-20774.62256)/1581380.128*100)</f>
        <v>-3.0798983203107446E-2</v>
      </c>
      <c r="G17" s="58">
        <f>IF(OR(1361306.86729="",20448.1662="",20287.57356=""),"-",(20448.1662-20287.57356)/1361306.86729*100)</f>
        <v>1.1796946291742154E-2</v>
      </c>
    </row>
    <row r="18" spans="1:7" s="12" customFormat="1" x14ac:dyDescent="0.25">
      <c r="A18" s="57" t="s">
        <v>40</v>
      </c>
      <c r="B18" s="36">
        <v>19419.492180000001</v>
      </c>
      <c r="C18" s="58">
        <f>IF(OR(22711.31089="",19419.49218=""),"-",19419.49218/22711.31089*100)</f>
        <v>85.505818109999908</v>
      </c>
      <c r="D18" s="58">
        <f>IF(22711.31089="","-",22711.31089/1361306.86729*100)</f>
        <v>1.6683461632138963</v>
      </c>
      <c r="E18" s="58">
        <f>IF(19419.49218="","-",19419.49218/1572447.88026*100)</f>
        <v>1.2349847917877597</v>
      </c>
      <c r="F18" s="58">
        <f>IF(OR(1581380.128="",20106.75285="",22711.31089=""),"-",(22711.31089-20106.75285)/1581380.128*100)</f>
        <v>0.1647015789488914</v>
      </c>
      <c r="G18" s="58">
        <f>IF(OR(1361306.86729="",19419.49218="",22711.31089=""),"-",(19419.49218-22711.31089)/1361306.86729*100)</f>
        <v>-0.24181312745105996</v>
      </c>
    </row>
    <row r="19" spans="1:7" s="14" customFormat="1" x14ac:dyDescent="0.25">
      <c r="A19" s="57" t="s">
        <v>51</v>
      </c>
      <c r="B19" s="36">
        <v>16153.976350000001</v>
      </c>
      <c r="C19" s="58" t="s">
        <v>221</v>
      </c>
      <c r="D19" s="58">
        <f>IF(8961.73015="","-",8961.73015/1361306.86729*100)</f>
        <v>0.65831814746078687</v>
      </c>
      <c r="E19" s="58">
        <f>IF(16153.97635="","-",16153.97635/1572447.88026*100)</f>
        <v>1.0273139448875712</v>
      </c>
      <c r="F19" s="58">
        <f>IF(OR(1581380.128="",78.03909="",8961.73015=""),"-",(8961.73015-78.03909)/1581380.128*100)</f>
        <v>0.56176822401552273</v>
      </c>
      <c r="G19" s="58">
        <f>IF(OR(1361306.86729="",16153.97635="",8961.73015=""),"-",(16153.97635-8961.73015)/1361306.86729*100)</f>
        <v>0.52833393945318519</v>
      </c>
    </row>
    <row r="20" spans="1:7" s="12" customFormat="1" x14ac:dyDescent="0.25">
      <c r="A20" s="57" t="s">
        <v>9</v>
      </c>
      <c r="B20" s="36">
        <v>15303.18103</v>
      </c>
      <c r="C20" s="58">
        <f>IF(OR(22740.36351="",15303.18103=""),"-",15303.18103/22740.36351*100)</f>
        <v>67.295234850887397</v>
      </c>
      <c r="D20" s="58">
        <f>IF(22740.36351="","-",22740.36351/1361306.86729*100)</f>
        <v>1.6704803344796177</v>
      </c>
      <c r="E20" s="58">
        <f>IF(15303.18103="","-",15303.18103/1572447.88026*100)</f>
        <v>0.97320752071411498</v>
      </c>
      <c r="F20" s="58">
        <f>IF(OR(1581380.128="",15695.64628="",22740.36351=""),"-",(22740.36351-15695.64628)/1581380.128*100)</f>
        <v>0.44547905372439317</v>
      </c>
      <c r="G20" s="58">
        <f>IF(OR(1361306.86729="",15303.18103="",22740.36351=""),"-",(15303.18103-22740.36351)/1361306.86729*100)</f>
        <v>-0.54632667025366977</v>
      </c>
    </row>
    <row r="21" spans="1:7" s="12" customFormat="1" x14ac:dyDescent="0.25">
      <c r="A21" s="57" t="s">
        <v>41</v>
      </c>
      <c r="B21" s="36">
        <v>13846.06054</v>
      </c>
      <c r="C21" s="58" t="s">
        <v>220</v>
      </c>
      <c r="D21" s="58">
        <f>IF(6157.71781="","-",6157.71781/1361306.86729*100)</f>
        <v>0.45233870172552487</v>
      </c>
      <c r="E21" s="58">
        <f>IF(13846.06054="","-",13846.06054/1572447.88026*100)</f>
        <v>0.88054177908336084</v>
      </c>
      <c r="F21" s="58">
        <f>IF(OR(1581380.128="",9030.65262="",6157.71781=""),"-",(6157.71781-9030.65262)/1581380.128*100)</f>
        <v>-0.18167262627951783</v>
      </c>
      <c r="G21" s="58">
        <f>IF(OR(1361306.86729="",13846.06054="",6157.71781=""),"-",(13846.06054-6157.71781)/1361306.86729*100)</f>
        <v>0.56477660656376816</v>
      </c>
    </row>
    <row r="22" spans="1:7" s="12" customFormat="1" x14ac:dyDescent="0.25">
      <c r="A22" s="57" t="s">
        <v>8</v>
      </c>
      <c r="B22" s="36">
        <v>11660.577799999999</v>
      </c>
      <c r="C22" s="58">
        <f>IF(OR(10849.21296="",11660.5778=""),"-",11660.5778/10849.21296*100)</f>
        <v>107.47855944013102</v>
      </c>
      <c r="D22" s="58">
        <f>IF(10849.21296="","-",10849.21296/1361306.86729*100)</f>
        <v>0.79697041282087255</v>
      </c>
      <c r="E22" s="58">
        <f>IF(11660.5778="","-",11660.5778/1572447.88026*100)</f>
        <v>0.74155575815154862</v>
      </c>
      <c r="F22" s="58">
        <f>IF(OR(1581380.128="",17243.42733="",10849.21296=""),"-",(10849.21296-17243.42733)/1581380.128*100)</f>
        <v>-0.40434391812466214</v>
      </c>
      <c r="G22" s="58">
        <f>IF(OR(1361306.86729="",11660.5778="",10849.21296=""),"-",(11660.5778-10849.21296)/1361306.86729*100)</f>
        <v>5.9601906043066553E-2</v>
      </c>
    </row>
    <row r="23" spans="1:7" s="12" customFormat="1" x14ac:dyDescent="0.25">
      <c r="A23" s="57" t="s">
        <v>44</v>
      </c>
      <c r="B23" s="36">
        <v>7481.0436799999998</v>
      </c>
      <c r="C23" s="58">
        <f>IF(OR(5172.50984="",7481.04368=""),"-",7481.04368/5172.50984*100)</f>
        <v>144.63082548722613</v>
      </c>
      <c r="D23" s="58">
        <f>IF(5172.50984="","-",5172.50984/1361306.86729*100)</f>
        <v>0.37996648399321542</v>
      </c>
      <c r="E23" s="58">
        <f>IF(7481.04368="","-",7481.04368/1572447.88026*100)</f>
        <v>0.47575781518195881</v>
      </c>
      <c r="F23" s="58">
        <f>IF(OR(1581380.128="",6846.76332="",5172.50984=""),"-",(5172.50984-6846.76332)/1581380.128*100)</f>
        <v>-0.10587293025602001</v>
      </c>
      <c r="G23" s="58">
        <f>IF(OR(1361306.86729="",7481.04368="",5172.50984=""),"-",(7481.04368-5172.50984)/1361306.86729*100)</f>
        <v>0.16958217838096101</v>
      </c>
    </row>
    <row r="24" spans="1:7" s="12" customFormat="1" x14ac:dyDescent="0.25">
      <c r="A24" s="57" t="s">
        <v>47</v>
      </c>
      <c r="B24" s="36">
        <v>4312.6938200000004</v>
      </c>
      <c r="C24" s="58">
        <f>IF(OR(9093.44591="",4312.69382=""),"-",4312.69382/9093.44591*100)</f>
        <v>47.42639767898504</v>
      </c>
      <c r="D24" s="58">
        <f>IF(9093.44591="","-",9093.44591/1361306.86729*100)</f>
        <v>0.66799383214033392</v>
      </c>
      <c r="E24" s="58">
        <f>IF(4312.69382="","-",4312.69382/1572447.88026*100)</f>
        <v>0.27426624908463793</v>
      </c>
      <c r="F24" s="58">
        <f>IF(OR(1581380.128="",7736.07946="",9093.44591=""),"-",(9093.44591-7736.07946)/1581380.128*100)</f>
        <v>8.5834292841196022E-2</v>
      </c>
      <c r="G24" s="58">
        <f>IF(OR(1361306.86729="",4312.69382="",9093.44591=""),"-",(4312.69382-9093.44591)/1361306.86729*100)</f>
        <v>-0.35118842083836732</v>
      </c>
    </row>
    <row r="25" spans="1:7" s="12" customFormat="1" x14ac:dyDescent="0.25">
      <c r="A25" s="57" t="s">
        <v>43</v>
      </c>
      <c r="B25" s="36">
        <v>3997.63663</v>
      </c>
      <c r="C25" s="58">
        <f>IF(OR(3870.86713="",3997.63663=""),"-",3997.63663/3870.86713*100)</f>
        <v>103.27496387095054</v>
      </c>
      <c r="D25" s="58">
        <f>IF(3870.86713="","-",3870.86713/1361306.86729*100)</f>
        <v>0.28434934275369278</v>
      </c>
      <c r="E25" s="58">
        <f>IF(3997.63663="","-",3997.63663/1572447.88026*100)</f>
        <v>0.25423015161170248</v>
      </c>
      <c r="F25" s="58">
        <f>IF(OR(1581380.128="",4849.02136="",3870.86713=""),"-",(3870.86713-4849.02136)/1581380.128*100)</f>
        <v>-6.1854465772065124E-2</v>
      </c>
      <c r="G25" s="58">
        <f>IF(OR(1361306.86729="",3997.63663="",3870.86713=""),"-",(3997.63663-3870.86713)/1361306.86729*100)</f>
        <v>9.3123382424687429E-3</v>
      </c>
    </row>
    <row r="26" spans="1:7" s="7" customFormat="1" x14ac:dyDescent="0.25">
      <c r="A26" s="57" t="s">
        <v>45</v>
      </c>
      <c r="B26" s="36">
        <v>3031.4188899999999</v>
      </c>
      <c r="C26" s="58">
        <f>IF(OR(3489.40548="",3031.41889=""),"-",3031.41889/3489.40548*100)</f>
        <v>86.87493922317104</v>
      </c>
      <c r="D26" s="58">
        <f>IF(3489.40548="","-",3489.40548/1361306.86729*100)</f>
        <v>0.2563276189847245</v>
      </c>
      <c r="E26" s="58">
        <f>IF(3031.41889="","-",3031.41889/1572447.88026*100)</f>
        <v>0.19278342564198458</v>
      </c>
      <c r="F26" s="58">
        <f>IF(OR(1581380.128="",4583.16736="",3489.40548=""),"-",(3489.40548-4583.16736)/1581380.128*100)</f>
        <v>-6.9165019885718493E-2</v>
      </c>
      <c r="G26" s="58">
        <f>IF(OR(1361306.86729="",3031.41889="",3489.40548=""),"-",(3031.41889-3489.40548)/1361306.86729*100)</f>
        <v>-3.3643155779543632E-2</v>
      </c>
    </row>
    <row r="27" spans="1:7" s="7" customFormat="1" x14ac:dyDescent="0.25">
      <c r="A27" s="57" t="s">
        <v>46</v>
      </c>
      <c r="B27" s="36">
        <v>1526.34103</v>
      </c>
      <c r="C27" s="58">
        <f>IF(OR(3315.11024="",1526.34103=""),"-",1526.34103/3315.11024*100)</f>
        <v>46.041938864754009</v>
      </c>
      <c r="D27" s="58">
        <f>IF(3315.11024="","-",3315.11024/1361306.86729*100)</f>
        <v>0.24352409582708584</v>
      </c>
      <c r="E27" s="58">
        <f>IF(1526.34103="","-",1526.34103/1572447.88026*100)</f>
        <v>9.7067829666165062E-2</v>
      </c>
      <c r="F27" s="58">
        <f>IF(OR(1581380.128="",2086.94166="",3315.11024=""),"-",(3315.11024-2086.94166)/1581380.128*100)</f>
        <v>7.766434889714259E-2</v>
      </c>
      <c r="G27" s="58">
        <f>IF(OR(1361306.86729="",1526.34103="",3315.11024=""),"-",(1526.34103-3315.11024)/1361306.86729*100)</f>
        <v>-0.131400880505434</v>
      </c>
    </row>
    <row r="28" spans="1:7" s="12" customFormat="1" x14ac:dyDescent="0.25">
      <c r="A28" s="57" t="s">
        <v>49</v>
      </c>
      <c r="B28" s="36">
        <v>1099.89005</v>
      </c>
      <c r="C28" s="58">
        <f>IF(OR(832.67148="",1099.89005=""),"-",1099.89005/832.67148*100)</f>
        <v>132.0917164113751</v>
      </c>
      <c r="D28" s="58">
        <f>IF(832.67148="","-",832.67148/1361306.86729*100)</f>
        <v>6.1167066736218516E-2</v>
      </c>
      <c r="E28" s="58">
        <f>IF(1099.89005="","-",1099.89005/1572447.88026*100)</f>
        <v>6.9947631575434863E-2</v>
      </c>
      <c r="F28" s="58">
        <f>IF(OR(1581380.128="",610.70413="",832.67148=""),"-",(832.67148-610.70413)/1581380.128*100)</f>
        <v>1.4036305760381984E-2</v>
      </c>
      <c r="G28" s="58">
        <f>IF(OR(1361306.86729="",1099.89005="",832.67148=""),"-",(1099.89005-832.67148)/1361306.86729*100)</f>
        <v>1.9629561594143804E-2</v>
      </c>
    </row>
    <row r="29" spans="1:7" s="12" customFormat="1" x14ac:dyDescent="0.25">
      <c r="A29" s="57" t="s">
        <v>48</v>
      </c>
      <c r="B29" s="36">
        <v>881.76405999999997</v>
      </c>
      <c r="C29" s="58" t="s">
        <v>221</v>
      </c>
      <c r="D29" s="58">
        <f>IF(484.77653="","-",484.77653/1361306.86729*100)</f>
        <v>3.5611113235993669E-2</v>
      </c>
      <c r="E29" s="58">
        <f>IF(881.76406="","-",881.76406/1572447.88026*100)</f>
        <v>5.607588468078209E-2</v>
      </c>
      <c r="F29" s="58">
        <f>IF(OR(1581380.128="",468.40414="",484.77653=""),"-",(484.77653-468.40414)/1581380.128*100)</f>
        <v>1.0353228619804685E-3</v>
      </c>
      <c r="G29" s="58">
        <f>IF(OR(1361306.86729="",881.76406="",484.77653=""),"-",(881.76406-484.77653)/1361306.86729*100)</f>
        <v>2.9162236637378949E-2</v>
      </c>
    </row>
    <row r="30" spans="1:7" s="7" customFormat="1" x14ac:dyDescent="0.25">
      <c r="A30" s="57" t="s">
        <v>50</v>
      </c>
      <c r="B30" s="36">
        <v>567.49262999999996</v>
      </c>
      <c r="C30" s="58" t="s">
        <v>220</v>
      </c>
      <c r="D30" s="58">
        <f>IF(263.09543="","-",263.09543/1361306.86729*100)</f>
        <v>1.932668058332454E-2</v>
      </c>
      <c r="E30" s="58">
        <f>IF(567.49263="","-",567.49263/1572447.88026*100)</f>
        <v>3.6089757703521887E-2</v>
      </c>
      <c r="F30" s="58">
        <f>IF(OR(1581380.128="",499.63612="",263.09543=""),"-",(263.09543-499.63612)/1581380.128*100)</f>
        <v>-1.4957864071502989E-2</v>
      </c>
      <c r="G30" s="58">
        <f>IF(OR(1361306.86729="",567.49263="",263.09543=""),"-",(567.49263-263.09543)/1361306.86729*100)</f>
        <v>2.2360659988880673E-2</v>
      </c>
    </row>
    <row r="31" spans="1:7" s="7" customFormat="1" x14ac:dyDescent="0.25">
      <c r="A31" s="57" t="s">
        <v>124</v>
      </c>
      <c r="B31" s="36">
        <v>515.40972999999997</v>
      </c>
      <c r="C31" s="58">
        <f>IF(OR(561.08767="",515.40973=""),"-",515.40973/561.08767*100)</f>
        <v>91.8590369308953</v>
      </c>
      <c r="D31" s="58">
        <f>IF(561.08767="","-",561.08767/1361306.86729*100)</f>
        <v>4.1216839750245024E-2</v>
      </c>
      <c r="E31" s="58">
        <f>IF(515.40973="","-",515.40973/1572447.88026*100)</f>
        <v>3.2777539813578963E-2</v>
      </c>
      <c r="F31" s="58">
        <f>IF(OR(1581380.128="",363.03501="",561.08767=""),"-",(561.08767-363.03501)/1581380.128*100)</f>
        <v>1.2524038749018604E-2</v>
      </c>
      <c r="G31" s="58">
        <f>IF(OR(1361306.86729="",515.40973="",561.08767=""),"-",(515.40973-561.08767)/1361306.86729*100)</f>
        <v>-3.3554477023195117E-3</v>
      </c>
    </row>
    <row r="32" spans="1:7" s="7" customFormat="1" x14ac:dyDescent="0.25">
      <c r="A32" s="57" t="s">
        <v>53</v>
      </c>
      <c r="B32" s="36">
        <v>386.05318</v>
      </c>
      <c r="C32" s="58" t="s">
        <v>95</v>
      </c>
      <c r="D32" s="58">
        <f>IF(186.7095="","-",186.7095/1361306.86729*100)</f>
        <v>1.3715460083712716E-2</v>
      </c>
      <c r="E32" s="58">
        <f>IF(386.05318="","-",386.05318/1572447.88026*100)</f>
        <v>2.4551095451008979E-2</v>
      </c>
      <c r="F32" s="58">
        <f>IF(OR(1581380.128="",15.55146="",186.7095=""),"-",(186.7095-15.55146)/1581380.128*100)</f>
        <v>1.0823333173945132E-2</v>
      </c>
      <c r="G32" s="58">
        <f>IF(OR(1361306.86729="",386.05318="",186.7095=""),"-",(386.05318-186.7095)/1361306.86729*100)</f>
        <v>1.4643552074106574E-2</v>
      </c>
    </row>
    <row r="33" spans="1:7" s="7" customFormat="1" x14ac:dyDescent="0.25">
      <c r="A33" s="57" t="s">
        <v>52</v>
      </c>
      <c r="B33" s="36">
        <v>213.03992</v>
      </c>
      <c r="C33" s="58" t="s">
        <v>229</v>
      </c>
      <c r="D33" s="58">
        <f>IF(86.85781="","-",86.85781/1361306.86729*100)</f>
        <v>6.3804724773710141E-3</v>
      </c>
      <c r="E33" s="58">
        <f>IF(213.03992="","-",213.03992/1572447.88026*100)</f>
        <v>1.3548297700320244E-2</v>
      </c>
      <c r="F33" s="58">
        <f>IF(OR(1581380.128="",43.03206="",86.85781=""),"-",(86.85781-43.03206)/1581380.128*100)</f>
        <v>2.7713608653617784E-3</v>
      </c>
      <c r="G33" s="58">
        <f>IF(OR(1361306.86729="",213.03992="",86.85781=""),"-",(213.03992-86.85781)/1361306.86729*100)</f>
        <v>9.2691892645186628E-3</v>
      </c>
    </row>
    <row r="34" spans="1:7" s="7" customFormat="1" x14ac:dyDescent="0.25">
      <c r="A34" s="57" t="s">
        <v>54</v>
      </c>
      <c r="B34" s="36">
        <v>3.6461399999999999</v>
      </c>
      <c r="C34" s="58">
        <f>IF(OR(25.65794="",3.64614=""),"-",3.64614/25.65794*100)</f>
        <v>14.210571854170679</v>
      </c>
      <c r="D34" s="58">
        <f>IF(25.65794="","-",25.65794/1361306.86729*100)</f>
        <v>1.8848020689911111E-3</v>
      </c>
      <c r="E34" s="58">
        <f>IF(3.64614="","-",3.64614/1572447.88026*100)</f>
        <v>2.3187668384895023E-4</v>
      </c>
      <c r="F34" s="58">
        <f>IF(OR(1581380.128="",61.68467="",25.65794=""),"-",(25.65794-61.68467)/1581380.128*100)</f>
        <v>-2.2781827950224499E-3</v>
      </c>
      <c r="G34" s="58">
        <f>IF(OR(1361306.86729="",3.64614="",25.65794=""),"-",(3.64614-25.65794)/1361306.86729*100)</f>
        <v>-1.6169609166682339E-3</v>
      </c>
    </row>
    <row r="35" spans="1:7" s="7" customFormat="1" x14ac:dyDescent="0.25">
      <c r="A35" s="57" t="s">
        <v>55</v>
      </c>
      <c r="B35" s="36" t="s">
        <v>318</v>
      </c>
      <c r="C35" s="58" t="str">
        <f>IF(OR(2.36964="",""=""),"-",""/2.36964*100)</f>
        <v>-</v>
      </c>
      <c r="D35" s="58">
        <f>IF(2.36964="","-",2.36964/1361306.86729*100)</f>
        <v>1.7407096496305225E-4</v>
      </c>
      <c r="E35" s="58" t="str">
        <f>IF(""="","-",""/1572447.88026*100)</f>
        <v>-</v>
      </c>
      <c r="F35" s="58">
        <f>IF(OR(1581380.128="",461.08919="",2.36964=""),"-",(2.36964-461.08919)/1581380.128*100)</f>
        <v>-2.900754485767763E-2</v>
      </c>
      <c r="G35" s="58" t="str">
        <f>IF(OR(1361306.86729="",""="",2.36964=""),"-",(""-2.36964)/1361306.86729*100)</f>
        <v>-</v>
      </c>
    </row>
    <row r="36" spans="1:7" s="7" customFormat="1" x14ac:dyDescent="0.25">
      <c r="A36" s="55" t="s">
        <v>155</v>
      </c>
      <c r="B36" s="35">
        <v>243411.14249999999</v>
      </c>
      <c r="C36" s="56">
        <f>IF(220852.57041="","-",243411.1425/220852.57041*100)</f>
        <v>110.21431267388979</v>
      </c>
      <c r="D36" s="56">
        <f>IF(220852.57041="","-",220852.57041/1361306.86729*100)</f>
        <v>16.223569844296659</v>
      </c>
      <c r="E36" s="56">
        <f>IF(243411.1425="","-",243411.1425/1572447.88026*100)</f>
        <v>15.479759014953972</v>
      </c>
      <c r="F36" s="56">
        <f>IF(1581380.128="","-",(220852.57041-232886.36771)/1581380.128*100)</f>
        <v>-0.76096803589022999</v>
      </c>
      <c r="G36" s="56">
        <f>IF(1361306.86729="","-",(243411.1425-220852.57041)/1361306.86729*100)</f>
        <v>1.6571261507633557</v>
      </c>
    </row>
    <row r="37" spans="1:7" s="7" customFormat="1" x14ac:dyDescent="0.25">
      <c r="A37" s="57" t="s">
        <v>125</v>
      </c>
      <c r="B37" s="36">
        <v>149954.3786</v>
      </c>
      <c r="C37" s="58">
        <f>IF(OR(137476.83742="",149954.3786=""),"-",149954.3786/137476.83742*100)</f>
        <v>109.07610431994472</v>
      </c>
      <c r="D37" s="58">
        <f>IF(137476.83742="","-",137476.83742/1361306.86729*100)</f>
        <v>10.098886645130927</v>
      </c>
      <c r="E37" s="58">
        <f>IF(149954.3786="","-",149954.3786/1572447.88026*100)</f>
        <v>9.5363655916662537</v>
      </c>
      <c r="F37" s="58">
        <f>IF(OR(1581380.128="",131974.66668="",137476.83742=""),"-",(137476.83742-131974.66668)/1581380.128*100)</f>
        <v>0.34793473388075868</v>
      </c>
      <c r="G37" s="58">
        <f>IF(OR(1361306.86729="",149954.3786="",137476.83742=""),"-",(149954.3786-137476.83742)/1361306.86729*100)</f>
        <v>0.9165854870650485</v>
      </c>
    </row>
    <row r="38" spans="1:7" s="7" customFormat="1" x14ac:dyDescent="0.25">
      <c r="A38" s="57" t="s">
        <v>12</v>
      </c>
      <c r="B38" s="36">
        <v>43620.749349999998</v>
      </c>
      <c r="C38" s="58">
        <f>IF(OR(33715.30077="",43620.74935=""),"-",43620.74935/33715.30077*100)</f>
        <v>129.37968327073003</v>
      </c>
      <c r="D38" s="58">
        <f>IF(33715.30077="","-",33715.30077/1361306.86729*100)</f>
        <v>2.4766863063813234</v>
      </c>
      <c r="E38" s="58">
        <f>IF(43620.74935="","-",43620.74935/1572447.88026*100)</f>
        <v>2.7740664665328958</v>
      </c>
      <c r="F38" s="58">
        <f>IF(OR(1581380.128="",42146.47004="",33715.30077=""),"-",(33715.30077-42146.47004)/1581380.128*100)</f>
        <v>-0.53315260010653165</v>
      </c>
      <c r="G38" s="58">
        <f>IF(OR(1361306.86729="",43620.74935="",33715.30077=""),"-",(43620.74935-33715.30077)/1361306.86729*100)</f>
        <v>0.72764259242437457</v>
      </c>
    </row>
    <row r="39" spans="1:7" s="7" customFormat="1" ht="14.25" customHeight="1" x14ac:dyDescent="0.25">
      <c r="A39" s="57" t="s">
        <v>11</v>
      </c>
      <c r="B39" s="36">
        <v>35091.345269999998</v>
      </c>
      <c r="C39" s="58">
        <f>IF(OR(37997.43648="",35091.34527=""),"-",35091.34527/37997.43648*100)</f>
        <v>92.351875602109047</v>
      </c>
      <c r="D39" s="58">
        <f>IF(37997.43648="","-",37997.43648/1361306.86729*100)</f>
        <v>2.791246954894365</v>
      </c>
      <c r="E39" s="58">
        <f>IF(35091.34527="","-",35091.34527/1572447.88026*100)</f>
        <v>2.2316380536693998</v>
      </c>
      <c r="F39" s="58">
        <f>IF(OR(1581380.128="",47307.65031="",37997.43648=""),"-",(37997.43648-47307.65031)/1581380.128*100)</f>
        <v>-0.58873977642395159</v>
      </c>
      <c r="G39" s="58">
        <f>IF(OR(1361306.86729="",35091.34527="",37997.43648=""),"-",(35091.34527-37997.43648)/1361306.86729*100)</f>
        <v>-0.21347803936266432</v>
      </c>
    </row>
    <row r="40" spans="1:7" s="13" customFormat="1" ht="14.25" customHeight="1" x14ac:dyDescent="0.2">
      <c r="A40" s="57" t="s">
        <v>13</v>
      </c>
      <c r="B40" s="36">
        <v>7117.1986999999999</v>
      </c>
      <c r="C40" s="58">
        <f>IF(OR(7489.21166="",7117.1987=""),"-",7117.1987/7489.21166*100)</f>
        <v>95.032681984581529</v>
      </c>
      <c r="D40" s="58">
        <f>IF(7489.21166="","-",7489.21166/1361306.86729*100)</f>
        <v>0.55014867256998634</v>
      </c>
      <c r="E40" s="58">
        <f>IF(7117.1987="","-",7117.1987/1572447.88026*100)</f>
        <v>0.45261905271055408</v>
      </c>
      <c r="F40" s="58">
        <f>IF(OR(1581380.128="",5153.95664="",7489.21166=""),"-",(7489.21166-5153.95664)/1581380.128*100)</f>
        <v>0.14767195936333402</v>
      </c>
      <c r="G40" s="58">
        <f>IF(OR(1361306.86729="",7117.1987="",7489.21166=""),"-",(7117.1987-7489.21166)/1361306.86729*100)</f>
        <v>-2.7327634124154454E-2</v>
      </c>
    </row>
    <row r="41" spans="1:7" s="13" customFormat="1" ht="14.25" customHeight="1" x14ac:dyDescent="0.2">
      <c r="A41" s="57" t="s">
        <v>15</v>
      </c>
      <c r="B41" s="36">
        <v>3799.8280800000002</v>
      </c>
      <c r="C41" s="58" t="s">
        <v>233</v>
      </c>
      <c r="D41" s="58">
        <f>IF(1647.72018="","-",1647.72018/1361306.86729*100)</f>
        <v>0.12103958479840572</v>
      </c>
      <c r="E41" s="58">
        <f>IF(3799.82808="","-",3799.82808/1572447.88026*100)</f>
        <v>0.24165049460155774</v>
      </c>
      <c r="F41" s="58">
        <f>IF(OR(1581380.128="",1343.83929="",1647.72018=""),"-",(1647.72018-1343.83929)/1581380.128*100)</f>
        <v>1.9216182410507699E-2</v>
      </c>
      <c r="G41" s="58">
        <f>IF(OR(1361306.86729="",3799.82808="",1647.72018=""),"-",(3799.82808-1647.72018)/1361306.86729*100)</f>
        <v>0.15809131296636111</v>
      </c>
    </row>
    <row r="42" spans="1:7" s="13" customFormat="1" ht="14.25" customHeight="1" x14ac:dyDescent="0.2">
      <c r="A42" s="57" t="s">
        <v>14</v>
      </c>
      <c r="B42" s="36">
        <v>1945.49116</v>
      </c>
      <c r="C42" s="58">
        <f>IF(OR(1357.38933="",1945.49116=""),"-",1945.49116/1357.38933*100)</f>
        <v>143.3259505583413</v>
      </c>
      <c r="D42" s="58">
        <f>IF(1357.38933="","-",1357.38933/1361306.86729*100)</f>
        <v>9.9712222322230787E-2</v>
      </c>
      <c r="E42" s="58">
        <f>IF(1945.49116="","-",1945.49116/1572447.88026*100)</f>
        <v>0.12372372937908239</v>
      </c>
      <c r="F42" s="58">
        <f>IF(OR(1581380.128="",2787.08452="",1357.38933=""),"-",(1357.38933-2787.08452)/1581380.128*100)</f>
        <v>-9.0408066010552512E-2</v>
      </c>
      <c r="G42" s="58">
        <f>IF(OR(1361306.86729="",1945.49116="",1357.38933=""),"-",(1945.49116-1357.38933)/1361306.86729*100)</f>
        <v>4.3201268143953059E-2</v>
      </c>
    </row>
    <row r="43" spans="1:7" s="11" customFormat="1" ht="14.25" customHeight="1" x14ac:dyDescent="0.2">
      <c r="A43" s="57" t="s">
        <v>126</v>
      </c>
      <c r="B43" s="36">
        <v>683.06660999999997</v>
      </c>
      <c r="C43" s="58" t="s">
        <v>105</v>
      </c>
      <c r="D43" s="58">
        <f>IF(363.89983="","-",363.89983/1361306.86729*100)</f>
        <v>2.6731653144777545E-2</v>
      </c>
      <c r="E43" s="58">
        <f>IF(683.06661="","-",683.06661/1572447.88026*100)</f>
        <v>4.3439697975048729E-2</v>
      </c>
      <c r="F43" s="58">
        <f>IF(OR(1581380.128="",603.57396="",363.89983=""),"-",(363.89983-603.57396)/1581380.128*100)</f>
        <v>-1.5156009978645696E-2</v>
      </c>
      <c r="G43" s="58">
        <f>IF(OR(1361306.86729="",683.06661="",363.89983=""),"-",(683.06661-363.89983)/1361306.86729*100)</f>
        <v>2.3445615949574703E-2</v>
      </c>
    </row>
    <row r="44" spans="1:7" s="13" customFormat="1" ht="14.25" customHeight="1" x14ac:dyDescent="0.2">
      <c r="A44" s="57" t="s">
        <v>17</v>
      </c>
      <c r="B44" s="36">
        <v>542.72152000000006</v>
      </c>
      <c r="C44" s="58">
        <f>IF(OR(564.46538="",542.72152=""),"-",542.72152/564.46538*100)</f>
        <v>96.147884215680349</v>
      </c>
      <c r="D44" s="58">
        <f>IF(564.46538="","-",564.46538/1361306.86729*100)</f>
        <v>4.1464962350751998E-2</v>
      </c>
      <c r="E44" s="58">
        <f>IF(542.72152="","-",542.72152/1572447.88026*100)</f>
        <v>3.4514436173888483E-2</v>
      </c>
      <c r="F44" s="58">
        <f>IF(OR(1581380.128="",1116.64305="",564.46538=""),"-",(564.46538-1116.64305)/1581380.128*100)</f>
        <v>-3.4917453446082505E-2</v>
      </c>
      <c r="G44" s="58">
        <f>IF(OR(1361306.86729="",542.72152="",564.46538=""),"-",(542.72152-564.46538)/1361306.86729*100)</f>
        <v>-1.5972783596755206E-3</v>
      </c>
    </row>
    <row r="45" spans="1:7" s="11" customFormat="1" ht="14.25" customHeight="1" x14ac:dyDescent="0.2">
      <c r="A45" s="57" t="s">
        <v>16</v>
      </c>
      <c r="B45" s="36">
        <v>448.08481999999998</v>
      </c>
      <c r="C45" s="58" t="s">
        <v>339</v>
      </c>
      <c r="D45" s="58">
        <f>IF(76.99643="","-",76.99643/1361306.86729*100)</f>
        <v>5.656067110957827E-3</v>
      </c>
      <c r="E45" s="58">
        <f>IF(448.08482="","-",448.08482/1572447.88026*100)</f>
        <v>2.8496004581462526E-2</v>
      </c>
      <c r="F45" s="58">
        <f>IF(OR(1581380.128="",334.95943="",76.99643=""),"-",(76.99643-334.95943)/1581380.128*100)</f>
        <v>-1.6312523183546666E-2</v>
      </c>
      <c r="G45" s="58">
        <f>IF(OR(1361306.86729="",448.08482="",76.99643=""),"-",(448.08482-76.99643)/1361306.86729*100)</f>
        <v>2.7259716300317965E-2</v>
      </c>
    </row>
    <row r="46" spans="1:7" s="11" customFormat="1" ht="14.25" customHeight="1" x14ac:dyDescent="0.2">
      <c r="A46" s="57" t="s">
        <v>18</v>
      </c>
      <c r="B46" s="36">
        <v>208.27839</v>
      </c>
      <c r="C46" s="58">
        <f>IF(OR(163.31293="",208.27839=""),"-",208.27839/163.31293*100)</f>
        <v>127.53331288588112</v>
      </c>
      <c r="D46" s="58">
        <f>IF(163.31293="","-",163.31293/1361306.86729*100)</f>
        <v>1.1996775592935383E-2</v>
      </c>
      <c r="E46" s="58">
        <f>IF(208.27839="","-",208.27839/1572447.88026*100)</f>
        <v>1.3245487663830343E-2</v>
      </c>
      <c r="F46" s="58">
        <f>IF(OR(1581380.128="",117.52379="",163.31293=""),"-",(163.31293-117.52379)/1581380.128*100)</f>
        <v>2.8955176044807357E-3</v>
      </c>
      <c r="G46" s="58">
        <f>IF(OR(1361306.86729="",208.27839="",163.31293=""),"-",(208.27839-163.31293)/1361306.86729*100)</f>
        <v>3.3031097602199185E-3</v>
      </c>
    </row>
    <row r="47" spans="1:7" s="11" customFormat="1" ht="14.25" customHeight="1" x14ac:dyDescent="0.2">
      <c r="A47" s="55" t="s">
        <v>156</v>
      </c>
      <c r="B47" s="35">
        <v>319143.14766000002</v>
      </c>
      <c r="C47" s="56">
        <f>IF(264931.94504="","-",319143.14766/264931.94504*100)</f>
        <v>120.462312542874</v>
      </c>
      <c r="D47" s="56">
        <f>IF(264931.94504="","-",264931.94504/1361306.86729*100)</f>
        <v>19.461588816297464</v>
      </c>
      <c r="E47" s="56">
        <f>IF(319143.14766="","-",319143.14766/1572447.88026*100)</f>
        <v>20.295944410394739</v>
      </c>
      <c r="F47" s="56">
        <f>IF(1581380.128="","-",(264931.94504-346983.72788)/1581380.128*100)</f>
        <v>-5.1886185609131417</v>
      </c>
      <c r="G47" s="56">
        <f>IF(1361306.86729="","-",(319143.14766-264931.94504)/1361306.86729*100)</f>
        <v>3.9822911293998016</v>
      </c>
    </row>
    <row r="48" spans="1:7" s="11" customFormat="1" ht="12.75" x14ac:dyDescent="0.2">
      <c r="A48" s="57" t="s">
        <v>56</v>
      </c>
      <c r="B48" s="36">
        <v>135277.96225000001</v>
      </c>
      <c r="C48" s="58">
        <f>IF(OR(96790.0014="",135277.96225=""),"-",135277.96225/96790.0014*100)</f>
        <v>139.76439745149131</v>
      </c>
      <c r="D48" s="58">
        <f>IF(96790.0014="","-",96790.0014/1361306.86729*100)</f>
        <v>7.1100795658721054</v>
      </c>
      <c r="E48" s="58">
        <f>IF(135277.96225="","-",135277.96225/1572447.88026*100)</f>
        <v>8.60301724134934</v>
      </c>
      <c r="F48" s="58">
        <f>IF(OR(1581380.128="",125376.13988="",96790.0014=""),"-",(96790.0014-125376.13988)/1581380.128*100)</f>
        <v>-1.8076702731906349</v>
      </c>
      <c r="G48" s="58">
        <f>IF(OR(1361306.86729="",135277.96225="",96790.0014=""),"-",(135277.96225-96790.0014)/1361306.86729*100)</f>
        <v>2.8272802976906535</v>
      </c>
    </row>
    <row r="49" spans="1:7" s="7" customFormat="1" ht="25.5" x14ac:dyDescent="0.25">
      <c r="A49" s="57" t="s">
        <v>122</v>
      </c>
      <c r="B49" s="36">
        <v>33198.622689999997</v>
      </c>
      <c r="C49" s="58">
        <f>IF(OR(22191.42751="",33198.62269=""),"-",33198.62269/22191.42751*100)</f>
        <v>149.60111365093519</v>
      </c>
      <c r="D49" s="58">
        <f>IF(22191.42751="","-",22191.42751/1361306.86729*100)</f>
        <v>1.6301561421031567</v>
      </c>
      <c r="E49" s="58">
        <f>IF(33198.62269="","-",33198.62269/1572447.88026*100)</f>
        <v>2.1112701480770668</v>
      </c>
      <c r="F49" s="58">
        <f>IF(OR(1581380.128="",32407.21088="",22191.42751=""),"-",(22191.42751-32407.21088)/1581380.128*100)</f>
        <v>-0.64600428379734876</v>
      </c>
      <c r="G49" s="58">
        <f>IF(OR(1361306.86729="",33198.62269="",22191.42751=""),"-",(33198.62269-22191.42751)/1361306.86729*100)</f>
        <v>0.80857560073228707</v>
      </c>
    </row>
    <row r="50" spans="1:7" s="7" customFormat="1" x14ac:dyDescent="0.25">
      <c r="A50" s="57" t="s">
        <v>127</v>
      </c>
      <c r="B50" s="36">
        <v>27157.748500000002</v>
      </c>
      <c r="C50" s="58">
        <f>IF(OR(41446.01293="",27157.7485=""),"-",27157.7485/41446.01293*100)</f>
        <v>65.525599641798891</v>
      </c>
      <c r="D50" s="58">
        <f>IF(41446.01293="","-",41446.01293/1361306.86729*100)</f>
        <v>3.0445753213974447</v>
      </c>
      <c r="E50" s="58">
        <f>IF(27157.7485="","-",27157.7485/1572447.88026*100)</f>
        <v>1.7271000737722093</v>
      </c>
      <c r="F50" s="58">
        <f>IF(OR(1581380.128="",44058.70382="",41446.01293=""),"-",(41446.01293-44058.70382)/1581380.128*100)</f>
        <v>-0.16521586706064928</v>
      </c>
      <c r="G50" s="58">
        <f>IF(OR(1361306.86729="",27157.7485="",41446.01293=""),"-",(27157.7485-41446.01293)/1361306.86729*100)</f>
        <v>-1.049599085505543</v>
      </c>
    </row>
    <row r="51" spans="1:7" s="12" customFormat="1" x14ac:dyDescent="0.25">
      <c r="A51" s="57" t="s">
        <v>60</v>
      </c>
      <c r="B51" s="36">
        <v>14508.85958</v>
      </c>
      <c r="C51" s="58" t="s">
        <v>234</v>
      </c>
      <c r="D51" s="58">
        <f>IF(9514.0604="","-",9514.0604/1361306.86729*100)</f>
        <v>0.69889167744668512</v>
      </c>
      <c r="E51" s="58">
        <f>IF(14508.85958="","-",14508.85958/1572447.88026*100)</f>
        <v>0.92269255866216682</v>
      </c>
      <c r="F51" s="58">
        <f>IF(OR(1581380.128="",8433.15779="",9514.0604=""),"-",(9514.0604-8433.15779)/1581380.128*100)</f>
        <v>6.8351852338440475E-2</v>
      </c>
      <c r="G51" s="58">
        <f>IF(OR(1361306.86729="",14508.85958="",9514.0604=""),"-",(14508.85958-9514.0604)/1361306.86729*100)</f>
        <v>0.36691206810286037</v>
      </c>
    </row>
    <row r="52" spans="1:7" s="7" customFormat="1" x14ac:dyDescent="0.25">
      <c r="A52" s="57" t="s">
        <v>19</v>
      </c>
      <c r="B52" s="36">
        <v>13096.40482</v>
      </c>
      <c r="C52" s="58">
        <f>IF(OR(15011.90954="",13096.40482=""),"-",13096.40482/15011.90954*100)</f>
        <v>87.240099503024311</v>
      </c>
      <c r="D52" s="58">
        <f>IF(15011.90954="","-",15011.90954/1361306.86729*100)</f>
        <v>1.1027572034426538</v>
      </c>
      <c r="E52" s="58">
        <f>IF(13096.40482="","-",13096.40482/1572447.88026*100)</f>
        <v>0.83286733916004552</v>
      </c>
      <c r="F52" s="58">
        <f>IF(OR(1581380.128="",12822.42829="",15011.90954=""),"-",(15011.90954-12822.42829)/1581380.128*100)</f>
        <v>0.13845382341872964</v>
      </c>
      <c r="G52" s="58">
        <f>IF(OR(1361306.86729="",13096.40482="",15011.90954=""),"-",(13096.40482-15011.90954)/1361306.86729*100)</f>
        <v>-0.14071072188251438</v>
      </c>
    </row>
    <row r="53" spans="1:7" s="14" customFormat="1" x14ac:dyDescent="0.25">
      <c r="A53" s="57" t="s">
        <v>75</v>
      </c>
      <c r="B53" s="36">
        <v>12245.587890000001</v>
      </c>
      <c r="C53" s="58" t="s">
        <v>364</v>
      </c>
      <c r="D53" s="58">
        <f>IF(395.70259="","-",395.70259/1361306.86729*100)</f>
        <v>2.9067846457554322E-2</v>
      </c>
      <c r="E53" s="58">
        <f>IF(12245.58789="","-",12245.58789/1572447.88026*100)</f>
        <v>0.77875954069620579</v>
      </c>
      <c r="F53" s="58">
        <f>IF(OR(1581380.128="",1387.19517="",395.70259=""),"-",(395.70259-1387.19517)/1581380.128*100)</f>
        <v>-6.2697928375637202E-2</v>
      </c>
      <c r="G53" s="58">
        <f>IF(OR(1361306.86729="",12245.58789="",395.70259=""),"-",(12245.58789-395.70259)/1361306.86729*100)</f>
        <v>0.87047862496939954</v>
      </c>
    </row>
    <row r="54" spans="1:7" s="12" customFormat="1" x14ac:dyDescent="0.25">
      <c r="A54" s="57" t="s">
        <v>58</v>
      </c>
      <c r="B54" s="36">
        <v>11958.27836</v>
      </c>
      <c r="C54" s="58">
        <f>IF(OR(11140.87787="",11958.27836=""),"-",11958.27836/11140.87787*100)</f>
        <v>107.33694866363346</v>
      </c>
      <c r="D54" s="58">
        <f>IF(11140.87787="","-",11140.87787/1361306.86729*100)</f>
        <v>0.8183957737742501</v>
      </c>
      <c r="E54" s="58">
        <f>IF(11958.27836="","-",11958.27836/1572447.88026*100)</f>
        <v>0.76048805878530812</v>
      </c>
      <c r="F54" s="58">
        <f>IF(OR(1581380.128="",11738.88381="",11140.87787=""),"-",(11140.87787-11738.88381)/1581380.128*100)</f>
        <v>-3.7815445471438169E-2</v>
      </c>
      <c r="G54" s="58">
        <f>IF(OR(1361306.86729="",11958.27836="",11140.87787=""),"-",(11958.27836-11140.87787)/1361306.86729*100)</f>
        <v>6.0045277787162496E-2</v>
      </c>
    </row>
    <row r="55" spans="1:7" s="7" customFormat="1" x14ac:dyDescent="0.25">
      <c r="A55" s="57" t="s">
        <v>62</v>
      </c>
      <c r="B55" s="36">
        <v>7491.6529399999999</v>
      </c>
      <c r="C55" s="58" t="s">
        <v>319</v>
      </c>
      <c r="D55" s="58">
        <f>IF(2783.23293="","-",2783.23293/1361306.86729*100)</f>
        <v>0.20445301473727795</v>
      </c>
      <c r="E55" s="58">
        <f>IF(7491.65294="","-",7491.65294/1572447.88026*100)</f>
        <v>0.47643251226624284</v>
      </c>
      <c r="F55" s="58">
        <f>IF(OR(1581380.128="",4749.35576="",2783.23293=""),"-",(2783.23293-4749.35576)/1581380.128*100)</f>
        <v>-0.12432955209109597</v>
      </c>
      <c r="G55" s="58">
        <f>IF(OR(1361306.86729="",7491.65294="",2783.23293=""),"-",(7491.65294-2783.23293)/1361306.86729*100)</f>
        <v>0.34587499138773997</v>
      </c>
    </row>
    <row r="56" spans="1:7" s="7" customFormat="1" x14ac:dyDescent="0.25">
      <c r="A56" s="57" t="s">
        <v>59</v>
      </c>
      <c r="B56" s="36">
        <v>7445.4593299999997</v>
      </c>
      <c r="C56" s="58">
        <f>IF(OR(5826.86911="",7445.45933=""),"-",7445.45933/5826.86911*100)</f>
        <v>127.77804322431399</v>
      </c>
      <c r="D56" s="58">
        <f>IF(5826.86911="","-",5826.86911/1361306.86729*100)</f>
        <v>0.42803494568419731</v>
      </c>
      <c r="E56" s="58">
        <f>IF(7445.45933="","-",7445.45933/1572447.88026*100)</f>
        <v>0.47349482443697355</v>
      </c>
      <c r="F56" s="58">
        <f>IF(OR(1581380.128="",9498.34609="",5826.86911=""),"-",(5826.86911-9498.34609)/1581380.128*100)</f>
        <v>-0.23216916129099097</v>
      </c>
      <c r="G56" s="58">
        <f>IF(OR(1361306.86729="",7445.45933="",5826.86911=""),"-",(7445.45933-5826.86911)/1361306.86729*100)</f>
        <v>0.11889973222732526</v>
      </c>
    </row>
    <row r="57" spans="1:7" s="14" customFormat="1" x14ac:dyDescent="0.25">
      <c r="A57" s="57" t="s">
        <v>66</v>
      </c>
      <c r="B57" s="36">
        <v>5646.7657300000001</v>
      </c>
      <c r="C57" s="58">
        <f>IF(OR(5083.23496="",5646.76573=""),"-",5646.76573/5083.23496*100)</f>
        <v>111.0860657521131</v>
      </c>
      <c r="D57" s="58">
        <f>IF(5083.23496="","-",5083.23496/1361306.86729*100)</f>
        <v>0.37340845639891385</v>
      </c>
      <c r="E57" s="58">
        <f>IF(5646.76573="","-",5646.76573/1572447.88026*100)</f>
        <v>0.35910670241523829</v>
      </c>
      <c r="F57" s="58">
        <f>IF(OR(1581380.128="",5957.43511="",5083.23496=""),"-",(5083.23496-5957.43511)/1581380.128*100)</f>
        <v>-5.5280835677732794E-2</v>
      </c>
      <c r="G57" s="58">
        <f>IF(OR(1361306.86729="",5646.76573="",5083.23496=""),"-",(5646.76573-5083.23496)/1361306.86729*100)</f>
        <v>4.1396307000334184E-2</v>
      </c>
    </row>
    <row r="58" spans="1:7" s="7" customFormat="1" x14ac:dyDescent="0.25">
      <c r="A58" s="57" t="s">
        <v>68</v>
      </c>
      <c r="B58" s="36">
        <v>4646.5917900000004</v>
      </c>
      <c r="C58" s="58" t="s">
        <v>104</v>
      </c>
      <c r="D58" s="58">
        <f>IF(2981.77437="","-",2981.77437/1361306.86729*100)</f>
        <v>0.2190376352053465</v>
      </c>
      <c r="E58" s="58">
        <f>IF(4646.59179="","-",4646.59179/1572447.88026*100)</f>
        <v>0.295500528083112</v>
      </c>
      <c r="F58" s="58">
        <f>IF(OR(1581380.128="",5297.0952="",2981.77437=""),"-",(2981.77437-5297.0952)/1581380.128*100)</f>
        <v>-0.1464114028629048</v>
      </c>
      <c r="G58" s="58">
        <f>IF(OR(1361306.86729="",4646.59179="",2981.77437=""),"-",(4646.59179-2981.77437)/1361306.86729*100)</f>
        <v>0.12229552792267985</v>
      </c>
    </row>
    <row r="59" spans="1:7" s="12" customFormat="1" x14ac:dyDescent="0.25">
      <c r="A59" s="57" t="s">
        <v>57</v>
      </c>
      <c r="B59" s="36">
        <v>3607.0439200000001</v>
      </c>
      <c r="C59" s="58">
        <f>IF(OR(4399.67522="",3607.04392=""),"-",3607.04392/4399.67522*100)</f>
        <v>81.984322470057236</v>
      </c>
      <c r="D59" s="58">
        <f>IF(4399.67522="","-",4399.67522/1361306.86729*100)</f>
        <v>0.32319496255525276</v>
      </c>
      <c r="E59" s="58">
        <f>IF(3607.04392="","-",3607.04392/1572447.88026*100)</f>
        <v>0.22939036423920039</v>
      </c>
      <c r="F59" s="58">
        <f>IF(OR(1581380.128="",6619.62425="",4399.67522=""),"-",(4399.67522-6619.62425)/1581380.128*100)</f>
        <v>-0.14038048099210715</v>
      </c>
      <c r="G59" s="58">
        <f>IF(OR(1361306.86729="",3607.04392="",4399.67522=""),"-",(3607.04392-4399.67522)/1361306.86729*100)</f>
        <v>-5.8225762246973609E-2</v>
      </c>
    </row>
    <row r="60" spans="1:7" s="7" customFormat="1" x14ac:dyDescent="0.25">
      <c r="A60" s="57" t="s">
        <v>37</v>
      </c>
      <c r="B60" s="36">
        <v>2268.3681000000001</v>
      </c>
      <c r="C60" s="58">
        <f>IF(OR(2776.49723="",2268.3681=""),"-",2268.3681/2776.49723*100)</f>
        <v>81.698914570860211</v>
      </c>
      <c r="D60" s="58">
        <f>IF(2776.49723="","-",2776.49723/1361306.86729*100)</f>
        <v>0.20395821814425044</v>
      </c>
      <c r="E60" s="58">
        <f>IF(2268.3681="","-",2268.3681/1572447.88026*100)</f>
        <v>0.1442571247337579</v>
      </c>
      <c r="F60" s="58">
        <f>IF(OR(1581380.128="",1855.59137="",2776.49723=""),"-",(2776.49723-1855.59137)/1581380.128*100)</f>
        <v>5.8234313413605757E-2</v>
      </c>
      <c r="G60" s="58">
        <f>IF(OR(1361306.86729="",2268.3681="",2776.49723=""),"-",(2268.3681-2776.49723)/1361306.86729*100)</f>
        <v>-3.7326567742330563E-2</v>
      </c>
    </row>
    <row r="61" spans="1:7" s="12" customFormat="1" x14ac:dyDescent="0.25">
      <c r="A61" s="57" t="s">
        <v>63</v>
      </c>
      <c r="B61" s="36">
        <v>2249.03829</v>
      </c>
      <c r="C61" s="58" t="s">
        <v>365</v>
      </c>
      <c r="D61" s="58">
        <f>IF(193.44042="","-",193.44042/1361306.86729*100)</f>
        <v>1.4209905543567002E-2</v>
      </c>
      <c r="E61" s="58">
        <f>IF(2249.03829="","-",2249.03829/1572447.88026*100)</f>
        <v>0.14302784329030527</v>
      </c>
      <c r="F61" s="58">
        <f>IF(OR(1581380.128="",1968.70341="",193.44042=""),"-",(193.44042-1968.70341)/1581380.128*100)</f>
        <v>-0.1122603578081639</v>
      </c>
      <c r="G61" s="58">
        <f>IF(OR(1361306.86729="",2249.03829="",193.44042=""),"-",(2249.03829-193.44042)/1361306.86729*100)</f>
        <v>0.15100179976996289</v>
      </c>
    </row>
    <row r="62" spans="1:7" s="7" customFormat="1" x14ac:dyDescent="0.25">
      <c r="A62" s="57" t="s">
        <v>231</v>
      </c>
      <c r="B62" s="36">
        <v>2085.5038500000001</v>
      </c>
      <c r="C62" s="58" t="s">
        <v>330</v>
      </c>
      <c r="D62" s="58">
        <f>IF(15.83932="","-",15.83932/1361306.86729*100)</f>
        <v>1.1635378018427156E-3</v>
      </c>
      <c r="E62" s="58">
        <f>IF(2085.50385="","-",2085.50385/1572447.88026*100)</f>
        <v>0.13262785216481499</v>
      </c>
      <c r="F62" s="58">
        <f>IF(OR(1581380.128="",390.55589="",15.83932=""),"-",(15.83932-390.55589)/1581380.128*100)</f>
        <v>-2.3695540582890137E-2</v>
      </c>
      <c r="G62" s="58">
        <f>IF(OR(1361306.86729="",2085.50385="",15.83932=""),"-",(2085.50385-15.83932)/1361306.86729*100)</f>
        <v>0.15203512005490369</v>
      </c>
    </row>
    <row r="63" spans="1:7" s="12" customFormat="1" x14ac:dyDescent="0.25">
      <c r="A63" s="57" t="s">
        <v>76</v>
      </c>
      <c r="B63" s="36">
        <v>1875.2639899999999</v>
      </c>
      <c r="C63" s="58">
        <f>IF(OR(1252.31075="",1875.26399=""),"-",1875.26399/1252.31075*100)</f>
        <v>149.74430188353807</v>
      </c>
      <c r="D63" s="58">
        <f>IF(1252.31075="","-",1252.31075/1361306.86729*100)</f>
        <v>9.1993273529356226E-2</v>
      </c>
      <c r="E63" s="58">
        <f>IF(1875.26399="","-",1875.26399/1572447.88026*100)</f>
        <v>0.11925762459547658</v>
      </c>
      <c r="F63" s="58">
        <f>IF(OR(1581380.128="",1017.68197="",1252.31075=""),"-",(1252.31075-1017.68197)/1581380.128*100)</f>
        <v>1.4836962716658098E-2</v>
      </c>
      <c r="G63" s="58">
        <f>IF(OR(1361306.86729="",1875.26399="",1252.31075=""),"-",(1875.26399-1252.31075)/1361306.86729*100)</f>
        <v>4.5761411696991883E-2</v>
      </c>
    </row>
    <row r="64" spans="1:7" s="7" customFormat="1" x14ac:dyDescent="0.25">
      <c r="A64" s="57" t="s">
        <v>77</v>
      </c>
      <c r="B64" s="36">
        <v>1652.35113</v>
      </c>
      <c r="C64" s="58" t="s">
        <v>320</v>
      </c>
      <c r="D64" s="58">
        <f>IF(682.09246="","-",682.09246/1361306.86729*100)</f>
        <v>5.0105709182079183E-2</v>
      </c>
      <c r="E64" s="58">
        <f>IF(1652.35113="","-",1652.35113/1572447.88026*100)</f>
        <v>0.10508145616418066</v>
      </c>
      <c r="F64" s="58">
        <f>IF(OR(1581380.128="",755.5937="",682.09246=""),"-",(682.09246-755.5937)/1581380.128*100)</f>
        <v>-4.6479172653420405E-3</v>
      </c>
      <c r="G64" s="58">
        <f>IF(OR(1361306.86729="",1652.35113="",682.09246=""),"-",(1652.35113-682.09246)/1361306.86729*100)</f>
        <v>7.1274059751974012E-2</v>
      </c>
    </row>
    <row r="65" spans="1:7" s="7" customFormat="1" x14ac:dyDescent="0.25">
      <c r="A65" s="57" t="s">
        <v>65</v>
      </c>
      <c r="B65" s="36">
        <v>1550.7761800000001</v>
      </c>
      <c r="C65" s="58">
        <f>IF(OR(4634.52109="",1550.77618=""),"-",1550.77618/4634.52109*100)</f>
        <v>33.461411651489541</v>
      </c>
      <c r="D65" s="58">
        <f>IF(4634.52109="","-",4634.52109/1361306.86729*100)</f>
        <v>0.34044646371512832</v>
      </c>
      <c r="E65" s="58">
        <f>IF(1550.77618="","-",1550.77618/1572447.88026*100)</f>
        <v>9.8621785781769986E-2</v>
      </c>
      <c r="F65" s="58">
        <f>IF(OR(1581380.128="",6637.93526="",4634.52109=""),"-",(4634.52109-6637.93526)/1581380.128*100)</f>
        <v>-0.1266877036411071</v>
      </c>
      <c r="G65" s="58">
        <f>IF(OR(1361306.86729="",1550.77618="",4634.52109=""),"-",(1550.77618-4634.52109)/1361306.86729*100)</f>
        <v>-0.22652827103847029</v>
      </c>
    </row>
    <row r="66" spans="1:7" s="12" customFormat="1" x14ac:dyDescent="0.25">
      <c r="A66" s="57" t="s">
        <v>136</v>
      </c>
      <c r="B66" s="36">
        <v>1487.6644799999999</v>
      </c>
      <c r="C66" s="58" t="s">
        <v>103</v>
      </c>
      <c r="D66" s="58">
        <f>IF(883.39714="","-",883.39714/1361306.86729*100)</f>
        <v>6.4893314007782005E-2</v>
      </c>
      <c r="E66" s="58">
        <f>IF(1487.66448="","-",1487.66448/1572447.88026*100)</f>
        <v>9.4608190114003565E-2</v>
      </c>
      <c r="F66" s="58">
        <f>IF(OR(1581380.128="",682.64384="",883.39714=""),"-",(883.39714-682.64384)/1581380.128*100)</f>
        <v>1.2694816157447003E-2</v>
      </c>
      <c r="G66" s="58">
        <f>IF(OR(1361306.86729="",1487.66448="",883.39714=""),"-",(1487.66448-883.39714)/1361306.86729*100)</f>
        <v>4.4388767479219104E-2</v>
      </c>
    </row>
    <row r="67" spans="1:7" s="14" customFormat="1" x14ac:dyDescent="0.25">
      <c r="A67" s="57" t="s">
        <v>88</v>
      </c>
      <c r="B67" s="36">
        <v>910.87986999999998</v>
      </c>
      <c r="C67" s="58" t="s">
        <v>366</v>
      </c>
      <c r="D67" s="58">
        <f>IF(39.80536="","-",39.80536/1361306.86729*100)</f>
        <v>2.9240548884647802E-3</v>
      </c>
      <c r="E67" s="58">
        <f>IF(910.87987="","-",910.87987/1572447.88026*100)</f>
        <v>5.7927507896121083E-2</v>
      </c>
      <c r="F67" s="58" t="str">
        <f>IF(OR(1581380.128="",""="",39.80536=""),"-",(39.80536-"")/1581380.128*100)</f>
        <v>-</v>
      </c>
      <c r="G67" s="58">
        <f>IF(OR(1361306.86729="",910.87987="",39.80536=""),"-",(910.87987-39.80536)/1361306.86729*100)</f>
        <v>6.3988108113645081E-2</v>
      </c>
    </row>
    <row r="68" spans="1:7" s="7" customFormat="1" x14ac:dyDescent="0.25">
      <c r="A68" s="57" t="s">
        <v>230</v>
      </c>
      <c r="B68" s="36">
        <v>831.21190999999999</v>
      </c>
      <c r="C68" s="58">
        <f>IF(OR(817.48019="",831.21191=""),"-",831.21191/817.48019*100)</f>
        <v>101.67976180560412</v>
      </c>
      <c r="D68" s="58">
        <f>IF(817.48019="","-",817.48019/1361306.86729*100)</f>
        <v>6.0051132455343131E-2</v>
      </c>
      <c r="E68" s="58">
        <f>IF(831.21191="","-",831.21191/1572447.88026*100)</f>
        <v>5.2861015009448925E-2</v>
      </c>
      <c r="F68" s="58">
        <f>IF(OR(1581380.128="",809.47462="",817.48019=""),"-",(817.48019-809.47462)/1581380.128*100)</f>
        <v>5.0623944605430343E-4</v>
      </c>
      <c r="G68" s="58">
        <f>IF(OR(1361306.86729="",831.21191="",817.48019=""),"-",(831.21191-817.48019)/1361306.86729*100)</f>
        <v>1.0087159868175939E-3</v>
      </c>
    </row>
    <row r="69" spans="1:7" s="7" customFormat="1" x14ac:dyDescent="0.25">
      <c r="A69" s="57" t="s">
        <v>61</v>
      </c>
      <c r="B69" s="36">
        <v>824.19584999999995</v>
      </c>
      <c r="C69" s="58">
        <f>IF(OR(2415.68821="",824.19585=""),"-",824.19585/2415.68821*100)</f>
        <v>34.11846970102156</v>
      </c>
      <c r="D69" s="58">
        <f>IF(2415.68821="","-",2415.68821/1361306.86729*100)</f>
        <v>0.17745361226370604</v>
      </c>
      <c r="E69" s="58">
        <f>IF(824.19585="","-",824.19585/1572447.88026*100)</f>
        <v>5.2414827883752901E-2</v>
      </c>
      <c r="F69" s="58">
        <f>IF(OR(1581380.128="",2877.57442="",2415.68821=""),"-",(2415.68821-2877.57442)/1581380.128*100)</f>
        <v>-2.9207791461510015E-2</v>
      </c>
      <c r="G69" s="58">
        <f>IF(OR(1361306.86729="",824.19585="",2415.68821=""),"-",(824.19585-2415.68821)/1361306.86729*100)</f>
        <v>-0.1169091553301452</v>
      </c>
    </row>
    <row r="70" spans="1:7" s="7" customFormat="1" x14ac:dyDescent="0.25">
      <c r="A70" s="57" t="s">
        <v>67</v>
      </c>
      <c r="B70" s="36">
        <v>777.13869</v>
      </c>
      <c r="C70" s="58">
        <f>IF(OR(3091.07468="",777.13869=""),"-",777.13869/3091.07468*100)</f>
        <v>25.141375426102613</v>
      </c>
      <c r="D70" s="58">
        <f>IF(3091.07468="","-",3091.07468/1361306.86729*100)</f>
        <v>0.22706670731438444</v>
      </c>
      <c r="E70" s="58">
        <f>IF(777.13869="","-",777.13869/1572447.88026*100)</f>
        <v>4.942222249499946E-2</v>
      </c>
      <c r="F70" s="58">
        <f>IF(OR(1581380.128="",22.26872="",3091.07468=""),"-",(3091.07468-22.26872)/1581380.128*100)</f>
        <v>0.19405871527430754</v>
      </c>
      <c r="G70" s="58">
        <f>IF(OR(1361306.86729="",777.13869="",3091.07468=""),"-",(777.13869-3091.07468)/1361306.86729*100)</f>
        <v>-0.16997901396078544</v>
      </c>
    </row>
    <row r="71" spans="1:7" s="7" customFormat="1" x14ac:dyDescent="0.25">
      <c r="A71" s="57" t="s">
        <v>109</v>
      </c>
      <c r="B71" s="36">
        <v>742.06410000000005</v>
      </c>
      <c r="C71" s="58">
        <f>IF(OR(557.97836="",742.0641=""),"-",742.0641/557.97836*100)</f>
        <v>132.9915554431179</v>
      </c>
      <c r="D71" s="58">
        <f>IF(557.97836="","-",557.97836/1361306.86729*100)</f>
        <v>4.0988433497789259E-2</v>
      </c>
      <c r="E71" s="58">
        <f>IF(742.0641="","-",742.0641/1572447.88026*100)</f>
        <v>4.7191649994612339E-2</v>
      </c>
      <c r="F71" s="58">
        <f>IF(OR(1581380.128="",962.50047="",557.97836=""),"-",(557.97836-962.50047)/1581380.128*100)</f>
        <v>-2.5580320812024271E-2</v>
      </c>
      <c r="G71" s="58">
        <f>IF(OR(1361306.86729="",742.0641="",557.97836=""),"-",(742.0641-557.97836)/1361306.86729*100)</f>
        <v>1.3522721762688662E-2</v>
      </c>
    </row>
    <row r="72" spans="1:7" s="7" customFormat="1" x14ac:dyDescent="0.25">
      <c r="A72" s="57" t="s">
        <v>36</v>
      </c>
      <c r="B72" s="36">
        <v>624.49878000000001</v>
      </c>
      <c r="C72" s="58" t="s">
        <v>20</v>
      </c>
      <c r="D72" s="58">
        <f>IF(308.19528="","-",308.19528/1361306.86729*100)</f>
        <v>2.263966247474641E-2</v>
      </c>
      <c r="E72" s="58">
        <f>IF(624.49878="","-",624.49878/1572447.88026*100)</f>
        <v>3.9715070231564099E-2</v>
      </c>
      <c r="F72" s="58">
        <f>IF(OR(1581380.128="",179.27325="",308.19528=""),"-",(308.19528-179.27325)/1581380.128*100)</f>
        <v>8.1525009526362303E-3</v>
      </c>
      <c r="G72" s="58">
        <f>IF(OR(1361306.86729="",624.49878="",308.19528=""),"-",(624.49878-308.19528)/1361306.86729*100)</f>
        <v>2.3235282771303149E-2</v>
      </c>
    </row>
    <row r="73" spans="1:7" s="7" customFormat="1" x14ac:dyDescent="0.25">
      <c r="A73" s="57" t="s">
        <v>38</v>
      </c>
      <c r="B73" s="36">
        <v>562.95087000000001</v>
      </c>
      <c r="C73" s="58">
        <f>IF(OR(543.73806="",562.95087=""),"-",562.95087/543.73806*100)</f>
        <v>103.53346793490969</v>
      </c>
      <c r="D73" s="58">
        <f>IF(543.73806="","-",543.73806/1361306.86729*100)</f>
        <v>3.994235782284989E-2</v>
      </c>
      <c r="E73" s="58">
        <f>IF(562.95087="","-",562.95087/1572447.88026*100)</f>
        <v>3.5800923964927706E-2</v>
      </c>
      <c r="F73" s="58">
        <f>IF(OR(1581380.128="",624.43887="",543.73806=""),"-",(543.73806-624.43887)/1581380.128*100)</f>
        <v>-5.1031885737721832E-3</v>
      </c>
      <c r="G73" s="58">
        <f>IF(OR(1361306.86729="",562.95087="",543.73806=""),"-",(562.95087-543.73806)/1361306.86729*100)</f>
        <v>1.4113504061172913E-3</v>
      </c>
    </row>
    <row r="74" spans="1:7" s="7" customFormat="1" x14ac:dyDescent="0.25">
      <c r="A74" s="57" t="s">
        <v>160</v>
      </c>
      <c r="B74" s="36">
        <v>534.65498000000002</v>
      </c>
      <c r="C74" s="58" t="s">
        <v>342</v>
      </c>
      <c r="D74" s="58">
        <f>IF(157.38954="","-",157.38954/1361306.86729*100)</f>
        <v>1.1561650336291973E-2</v>
      </c>
      <c r="E74" s="58">
        <f>IF(534.65498="","-",534.65498/1572447.88026*100)</f>
        <v>3.4001443654310265E-2</v>
      </c>
      <c r="F74" s="58">
        <f>IF(OR(1581380.128="",457.76888="",157.38954=""),"-",(157.38954-457.76888)/1581380.128*100)</f>
        <v>-1.8994758735200193E-2</v>
      </c>
      <c r="G74" s="58">
        <f>IF(OR(1361306.86729="",534.65498="",157.38954=""),"-",(534.65498-157.38954)/1361306.86729*100)</f>
        <v>2.7713475121963881E-2</v>
      </c>
    </row>
    <row r="75" spans="1:7" s="7" customFormat="1" x14ac:dyDescent="0.25">
      <c r="A75" s="57" t="s">
        <v>39</v>
      </c>
      <c r="B75" s="36">
        <v>520.55084999999997</v>
      </c>
      <c r="C75" s="58">
        <f>IF(OR(1340.06666="",520.55085=""),"-",520.55085/1340.06666*100)</f>
        <v>38.845145957142165</v>
      </c>
      <c r="D75" s="58">
        <f>IF(1340.06666="","-",1340.06666/1361306.86729*100)</f>
        <v>9.8439719375523052E-2</v>
      </c>
      <c r="E75" s="58">
        <f>IF(520.55085="","-",520.55085/1572447.88026*100)</f>
        <v>3.3104489918860031E-2</v>
      </c>
      <c r="F75" s="58">
        <f>IF(OR(1581380.128="",1220.21153="",1340.06666=""),"-",(1340.06666-1220.21153)/1581380.128*100)</f>
        <v>7.5791473459061905E-3</v>
      </c>
      <c r="G75" s="58">
        <f>IF(OR(1361306.86729="",520.55085="",1340.06666=""),"-",(520.55085-1340.06666)/1361306.86729*100)</f>
        <v>-6.0200666704299972E-2</v>
      </c>
    </row>
    <row r="76" spans="1:7" s="7" customFormat="1" x14ac:dyDescent="0.25">
      <c r="A76" s="57" t="s">
        <v>72</v>
      </c>
      <c r="B76" s="36">
        <v>460.17577999999997</v>
      </c>
      <c r="C76" s="58">
        <f>IF(OR(574.86521="",460.17578=""),"-",460.17578/574.86521*100)</f>
        <v>80.049335391160639</v>
      </c>
      <c r="D76" s="58">
        <f>IF(574.86521="","-",574.86521/1361306.86729*100)</f>
        <v>4.2228921620325315E-2</v>
      </c>
      <c r="E76" s="58">
        <f>IF(460.17578="","-",460.17578/1572447.88026*100)</f>
        <v>2.9264930544083349E-2</v>
      </c>
      <c r="F76" s="58">
        <f>IF(OR(1581380.128="",881.9413="",574.86521=""),"-",(574.86521-881.9413)/1581380.128*100)</f>
        <v>-1.941823376700481E-2</v>
      </c>
      <c r="G76" s="58">
        <f>IF(OR(1361306.86729="",460.17578="",574.86521=""),"-",(460.17578-574.86521)/1361306.86729*100)</f>
        <v>-8.4249505204007542E-3</v>
      </c>
    </row>
    <row r="77" spans="1:7" x14ac:dyDescent="0.25">
      <c r="A77" s="57" t="s">
        <v>135</v>
      </c>
      <c r="B77" s="36">
        <v>446.12178999999998</v>
      </c>
      <c r="C77" s="58" t="s">
        <v>234</v>
      </c>
      <c r="D77" s="58">
        <f>IF(290.33093="","-",290.33093/1361306.86729*100)</f>
        <v>2.1327368352880766E-2</v>
      </c>
      <c r="E77" s="58">
        <f>IF(446.12179="","-",446.12179/1572447.88026*100)</f>
        <v>2.8371165467578799E-2</v>
      </c>
      <c r="F77" s="58">
        <f>IF(OR(1581380.128="",40.49731="",290.33093=""),"-",(290.33093-40.49731)/1581380.128*100)</f>
        <v>1.5798454500371716E-2</v>
      </c>
      <c r="G77" s="58">
        <f>IF(OR(1361306.86729="",446.12179="",290.33093=""),"-",(446.12179-290.33093)/1361306.86729*100)</f>
        <v>1.1444213185388401E-2</v>
      </c>
    </row>
    <row r="78" spans="1:7" x14ac:dyDescent="0.25">
      <c r="A78" s="57" t="s">
        <v>236</v>
      </c>
      <c r="B78" s="36">
        <v>381.39219000000003</v>
      </c>
      <c r="C78" s="58" t="s">
        <v>367</v>
      </c>
      <c r="D78" s="58">
        <f>IF(84.02928="","-",84.02928/1361306.86729*100)</f>
        <v>6.1726919931932725E-3</v>
      </c>
      <c r="E78" s="58">
        <f>IF(381.39219="","-",381.39219/1572447.88026*100)</f>
        <v>2.4254679267139707E-2</v>
      </c>
      <c r="F78" s="58">
        <f>IF(OR(1581380.128="",2995.41757="",84.02928=""),"-",(84.02928-2995.41757)/1581380.128*100)</f>
        <v>-0.18410426680156183</v>
      </c>
      <c r="G78" s="58">
        <f>IF(OR(1361306.86729="",381.39219="",84.02928=""),"-",(381.39219-84.02928)/1361306.86729*100)</f>
        <v>2.1843929325940339E-2</v>
      </c>
    </row>
    <row r="79" spans="1:7" x14ac:dyDescent="0.25">
      <c r="A79" s="57" t="s">
        <v>83</v>
      </c>
      <c r="B79" s="36">
        <v>378.75375000000003</v>
      </c>
      <c r="C79" s="58" t="s">
        <v>309</v>
      </c>
      <c r="D79" s="58">
        <f>IF(146.38074="","-",146.38074/1361306.86729*100)</f>
        <v>1.075295684737161E-2</v>
      </c>
      <c r="E79" s="58">
        <f>IF(378.75375="","-",378.75375/1572447.88026*100)</f>
        <v>2.4086887378256004E-2</v>
      </c>
      <c r="F79" s="58">
        <f>IF(OR(1581380.128="",660.6675="",146.38074=""),"-",(146.38074-660.6675)/1581380.128*100)</f>
        <v>-3.2521387545853868E-2</v>
      </c>
      <c r="G79" s="58">
        <f>IF(OR(1361306.86729="",378.75375="",146.38074=""),"-",(378.75375-146.38074)/1361306.86729*100)</f>
        <v>1.7069847775218597E-2</v>
      </c>
    </row>
    <row r="80" spans="1:7" x14ac:dyDescent="0.25">
      <c r="A80" s="57" t="s">
        <v>102</v>
      </c>
      <c r="B80" s="36">
        <v>341.76294000000001</v>
      </c>
      <c r="C80" s="58">
        <f>IF(OR(315.09482="",341.76294=""),"-",341.76294/315.09482*100)</f>
        <v>108.46352218675</v>
      </c>
      <c r="D80" s="58">
        <f>IF(315.09482="","-",315.09482/1361306.86729*100)</f>
        <v>2.314649456130858E-2</v>
      </c>
      <c r="E80" s="58">
        <f>IF(341.76294="","-",341.76294/1572447.88026*100)</f>
        <v>2.1734452651205865E-2</v>
      </c>
      <c r="F80" s="58">
        <f>IF(OR(1581380.128="",100.98459="",315.09482=""),"-",(315.09482-100.98459)/1581380.128*100)</f>
        <v>1.353945368409233E-2</v>
      </c>
      <c r="G80" s="58">
        <f>IF(OR(1361306.86729="",341.76294="",315.09482=""),"-",(341.76294-315.09482)/1361306.86729*100)</f>
        <v>1.9590087026512344E-3</v>
      </c>
    </row>
    <row r="81" spans="1:7" x14ac:dyDescent="0.25">
      <c r="A81" s="57" t="s">
        <v>70</v>
      </c>
      <c r="B81" s="36">
        <v>341.76137999999997</v>
      </c>
      <c r="C81" s="58">
        <f>IF(OR(791.24182="",341.76138=""),"-",341.76138/791.24182*100)</f>
        <v>43.193038001960005</v>
      </c>
      <c r="D81" s="58">
        <f>IF(791.24182="","-",791.24182/1361306.86729*100)</f>
        <v>5.8123692681808926E-2</v>
      </c>
      <c r="E81" s="58">
        <f>IF(341.76138="","-",341.76138/1572447.88026*100)</f>
        <v>2.1734353442830208E-2</v>
      </c>
      <c r="F81" s="58">
        <f>IF(OR(1581380.128="",769.37608="",791.24182=""),"-",(791.24182-769.37608)/1581380.128*100)</f>
        <v>1.3826998084043181E-3</v>
      </c>
      <c r="G81" s="58">
        <f>IF(OR(1361306.86729="",341.76138="",791.24182=""),"-",(341.76138-791.24182)/1361306.86729*100)</f>
        <v>-3.3018304013612748E-2</v>
      </c>
    </row>
    <row r="82" spans="1:7" x14ac:dyDescent="0.25">
      <c r="A82" s="57" t="s">
        <v>137</v>
      </c>
      <c r="B82" s="36">
        <v>336.93794000000003</v>
      </c>
      <c r="C82" s="58" t="s">
        <v>368</v>
      </c>
      <c r="D82" s="58">
        <f>IF(63.79511="","-",63.79511/1361306.86729*100)</f>
        <v>4.6863136837764661E-3</v>
      </c>
      <c r="E82" s="58">
        <f>IF(336.93794="","-",336.93794/1572447.88026*100)</f>
        <v>2.1427606232919356E-2</v>
      </c>
      <c r="F82" s="58">
        <f>IF(OR(1581380.128="",114.17814="",63.79511=""),"-",(63.79511-114.17814)/1581380.128*100)</f>
        <v>-3.186016385808536E-3</v>
      </c>
      <c r="G82" s="58">
        <f>IF(OR(1361306.86729="",336.93794="",63.79511=""),"-",(336.93794-63.79511)/1361306.86729*100)</f>
        <v>2.0064750759963088E-2</v>
      </c>
    </row>
    <row r="83" spans="1:7" x14ac:dyDescent="0.25">
      <c r="A83" s="57" t="s">
        <v>93</v>
      </c>
      <c r="B83" s="36">
        <v>331.85469000000001</v>
      </c>
      <c r="C83" s="58">
        <f>IF(OR(597.79092="",331.85469=""),"-",331.85469/597.79092*100)</f>
        <v>55.513504621314759</v>
      </c>
      <c r="D83" s="58">
        <f>IF(597.79092="","-",597.79092/1361306.86729*100)</f>
        <v>4.3913017289778519E-2</v>
      </c>
      <c r="E83" s="58">
        <f>IF(331.85469="","-",331.85469/1572447.88026*100)</f>
        <v>2.1104336376804346E-2</v>
      </c>
      <c r="F83" s="58">
        <f>IF(OR(1581380.128="",87.01341="",597.79092=""),"-",(597.79092-87.01341)/1581380.128*100)</f>
        <v>3.2299476954095123E-2</v>
      </c>
      <c r="G83" s="58">
        <f>IF(OR(1361306.86729="",331.85469="",597.79092=""),"-",(331.85469-597.79092)/1361306.86729*100)</f>
        <v>-1.9535362407258575E-2</v>
      </c>
    </row>
    <row r="84" spans="1:7" x14ac:dyDescent="0.25">
      <c r="A84" s="57" t="s">
        <v>152</v>
      </c>
      <c r="B84" s="36">
        <v>324.97647000000001</v>
      </c>
      <c r="C84" s="58" t="s">
        <v>234</v>
      </c>
      <c r="D84" s="58">
        <f>IF(214.63237="","-",214.63237/1361306.86729*100)</f>
        <v>1.5766641244326932E-2</v>
      </c>
      <c r="E84" s="58">
        <f>IF(324.97647="","-",324.97647/1572447.88026*100)</f>
        <v>2.0666915201428871E-2</v>
      </c>
      <c r="F84" s="58">
        <f>IF(OR(1581380.128="",149.53541="",214.63237=""),"-",(214.63237-149.53541)/1581380.128*100)</f>
        <v>4.1164650324984984E-3</v>
      </c>
      <c r="G84" s="58">
        <f>IF(OR(1361306.86729="",324.97647="",214.63237=""),"-",(324.97647-214.63237)/1361306.86729*100)</f>
        <v>8.1057476937338724E-3</v>
      </c>
    </row>
    <row r="85" spans="1:7" x14ac:dyDescent="0.25">
      <c r="A85" s="57" t="s">
        <v>131</v>
      </c>
      <c r="B85" s="36">
        <v>312.13409999999999</v>
      </c>
      <c r="C85" s="58">
        <f>IF(OR(744.02661="",312.1341=""),"-",312.1341/744.02661*100)</f>
        <v>41.952007603599014</v>
      </c>
      <c r="D85" s="58">
        <f>IF(744.02661="","-",744.02661/1361306.86729*100)</f>
        <v>5.4655318934896668E-2</v>
      </c>
      <c r="E85" s="58">
        <f>IF(312.1341="","-",312.1341/1572447.88026*100)</f>
        <v>1.9850203235250597E-2</v>
      </c>
      <c r="F85" s="58">
        <f>IF(OR(1581380.128="",187.01941="",744.02661=""),"-",(744.02661-187.01941)/1581380.128*100)</f>
        <v>3.522285313553656E-2</v>
      </c>
      <c r="G85" s="58">
        <f>IF(OR(1361306.86729="",312.1341="",744.02661=""),"-",(312.1341-744.02661)/1361306.86729*100)</f>
        <v>-3.1726315379557529E-2</v>
      </c>
    </row>
    <row r="86" spans="1:7" x14ac:dyDescent="0.25">
      <c r="A86" s="57" t="s">
        <v>157</v>
      </c>
      <c r="B86" s="36">
        <v>299.39999999999998</v>
      </c>
      <c r="C86" s="58" t="s">
        <v>103</v>
      </c>
      <c r="D86" s="58">
        <f>IF(179.7168="","-",179.7168/1361306.86729*100)</f>
        <v>1.3201784573214442E-2</v>
      </c>
      <c r="E86" s="58">
        <f>IF(299.4="","-",299.4/1572447.88026*100)</f>
        <v>1.9040376711913339E-2</v>
      </c>
      <c r="F86" s="58">
        <f>IF(OR(1581380.128="",71.9935="",179.7168=""),"-",(179.7168-71.9935)/1581380.128*100)</f>
        <v>6.811980123731516E-3</v>
      </c>
      <c r="G86" s="58">
        <f>IF(OR(1361306.86729="",299.4="",179.7168=""),"-",(299.4-179.7168)/1361306.86729*100)</f>
        <v>8.7917869861523137E-3</v>
      </c>
    </row>
    <row r="87" spans="1:7" x14ac:dyDescent="0.25">
      <c r="A87" s="57" t="s">
        <v>101</v>
      </c>
      <c r="B87" s="36">
        <v>275.38569000000001</v>
      </c>
      <c r="C87" s="58" t="s">
        <v>220</v>
      </c>
      <c r="D87" s="58">
        <f>IF(125.53353="","-",125.53353/1361306.86729*100)</f>
        <v>9.221545341198777E-3</v>
      </c>
      <c r="E87" s="58">
        <f>IF(275.38569="","-",275.38569/1572447.88026*100)</f>
        <v>1.7513183963494276E-2</v>
      </c>
      <c r="F87" s="58">
        <f>IF(OR(1581380.128="",341.46998="",125.53353=""),"-",(125.53353-341.46998)/1581380.128*100)</f>
        <v>-1.365493635442977E-2</v>
      </c>
      <c r="G87" s="58">
        <f>IF(OR(1361306.86729="",275.38569="",125.53353=""),"-",(275.38569-125.53353)/1361306.86729*100)</f>
        <v>1.1007963274167259E-2</v>
      </c>
    </row>
    <row r="88" spans="1:7" x14ac:dyDescent="0.25">
      <c r="A88" s="57" t="s">
        <v>91</v>
      </c>
      <c r="B88" s="36">
        <v>233.56630000000001</v>
      </c>
      <c r="C88" s="58">
        <f>IF(OR(278.35582="",233.5663=""),"-",233.5663/278.35582*100)</f>
        <v>83.90925686411012</v>
      </c>
      <c r="D88" s="58">
        <f>IF(278.35582="","-",278.35582/1361306.86729*100)</f>
        <v>2.0447690868858424E-2</v>
      </c>
      <c r="E88" s="58">
        <f>IF(233.5663="","-",233.5663/1572447.88026*100)</f>
        <v>1.4853675147654524E-2</v>
      </c>
      <c r="F88" s="58">
        <f>IF(OR(1581380.128="",1175.53676="",278.35582=""),"-",(278.35582-1175.53676)/1581380.128*100)</f>
        <v>-5.673404667950905E-2</v>
      </c>
      <c r="G88" s="58">
        <f>IF(OR(1361306.86729="",233.5663="",278.35582=""),"-",(233.5663-278.35582)/1361306.86729*100)</f>
        <v>-3.290185414928818E-3</v>
      </c>
    </row>
    <row r="89" spans="1:7" x14ac:dyDescent="0.25">
      <c r="A89" s="57" t="s">
        <v>96</v>
      </c>
      <c r="B89" s="36">
        <v>231.46487999999999</v>
      </c>
      <c r="C89" s="58">
        <f>IF(OR(183.36195="",231.46488=""),"-",231.46488/183.36195*100)</f>
        <v>126.23386695004062</v>
      </c>
      <c r="D89" s="58">
        <f>IF(183.36195="","-",183.36195/1361306.86729*100)</f>
        <v>1.3469553001302703E-2</v>
      </c>
      <c r="E89" s="58">
        <f>IF(231.46488="","-",231.46488/1572447.88026*100)</f>
        <v>1.4720035106138328E-2</v>
      </c>
      <c r="F89" s="58">
        <f>IF(OR(1581380.128="",335.15055="",183.36195=""),"-",(183.36195-335.15055)/1581380.128*100)</f>
        <v>-9.5984891495993294E-3</v>
      </c>
      <c r="G89" s="58">
        <f>IF(OR(1361306.86729="",231.46488="",183.36195=""),"-",(231.46488-183.36195)/1361306.86729*100)</f>
        <v>3.5335846131269526E-3</v>
      </c>
    </row>
    <row r="90" spans="1:7" x14ac:dyDescent="0.25">
      <c r="A90" s="57" t="s">
        <v>141</v>
      </c>
      <c r="B90" s="36">
        <v>211.45376999999999</v>
      </c>
      <c r="C90" s="58" t="s">
        <v>331</v>
      </c>
      <c r="D90" s="58">
        <f>IF(50.18097="","-",50.18097/1361306.86729*100)</f>
        <v>3.6862349853488195E-3</v>
      </c>
      <c r="E90" s="58">
        <f>IF(211.45377="","-",211.45377/1572447.88026*100)</f>
        <v>1.3447426312472545E-2</v>
      </c>
      <c r="F90" s="58">
        <f>IF(OR(1581380.128="",43.23246="",50.18097=""),"-",(50.18097-43.23246)/1581380.128*100)</f>
        <v>4.3939530268335324E-4</v>
      </c>
      <c r="G90" s="58">
        <f>IF(OR(1361306.86729="",211.45377="",50.18097=""),"-",(211.45377-50.18097)/1361306.86729*100)</f>
        <v>1.1846910044687518E-2</v>
      </c>
    </row>
    <row r="91" spans="1:7" x14ac:dyDescent="0.25">
      <c r="A91" s="57" t="s">
        <v>78</v>
      </c>
      <c r="B91" s="36">
        <v>191.82117</v>
      </c>
      <c r="C91" s="58">
        <f>IF(OR(141.4942="",191.82117=""),"-",191.82117/141.4942*100)</f>
        <v>135.56822117090312</v>
      </c>
      <c r="D91" s="58">
        <f>IF(141.4942="","-",141.4942/1361306.86729*100)</f>
        <v>1.0393997371193561E-2</v>
      </c>
      <c r="E91" s="58">
        <f>IF(191.82117="","-",191.82117/1572447.88026*100)</f>
        <v>1.2198888904876318E-2</v>
      </c>
      <c r="F91" s="58">
        <f>IF(OR(1581380.128="",83.59686="",141.4942=""),"-",(141.4942-83.59686)/1581380.128*100)</f>
        <v>3.6611905622732093E-3</v>
      </c>
      <c r="G91" s="58">
        <f>IF(OR(1361306.86729="",191.82117="",141.4942=""),"-",(191.82117-141.4942)/1361306.86729*100)</f>
        <v>3.6969599734839806E-3</v>
      </c>
    </row>
    <row r="92" spans="1:7" x14ac:dyDescent="0.25">
      <c r="A92" s="57" t="s">
        <v>69</v>
      </c>
      <c r="B92" s="36">
        <v>190.19476</v>
      </c>
      <c r="C92" s="58" t="s">
        <v>369</v>
      </c>
      <c r="D92" s="58">
        <f>IF(20.45424="","-",20.45424/1361306.86729*100)</f>
        <v>1.5025443925599927E-3</v>
      </c>
      <c r="E92" s="58">
        <f>IF(190.19476="","-",190.19476/1572447.88026*100)</f>
        <v>1.2095457177795414E-2</v>
      </c>
      <c r="F92" s="58">
        <f>IF(OR(1581380.128="",235.20008="",20.45424=""),"-",(20.45424-235.20008)/1581380.128*100)</f>
        <v>-1.3579647056245292E-2</v>
      </c>
      <c r="G92" s="58">
        <f>IF(OR(1361306.86729="",190.19476="",20.45424=""),"-",(190.19476-20.45424)/1361306.86729*100)</f>
        <v>1.2468938788056527E-2</v>
      </c>
    </row>
    <row r="93" spans="1:7" x14ac:dyDescent="0.25">
      <c r="A93" s="57" t="s">
        <v>360</v>
      </c>
      <c r="B93" s="36">
        <v>183.52502000000001</v>
      </c>
      <c r="C93" s="58" t="str">
        <f>IF(OR(""="",183.52502=""),"-",183.52502/""*100)</f>
        <v>-</v>
      </c>
      <c r="D93" s="58" t="str">
        <f>IF(""="","-",""/1361306.86729*100)</f>
        <v>-</v>
      </c>
      <c r="E93" s="58">
        <f>IF(183.52502="","-",183.52502/1572447.88026*100)</f>
        <v>1.1671294311494423E-2</v>
      </c>
      <c r="F93" s="58" t="str">
        <f>IF(OR(1581380.128="",""="",""=""),"-",(""-"")/1581380.128*100)</f>
        <v>-</v>
      </c>
      <c r="G93" s="58" t="str">
        <f>IF(OR(1361306.86729="",183.52502="",""=""),"-",(183.52502-"")/1361306.86729*100)</f>
        <v>-</v>
      </c>
    </row>
    <row r="94" spans="1:7" x14ac:dyDescent="0.25">
      <c r="A94" s="57" t="s">
        <v>361</v>
      </c>
      <c r="B94" s="36">
        <v>171.86098999999999</v>
      </c>
      <c r="C94" s="58" t="str">
        <f>IF(OR(""="",171.86099=""),"-",171.86099/""*100)</f>
        <v>-</v>
      </c>
      <c r="D94" s="58" t="str">
        <f>IF(""="","-",""/1361306.86729*100)</f>
        <v>-</v>
      </c>
      <c r="E94" s="58">
        <f>IF(171.86099="","-",171.86099/1572447.88026*100)</f>
        <v>1.0929519010295161E-2</v>
      </c>
      <c r="F94" s="58" t="str">
        <f>IF(OR(1581380.128="",""="",""=""),"-",(""-"")/1581380.128*100)</f>
        <v>-</v>
      </c>
      <c r="G94" s="58" t="str">
        <f>IF(OR(1361306.86729="",171.86099="",""=""),"-",(171.86099-"")/1361306.86729*100)</f>
        <v>-</v>
      </c>
    </row>
    <row r="95" spans="1:7" x14ac:dyDescent="0.25">
      <c r="A95" s="57" t="s">
        <v>86</v>
      </c>
      <c r="B95" s="36">
        <v>164.12449000000001</v>
      </c>
      <c r="C95" s="58">
        <f>IF(OR(287.84784="",164.12449=""),"-",164.12449/287.84784*100)</f>
        <v>57.017794540337697</v>
      </c>
      <c r="D95" s="58">
        <f>IF(287.84784="","-",287.84784/1361306.86729*100)</f>
        <v>2.1144963484466112E-2</v>
      </c>
      <c r="E95" s="58">
        <f>IF(164.12449="","-",164.12449/1572447.88026*100)</f>
        <v>1.0437515421678872E-2</v>
      </c>
      <c r="F95" s="58">
        <f>IF(OR(1581380.128="",117.03364="",287.84784=""),"-",(287.84784-117.03364)/1581380.128*100)</f>
        <v>1.0801590141140311E-2</v>
      </c>
      <c r="G95" s="58">
        <f>IF(OR(1361306.86729="",164.12449="",287.84784=""),"-",(164.12449-287.84784)/1361306.86729*100)</f>
        <v>-9.0885716492637922E-3</v>
      </c>
    </row>
    <row r="96" spans="1:7" x14ac:dyDescent="0.25">
      <c r="A96" s="57" t="s">
        <v>232</v>
      </c>
      <c r="B96" s="36">
        <v>162.96404999999999</v>
      </c>
      <c r="C96" s="58" t="str">
        <f>IF(OR(""="",162.96405=""),"-",162.96405/""*100)</f>
        <v>-</v>
      </c>
      <c r="D96" s="58" t="str">
        <f>IF(""="","-",""/1361306.86729*100)</f>
        <v>-</v>
      </c>
      <c r="E96" s="58">
        <f>IF(162.96405="","-",162.96405/1572447.88026*100)</f>
        <v>1.0363717109215367E-2</v>
      </c>
      <c r="F96" s="58" t="str">
        <f>IF(OR(1581380.128="",746.18636="",""=""),"-",(""-746.18636)/1581380.128*100)</f>
        <v>-</v>
      </c>
      <c r="G96" s="58" t="str">
        <f>IF(OR(1361306.86729="",162.96405="",""=""),"-",(162.96405-"")/1361306.86729*100)</f>
        <v>-</v>
      </c>
    </row>
    <row r="97" spans="1:7" x14ac:dyDescent="0.25">
      <c r="A97" s="57" t="s">
        <v>132</v>
      </c>
      <c r="B97" s="36">
        <v>150.50017</v>
      </c>
      <c r="C97" s="58">
        <f>IF(OR(190.79586="",150.50017=""),"-",150.50017/190.79586*100)</f>
        <v>78.88020735879698</v>
      </c>
      <c r="D97" s="58">
        <f>IF(190.79586="","-",190.79586/1361306.86729*100)</f>
        <v>1.4015639279027796E-2</v>
      </c>
      <c r="E97" s="58">
        <f>IF(150.50017="","-",150.50017/1572447.88026*100)</f>
        <v>9.5710752572044054E-3</v>
      </c>
      <c r="F97" s="58">
        <f>IF(OR(1581380.128="",264.90504="",190.79586=""),"-",(190.79586-264.90504)/1581380.128*100)</f>
        <v>-4.6863609000656406E-3</v>
      </c>
      <c r="G97" s="58">
        <f>IF(OR(1361306.86729="",150.50017="",190.79586=""),"-",(150.50017-190.79586)/1361306.86729*100)</f>
        <v>-2.9600739530696715E-3</v>
      </c>
    </row>
    <row r="98" spans="1:7" x14ac:dyDescent="0.25">
      <c r="A98" s="57" t="s">
        <v>84</v>
      </c>
      <c r="B98" s="36">
        <v>133.92468</v>
      </c>
      <c r="C98" s="58" t="s">
        <v>370</v>
      </c>
      <c r="D98" s="58">
        <f>IF(19.39621="","-",19.39621/1361306.86729*100)</f>
        <v>1.4248227542268039E-3</v>
      </c>
      <c r="E98" s="58">
        <f>IF(133.92468="","-",133.92468/1572447.88026*100)</f>
        <v>8.5169551042833871E-3</v>
      </c>
      <c r="F98" s="58">
        <f>IF(OR(1581380.128="",4.31466="",19.39621=""),"-",(19.39621-4.31466)/1581380.128*100)</f>
        <v>9.5369542926240683E-4</v>
      </c>
      <c r="G98" s="58">
        <f>IF(OR(1361306.86729="",133.92468="",19.39621=""),"-",(133.92468-19.39621)/1361306.86729*100)</f>
        <v>8.4131265882758481E-3</v>
      </c>
    </row>
    <row r="99" spans="1:7" x14ac:dyDescent="0.25">
      <c r="A99" s="57" t="s">
        <v>90</v>
      </c>
      <c r="B99" s="36">
        <v>122.42005</v>
      </c>
      <c r="C99" s="58">
        <f>IF(OR(96.88797="",122.42005=""),"-",122.42005/96.88797*100)</f>
        <v>126.35216735369727</v>
      </c>
      <c r="D99" s="58">
        <f>IF(96.88797="","-",96.88797/1361306.86729*100)</f>
        <v>7.1172762239037398E-3</v>
      </c>
      <c r="E99" s="58">
        <f>IF(122.42005="","-",122.42005/1572447.88026*100)</f>
        <v>7.7853168640322871E-3</v>
      </c>
      <c r="F99" s="58">
        <f>IF(OR(1581380.128="",67.088="",96.88797=""),"-",(96.88797-67.088)/1581380.128*100)</f>
        <v>1.8844280051557598E-3</v>
      </c>
      <c r="G99" s="58">
        <f>IF(OR(1361306.86729="",122.42005="",96.88797=""),"-",(122.42005-96.88797)/1361306.86729*100)</f>
        <v>1.8755565415480193E-3</v>
      </c>
    </row>
    <row r="100" spans="1:7" ht="16.5" customHeight="1" x14ac:dyDescent="0.25">
      <c r="A100" s="57" t="s">
        <v>143</v>
      </c>
      <c r="B100" s="36">
        <v>114.4689</v>
      </c>
      <c r="C100" s="58" t="s">
        <v>371</v>
      </c>
      <c r="D100" s="58">
        <f>IF(1.07711="","-",1.07711/1361306.86729*100)</f>
        <v>7.9123232673044522E-5</v>
      </c>
      <c r="E100" s="58">
        <f>IF(114.4689="","-",114.4689/1572447.88026*100)</f>
        <v>7.2796625844967836E-3</v>
      </c>
      <c r="F100" s="58">
        <f>IF(OR(1581380.128="",46.38519="",1.07711=""),"-",(1.07711-46.38519)/1581380.128*100)</f>
        <v>-2.8650973410992557E-3</v>
      </c>
      <c r="G100" s="58">
        <f>IF(OR(1361306.86729="",114.4689="",1.07711=""),"-",(114.4689-1.07711)/1361306.86729*100)</f>
        <v>8.3296274135260112E-3</v>
      </c>
    </row>
    <row r="101" spans="1:7" ht="15.75" customHeight="1" x14ac:dyDescent="0.25">
      <c r="A101" s="57" t="s">
        <v>98</v>
      </c>
      <c r="B101" s="36">
        <v>102.5224</v>
      </c>
      <c r="C101" s="58">
        <f>IF(OR(74.83124="",102.5224=""),"-",102.5224/74.83124*100)</f>
        <v>137.00481242860604</v>
      </c>
      <c r="D101" s="58">
        <f>IF(74.83124="","-",74.83124/1361306.86729*100)</f>
        <v>5.4970148023251435E-3</v>
      </c>
      <c r="E101" s="58">
        <f>IF(102.5224="","-",102.5224/1572447.88026*100)</f>
        <v>6.519923571841898E-3</v>
      </c>
      <c r="F101" s="58">
        <f>IF(OR(1581380.128="",30.70499="",74.83124=""),"-",(74.83124-30.70499)/1581380.128*100)</f>
        <v>2.7903632541410057E-3</v>
      </c>
      <c r="G101" s="58">
        <f>IF(OR(1361306.86729="",102.5224="",74.83124=""),"-",(102.5224-74.83124)/1361306.86729*100)</f>
        <v>2.0341600167731282E-3</v>
      </c>
    </row>
    <row r="102" spans="1:7" x14ac:dyDescent="0.25">
      <c r="A102" s="57" t="s">
        <v>85</v>
      </c>
      <c r="B102" s="36">
        <v>102.18825</v>
      </c>
      <c r="C102" s="58">
        <f>IF(OR(796.23452="",102.18825=""),"-",102.18825/796.23452*100)</f>
        <v>12.833938674248888</v>
      </c>
      <c r="D102" s="58">
        <f>IF(796.23452="","-",796.23452/1361306.86729*100)</f>
        <v>5.849045054662004E-2</v>
      </c>
      <c r="E102" s="58">
        <f>IF(102.18825="","-",102.18825/1572447.88026*100)</f>
        <v>6.4986732649671957E-3</v>
      </c>
      <c r="F102" s="58">
        <f>IF(OR(1581380.128="",1811.61972="",796.23452=""),"-",(796.23452-1811.61972)/1581380.128*100)</f>
        <v>-6.4208799770626684E-2</v>
      </c>
      <c r="G102" s="58">
        <f>IF(OR(1361306.86729="",102.18825="",796.23452=""),"-",(102.18825-796.23452)/1361306.86729*100)</f>
        <v>-5.0983821993174958E-2</v>
      </c>
    </row>
    <row r="103" spans="1:7" x14ac:dyDescent="0.25">
      <c r="A103" s="57" t="s">
        <v>107</v>
      </c>
      <c r="B103" s="36">
        <v>100.60856</v>
      </c>
      <c r="C103" s="58">
        <f>IF(OR(100.41322="",100.60856=""),"-",100.60856/100.41322*100)</f>
        <v>100.19453613777149</v>
      </c>
      <c r="D103" s="58">
        <f>IF(100.41322="","-",100.41322/1361306.86729*100)</f>
        <v>7.3762369391330573E-3</v>
      </c>
      <c r="E103" s="58">
        <f>IF(100.60856="","-",100.60856/1572447.88026*100)</f>
        <v>6.3982127015468808E-3</v>
      </c>
      <c r="F103" s="58">
        <f>IF(OR(1581380.128="",251.15687="",100.41322=""),"-",(100.41322-251.15687)/1581380.128*100)</f>
        <v>-9.5324107930107992E-3</v>
      </c>
      <c r="G103" s="58">
        <f>IF(OR(1361306.86729="",100.60856="",100.41322=""),"-",(100.60856-100.41322)/1361306.86729*100)</f>
        <v>1.4349446454264323E-5</v>
      </c>
    </row>
    <row r="104" spans="1:7" x14ac:dyDescent="0.25">
      <c r="A104" s="57" t="s">
        <v>362</v>
      </c>
      <c r="B104" s="36">
        <v>88.394419999999997</v>
      </c>
      <c r="C104" s="58" t="s">
        <v>372</v>
      </c>
      <c r="D104" s="58">
        <f>IF(8.40516="","-",8.40516/1361306.86729*100)</f>
        <v>6.1743315941191414E-4</v>
      </c>
      <c r="E104" s="58">
        <f>IF(88.39442="","-",88.39442/1572447.88026*100)</f>
        <v>5.6214530929562011E-3</v>
      </c>
      <c r="F104" s="58">
        <f>IF(OR(1581380.128="",30.4369="",8.40516=""),"-",(8.40516-30.4369)/1581380.128*100)</f>
        <v>-1.393196968262396E-3</v>
      </c>
      <c r="G104" s="58">
        <f>IF(OR(1361306.86729="",88.39442="",8.40516=""),"-",(88.39442-8.40516)/1361306.86729*100)</f>
        <v>5.8759168797287674E-3</v>
      </c>
    </row>
    <row r="105" spans="1:7" x14ac:dyDescent="0.25">
      <c r="A105" s="57" t="s">
        <v>235</v>
      </c>
      <c r="B105" s="36">
        <v>83.750280000000004</v>
      </c>
      <c r="C105" s="58">
        <f>IF(OR(260.77227="",83.75028=""),"-",83.75028/260.77227*100)</f>
        <v>32.116252238015953</v>
      </c>
      <c r="D105" s="58">
        <f>IF(260.77227="","-",260.77227/1361306.86729*100)</f>
        <v>1.9156023984447258E-2</v>
      </c>
      <c r="E105" s="58">
        <f>IF(83.75028="","-",83.75028/1572447.88026*100)</f>
        <v>5.3261084867342072E-3</v>
      </c>
      <c r="F105" s="58">
        <f>IF(OR(1581380.128="",16.52035="",260.77227=""),"-",(260.77227-16.52035)/1581380.128*100)</f>
        <v>1.5445490661939062E-2</v>
      </c>
      <c r="G105" s="58">
        <f>IF(OR(1361306.86729="",83.75028="",260.77227=""),"-",(83.75028-260.77227)/1361306.86729*100)</f>
        <v>-1.3003827002827342E-2</v>
      </c>
    </row>
    <row r="106" spans="1:7" x14ac:dyDescent="0.25">
      <c r="A106" s="57" t="s">
        <v>363</v>
      </c>
      <c r="B106" s="36">
        <v>79.758930000000007</v>
      </c>
      <c r="C106" s="58" t="str">
        <f>IF(OR(""="",79.75893=""),"-",79.75893/""*100)</f>
        <v>-</v>
      </c>
      <c r="D106" s="58" t="str">
        <f>IF(""="","-",""/1361306.86729*100)</f>
        <v>-</v>
      </c>
      <c r="E106" s="58">
        <f>IF(79.75893="","-",79.75893/1572447.88026*100)</f>
        <v>5.0722781340652185E-3</v>
      </c>
      <c r="F106" s="58" t="str">
        <f>IF(OR(1581380.128="",17.48765="",""=""),"-",(""-17.48765)/1581380.128*100)</f>
        <v>-</v>
      </c>
      <c r="G106" s="58" t="str">
        <f>IF(OR(1361306.86729="",79.75893="",""=""),"-",(79.75893-"")/1361306.86729*100)</f>
        <v>-</v>
      </c>
    </row>
    <row r="107" spans="1:7" x14ac:dyDescent="0.25">
      <c r="A107" s="57" t="s">
        <v>347</v>
      </c>
      <c r="B107" s="36">
        <v>75.189430000000002</v>
      </c>
      <c r="C107" s="58" t="str">
        <f>IF(OR(""="",75.18943=""),"-",75.18943/""*100)</f>
        <v>-</v>
      </c>
      <c r="D107" s="58" t="str">
        <f>IF(""="","-",""/1361306.86729*100)</f>
        <v>-</v>
      </c>
      <c r="E107" s="58">
        <f>IF(75.18943="","-",75.18943/1572447.88026*100)</f>
        <v>4.7816802670475559E-3</v>
      </c>
      <c r="F107" s="58" t="str">
        <f>IF(OR(1581380.128="",0.20947="",""=""),"-",(""-0.20947)/1581380.128*100)</f>
        <v>-</v>
      </c>
      <c r="G107" s="58" t="str">
        <f>IF(OR(1361306.86729="",75.18943="",""=""),"-",(75.18943-"")/1361306.86729*100)</f>
        <v>-</v>
      </c>
    </row>
    <row r="108" spans="1:7" x14ac:dyDescent="0.25">
      <c r="A108" s="57" t="s">
        <v>80</v>
      </c>
      <c r="B108" s="36">
        <v>70.390280000000004</v>
      </c>
      <c r="C108" s="58" t="s">
        <v>373</v>
      </c>
      <c r="D108" s="58">
        <f>IF(4.99716="","-",4.99716/1361306.86729*100)</f>
        <v>3.6708549116100598E-4</v>
      </c>
      <c r="E108" s="58">
        <f>IF(70.39028="","-",70.39028/1572447.88026*100)</f>
        <v>4.4764777824217086E-3</v>
      </c>
      <c r="F108" s="58" t="str">
        <f>IF(OR(1581380.128="",""="",4.99716=""),"-",(4.99716-"")/1581380.128*100)</f>
        <v>-</v>
      </c>
      <c r="G108" s="58">
        <f>IF(OR(1361306.86729="",70.39028="",4.99716=""),"-",(70.39028-4.99716)/1361306.86729*100)</f>
        <v>4.8037016172687297E-3</v>
      </c>
    </row>
    <row r="109" spans="1:7" x14ac:dyDescent="0.25">
      <c r="A109" s="57" t="s">
        <v>316</v>
      </c>
      <c r="B109" s="36">
        <v>60.503999999999998</v>
      </c>
      <c r="C109" s="58">
        <f>IF(OR(87.612="",60.504=""),"-",60.504/87.612*100)</f>
        <v>69.059033009176829</v>
      </c>
      <c r="D109" s="58">
        <f>IF(87.612="","-",87.612/1361306.86729*100)</f>
        <v>6.4358743869714101E-3</v>
      </c>
      <c r="E109" s="58">
        <f>IF(60.504="","-",60.504/1572447.88026*100)</f>
        <v>3.8477586926439706E-3</v>
      </c>
      <c r="F109" s="58">
        <f>IF(OR(1581380.128="",23.32711="",87.612=""),"-",(87.612-23.32711)/1581380.128*100)</f>
        <v>4.0651130529445979E-3</v>
      </c>
      <c r="G109" s="58">
        <f>IF(OR(1361306.86729="",60.504="",87.612=""),"-",(60.504-87.612)/1361306.86729*100)</f>
        <v>-1.9913217696436673E-3</v>
      </c>
    </row>
    <row r="110" spans="1:7" x14ac:dyDescent="0.25">
      <c r="A110" s="57" t="s">
        <v>74</v>
      </c>
      <c r="B110" s="36">
        <v>50.559190000000001</v>
      </c>
      <c r="C110" s="58">
        <f>IF(OR(170.12161="",50.55919=""),"-",50.55919/170.12161*100)</f>
        <v>29.719440111106405</v>
      </c>
      <c r="D110" s="58">
        <f>IF(170.12161="","-",170.12161/1361306.86729*100)</f>
        <v>1.2496933210853987E-2</v>
      </c>
      <c r="E110" s="58">
        <f>IF(50.55919="","-",50.55919/1572447.88026*100)</f>
        <v>3.2153173809258578E-3</v>
      </c>
      <c r="F110" s="58">
        <f>IF(OR(1581380.128="",485.06986="",170.12161=""),"-",(170.12161-485.06986)/1581380.128*100)</f>
        <v>-1.9916036911271976E-2</v>
      </c>
      <c r="G110" s="58">
        <f>IF(OR(1361306.86729="",50.55919="",170.12161=""),"-",(50.55919-170.12161)/1361306.86729*100)</f>
        <v>-8.78291462952927E-3</v>
      </c>
    </row>
    <row r="111" spans="1:7" x14ac:dyDescent="0.25">
      <c r="A111" s="59" t="s">
        <v>94</v>
      </c>
      <c r="B111" s="60">
        <v>49.793750000000003</v>
      </c>
      <c r="C111" s="61">
        <f>IF(OR(50.36465="",49.79375=""),"-",49.79375/50.36465*100)</f>
        <v>98.866466857210384</v>
      </c>
      <c r="D111" s="61">
        <f>IF(50.36465="","-",50.36465/1361306.86729*100)</f>
        <v>3.6997279019287273E-3</v>
      </c>
      <c r="E111" s="61">
        <f>IF(49.79375="","-",49.79375/1572447.88026*100)</f>
        <v>3.1666391379386607E-3</v>
      </c>
      <c r="F111" s="61">
        <f>IF(OR(1581380.128="",81.87974="",50.36465=""),"-",(50.36465-81.87974)/1581380.128*100)</f>
        <v>-1.9928851666966185E-3</v>
      </c>
      <c r="G111" s="61">
        <f>IF(OR(1361306.86729="",49.79375="",50.36465=""),"-",(49.79375-50.36465)/1361306.86729*100)</f>
        <v>-4.1937641961397339E-5</v>
      </c>
    </row>
    <row r="112" spans="1:7" x14ac:dyDescent="0.25">
      <c r="A112" s="44" t="s">
        <v>315</v>
      </c>
      <c r="B112" s="45"/>
      <c r="C112" s="45"/>
      <c r="D112" s="45"/>
      <c r="E112" s="45"/>
    </row>
    <row r="113" spans="1:5" x14ac:dyDescent="0.25">
      <c r="A113" s="98" t="s">
        <v>329</v>
      </c>
      <c r="B113" s="98"/>
      <c r="C113" s="98"/>
      <c r="D113" s="98"/>
      <c r="E113" s="98"/>
    </row>
  </sheetData>
  <mergeCells count="10">
    <mergeCell ref="A113:E113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2"/>
  <sheetViews>
    <sheetView zoomScaleNormal="100" workbookViewId="0">
      <selection activeCell="D76" sqref="D76"/>
    </sheetView>
  </sheetViews>
  <sheetFormatPr defaultRowHeight="15.75" x14ac:dyDescent="0.25"/>
  <cols>
    <col min="1" max="1" width="30.375" customWidth="1"/>
    <col min="2" max="2" width="12.625" customWidth="1"/>
    <col min="3" max="3" width="10.25" customWidth="1"/>
    <col min="4" max="5" width="8.5" customWidth="1"/>
    <col min="6" max="6" width="9.625" customWidth="1"/>
    <col min="7" max="7" width="10.125" customWidth="1"/>
  </cols>
  <sheetData>
    <row r="1" spans="1:7" x14ac:dyDescent="0.25">
      <c r="A1" s="112" t="s">
        <v>146</v>
      </c>
      <c r="B1" s="112"/>
      <c r="C1" s="112"/>
      <c r="D1" s="112"/>
      <c r="E1" s="112"/>
      <c r="F1" s="112"/>
      <c r="G1" s="112"/>
    </row>
    <row r="2" spans="1:7" x14ac:dyDescent="0.25">
      <c r="A2" s="2"/>
    </row>
    <row r="3" spans="1:7" ht="55.5" customHeight="1" x14ac:dyDescent="0.25">
      <c r="A3" s="100"/>
      <c r="B3" s="103" t="s">
        <v>349</v>
      </c>
      <c r="C3" s="104"/>
      <c r="D3" s="103" t="s">
        <v>108</v>
      </c>
      <c r="E3" s="104"/>
      <c r="F3" s="105" t="s">
        <v>120</v>
      </c>
      <c r="G3" s="106"/>
    </row>
    <row r="4" spans="1:7" ht="21" customHeight="1" x14ac:dyDescent="0.25">
      <c r="A4" s="101"/>
      <c r="B4" s="107" t="s">
        <v>326</v>
      </c>
      <c r="C4" s="109" t="s">
        <v>352</v>
      </c>
      <c r="D4" s="111" t="s">
        <v>351</v>
      </c>
      <c r="E4" s="111"/>
      <c r="F4" s="111" t="s">
        <v>358</v>
      </c>
      <c r="G4" s="103"/>
    </row>
    <row r="5" spans="1:7" ht="33.75" customHeight="1" x14ac:dyDescent="0.25">
      <c r="A5" s="102"/>
      <c r="B5" s="108"/>
      <c r="C5" s="110"/>
      <c r="D5" s="24">
        <v>2020</v>
      </c>
      <c r="E5" s="24">
        <v>2021</v>
      </c>
      <c r="F5" s="24">
        <v>2020</v>
      </c>
      <c r="G5" s="23">
        <v>2021</v>
      </c>
    </row>
    <row r="6" spans="1:7" s="3" customFormat="1" ht="15" x14ac:dyDescent="0.25">
      <c r="A6" s="62" t="s">
        <v>129</v>
      </c>
      <c r="B6" s="51">
        <v>3828259.07614</v>
      </c>
      <c r="C6" s="52">
        <f>IF(2890255.78537="","-",3828259.07614/2890255.78537*100)</f>
        <v>132.45398886555364</v>
      </c>
      <c r="D6" s="52">
        <v>100</v>
      </c>
      <c r="E6" s="52">
        <v>100</v>
      </c>
      <c r="F6" s="52">
        <f>IF(3307388.5187="","-",(2890255.78537-3307388.5187)/3307388.5187*100)</f>
        <v>-12.6121479521238</v>
      </c>
      <c r="G6" s="52">
        <f>IF(2890255.78537="","-",(3828259.07614-2890255.78537)/2890255.78537*100)</f>
        <v>32.45398886555364</v>
      </c>
    </row>
    <row r="7" spans="1:7" s="3" customFormat="1" ht="15" x14ac:dyDescent="0.25">
      <c r="A7" s="63" t="s">
        <v>133</v>
      </c>
      <c r="B7" s="54"/>
      <c r="C7" s="54"/>
      <c r="D7" s="54"/>
      <c r="E7" s="54"/>
      <c r="F7" s="54"/>
      <c r="G7" s="54"/>
    </row>
    <row r="8" spans="1:7" ht="16.5" customHeight="1" x14ac:dyDescent="0.25">
      <c r="A8" s="55" t="s">
        <v>153</v>
      </c>
      <c r="B8" s="35">
        <v>1807855.0048499999</v>
      </c>
      <c r="C8" s="56">
        <f>IF(1326687.63447="","-",1807855.00485/1326687.63447*100)</f>
        <v>136.26832404842773</v>
      </c>
      <c r="D8" s="56">
        <f>IF(1326687.63447="","-",1326687.63447/2890255.78537*100)</f>
        <v>45.902083863493147</v>
      </c>
      <c r="E8" s="56">
        <f>IF(1807855.00485="","-",1807855.00485/3828259.07614*100)</f>
        <v>47.22394615656065</v>
      </c>
      <c r="F8" s="56">
        <f>IF(3307388.5187="","-",(1326687.63447-1628703.50712)/3307388.5187*100)</f>
        <v>-9.131551099678795</v>
      </c>
      <c r="G8" s="56">
        <f>IF(2890255.78537="","-",(1807855.00485-1326687.63447)/2890255.78537*100)</f>
        <v>16.647916520592748</v>
      </c>
    </row>
    <row r="9" spans="1:7" x14ac:dyDescent="0.25">
      <c r="A9" s="57" t="s">
        <v>2</v>
      </c>
      <c r="B9" s="36">
        <v>482306.26835999999</v>
      </c>
      <c r="C9" s="58">
        <f>IF(OR(349184.61449="",482306.26836=""),"-",482306.26836/349184.61449*100)</f>
        <v>138.12357370453739</v>
      </c>
      <c r="D9" s="58">
        <f>IF(349184.61449="","-",349184.61449/2890255.78537*100)</f>
        <v>12.081443319221611</v>
      </c>
      <c r="E9" s="58">
        <f>IF(482306.26836="","-",482306.26836/3828259.07614*100)</f>
        <v>12.598579635480291</v>
      </c>
      <c r="F9" s="58">
        <f>IF(OR(3307388.5187="",472823.15808="",349184.61449=""),"-",(349184.61449-472823.15808)/3307388.5187*100)</f>
        <v>-3.7382527904099181</v>
      </c>
      <c r="G9" s="58">
        <f>IF(OR(2890255.78537="",482306.26836="",349184.61449=""),"-",(482306.26836-349184.61449)/2890255.78537*100)</f>
        <v>4.6058779483753618</v>
      </c>
    </row>
    <row r="10" spans="1:7" s="7" customFormat="1" x14ac:dyDescent="0.25">
      <c r="A10" s="57" t="s">
        <v>4</v>
      </c>
      <c r="B10" s="36">
        <v>317519.44429000001</v>
      </c>
      <c r="C10" s="58">
        <f>IF(OR(236744.17852="",317519.44429=""),"-",317519.44429/236744.17852*100)</f>
        <v>134.11921943549552</v>
      </c>
      <c r="D10" s="58">
        <f>IF(236744.17852="","-",236744.17852/2890255.78537*100)</f>
        <v>8.1911151157748776</v>
      </c>
      <c r="E10" s="58">
        <f>IF(317519.44429="","-",317519.44429/3828259.07614*100)</f>
        <v>8.2940949913492297</v>
      </c>
      <c r="F10" s="58">
        <f>IF(OR(3307388.5187="",280172.29513="",236744.17852=""),"-",(236744.17852-280172.29513)/3307388.5187*100)</f>
        <v>-1.3130636562489437</v>
      </c>
      <c r="G10" s="58">
        <f>IF(OR(2890255.78537="",317519.44429="",236744.17852=""),"-",(317519.44429-236744.17852)/2890255.78537*100)</f>
        <v>2.7947445405652727</v>
      </c>
    </row>
    <row r="11" spans="1:7" s="7" customFormat="1" x14ac:dyDescent="0.25">
      <c r="A11" s="57" t="s">
        <v>3</v>
      </c>
      <c r="B11" s="36">
        <v>259857.48632</v>
      </c>
      <c r="C11" s="58">
        <f>IF(OR(192773.59066="",259857.48632=""),"-",259857.48632/192773.59066*100)</f>
        <v>134.79931842859</v>
      </c>
      <c r="D11" s="58">
        <f>IF(192773.59066="","-",192773.59066/2890255.78537*100)</f>
        <v>6.6697761366239003</v>
      </c>
      <c r="E11" s="58">
        <f>IF(259857.48632="","-",259857.48632/3828259.07614*100)</f>
        <v>6.7878761899785536</v>
      </c>
      <c r="F11" s="58">
        <f>IF(OR(3307388.5187="",240325.54035="",192773.59066=""),"-",(192773.59066-240325.54035)/3307388.5187*100)</f>
        <v>-1.437749131108756</v>
      </c>
      <c r="G11" s="58">
        <f>IF(OR(2890255.78537="",259857.48632="",192773.59066=""),"-",(259857.48632-192773.59066)/2890255.78537*100)</f>
        <v>2.3210366362578587</v>
      </c>
    </row>
    <row r="12" spans="1:7" s="7" customFormat="1" x14ac:dyDescent="0.25">
      <c r="A12" s="57" t="s">
        <v>5</v>
      </c>
      <c r="B12" s="36">
        <v>146649.26681</v>
      </c>
      <c r="C12" s="58">
        <f>IF(OR(111749.17298="",146649.26681=""),"-",146649.26681/111749.17298*100)</f>
        <v>131.2307401471742</v>
      </c>
      <c r="D12" s="58">
        <f>IF(111749.17298="","-",111749.17298/2890255.78537*100)</f>
        <v>3.8664111856693086</v>
      </c>
      <c r="E12" s="58">
        <f>IF(146649.26681="","-",146649.26681/3828259.07614*100)</f>
        <v>3.830703823678129</v>
      </c>
      <c r="F12" s="58">
        <f>IF(OR(3307388.5187="",110324.17455="",111749.17298=""),"-",(111749.17298-110324.17455)/3307388.5187*100)</f>
        <v>4.3085304975301664E-2</v>
      </c>
      <c r="G12" s="58">
        <f>IF(OR(2890255.78537="",146649.26681="",111749.17298=""),"-",(146649.26681-111749.17298)/2890255.78537*100)</f>
        <v>1.2075088304176584</v>
      </c>
    </row>
    <row r="13" spans="1:7" s="7" customFormat="1" x14ac:dyDescent="0.25">
      <c r="A13" s="57" t="s">
        <v>123</v>
      </c>
      <c r="B13" s="36">
        <v>98766.276400000002</v>
      </c>
      <c r="C13" s="58">
        <f>IF(OR(73797.82478="",98766.2764=""),"-",98766.2764/73797.82478*100)</f>
        <v>133.83358749994855</v>
      </c>
      <c r="D13" s="58">
        <f>IF(73797.82478="","-",73797.82478/2890255.78537*100)</f>
        <v>2.5533319629893128</v>
      </c>
      <c r="E13" s="58">
        <f>IF(98766.2764="","-",98766.2764/3828259.07614*100)</f>
        <v>2.5799266568861681</v>
      </c>
      <c r="F13" s="58">
        <f>IF(OR(3307388.5187="",87945.61816="",73797.82478=""),"-",(73797.82478-87945.61816)/3307388.5187*100)</f>
        <v>-0.4277632730478525</v>
      </c>
      <c r="G13" s="58">
        <f>IF(OR(2890255.78537="",98766.2764="",73797.82478=""),"-",(98766.2764-73797.82478)/2890255.78537*100)</f>
        <v>0.86388380386214281</v>
      </c>
    </row>
    <row r="14" spans="1:7" s="7" customFormat="1" x14ac:dyDescent="0.25">
      <c r="A14" s="57" t="s">
        <v>42</v>
      </c>
      <c r="B14" s="36">
        <v>72900.771649999995</v>
      </c>
      <c r="C14" s="58">
        <f>IF(OR(56887.05437="",72900.77165=""),"-",72900.77165/56887.05437*100)</f>
        <v>128.15002017127642</v>
      </c>
      <c r="D14" s="58">
        <f>IF(56887.05437="","-",56887.05437/2890255.78537*100)</f>
        <v>1.9682359830556491</v>
      </c>
      <c r="E14" s="58">
        <f>IF(72900.77165="","-",72900.77165/3828259.07614*100)</f>
        <v>1.9042799925522595</v>
      </c>
      <c r="F14" s="58">
        <f>IF(OR(3307388.5187="",66608.944="",56887.05437=""),"-",(56887.05437-66608.944)/3307388.5187*100)</f>
        <v>-0.29394459027212461</v>
      </c>
      <c r="G14" s="58">
        <f>IF(OR(2890255.78537="",72900.77165="",56887.05437=""),"-",(72900.77165-56887.05437)/2890255.78537*100)</f>
        <v>0.55405882624848646</v>
      </c>
    </row>
    <row r="15" spans="1:7" s="7" customFormat="1" x14ac:dyDescent="0.25">
      <c r="A15" s="57" t="s">
        <v>7</v>
      </c>
      <c r="B15" s="36">
        <v>67335.459419999999</v>
      </c>
      <c r="C15" s="58">
        <f>IF(OR(47012.80862="",67335.45942=""),"-",67335.45942/47012.80862*100)</f>
        <v>143.22790191980664</v>
      </c>
      <c r="D15" s="58">
        <f>IF(47012.80862="","-",47012.80862/2890255.78537*100)</f>
        <v>1.626596817415646</v>
      </c>
      <c r="E15" s="58">
        <f>IF(67335.45942="","-",67335.45942/3828259.07614*100)</f>
        <v>1.7589054993606585</v>
      </c>
      <c r="F15" s="58">
        <f>IF(OR(3307388.5187="",63369.1745="",47012.80862=""),"-",(47012.80862-63369.1745)/3307388.5187*100)</f>
        <v>-0.49454020256528614</v>
      </c>
      <c r="G15" s="58">
        <f>IF(OR(2890255.78537="",67335.45942="",47012.80862=""),"-",(67335.45942-47012.80862)/2890255.78537*100)</f>
        <v>0.70314367686313139</v>
      </c>
    </row>
    <row r="16" spans="1:7" s="7" customFormat="1" x14ac:dyDescent="0.25">
      <c r="A16" s="57" t="s">
        <v>8</v>
      </c>
      <c r="B16" s="36">
        <v>59058.3583</v>
      </c>
      <c r="C16" s="58" t="s">
        <v>221</v>
      </c>
      <c r="D16" s="58">
        <f>IF(32360.90094="","-",32360.90094/2890255.78537*100)</f>
        <v>1.1196552604030952</v>
      </c>
      <c r="E16" s="58">
        <f>IF(59058.3583="","-",59058.3583/3828259.07614*100)</f>
        <v>1.5426949202076476</v>
      </c>
      <c r="F16" s="58">
        <f>IF(OR(3307388.5187="",56179.28324="",32360.90094=""),"-",(32360.90094-56179.28324)/3307388.5187*100)</f>
        <v>-0.72015676916487681</v>
      </c>
      <c r="G16" s="58">
        <f>IF(OR(2890255.78537="",59058.3583="",32360.90094=""),"-",(59058.3583-32360.90094)/2890255.78537*100)</f>
        <v>0.92370569743820408</v>
      </c>
    </row>
    <row r="17" spans="1:7" s="7" customFormat="1" x14ac:dyDescent="0.25">
      <c r="A17" s="57" t="s">
        <v>40</v>
      </c>
      <c r="B17" s="36">
        <v>53369.268369999998</v>
      </c>
      <c r="C17" s="58">
        <f>IF(OR(42967.71688="",53369.26837=""),"-",53369.26837/42967.71688*100)</f>
        <v>124.20782914542421</v>
      </c>
      <c r="D17" s="58">
        <f>IF(42967.71688="","-",42967.71688/2890255.78537*100)</f>
        <v>1.4866406322061709</v>
      </c>
      <c r="E17" s="58">
        <f>IF(53369.26837="","-",53369.26837/3828259.07614*100)</f>
        <v>1.3940871636047099</v>
      </c>
      <c r="F17" s="58">
        <f>IF(OR(3307388.5187="",48854.50403="",42967.71688=""),"-",(42967.71688-48854.50403)/3307388.5187*100)</f>
        <v>-0.17798898184220141</v>
      </c>
      <c r="G17" s="58">
        <f>IF(OR(2890255.78537="",53369.26837="",42967.71688=""),"-",(53369.26837-42967.71688)/2890255.78537*100)</f>
        <v>0.35988342425092418</v>
      </c>
    </row>
    <row r="18" spans="1:7" s="7" customFormat="1" x14ac:dyDescent="0.25">
      <c r="A18" s="57" t="s">
        <v>6</v>
      </c>
      <c r="B18" s="36">
        <v>45885.935319999997</v>
      </c>
      <c r="C18" s="58">
        <f>IF(OR(30961.7867="",45885.93532=""),"-",45885.93532/30961.7867*100)</f>
        <v>148.2018326804118</v>
      </c>
      <c r="D18" s="58">
        <f>IF(30961.7867="","-",30961.7867/2890255.78537*100)</f>
        <v>1.0712472874104595</v>
      </c>
      <c r="E18" s="58">
        <f>IF(45885.93532="","-",45885.93532/3828259.07614*100)</f>
        <v>1.1986110241594825</v>
      </c>
      <c r="F18" s="58">
        <f>IF(OR(3307388.5187="",28012.05405="",30961.7867=""),"-",(30961.7867-28012.05405)/3307388.5187*100)</f>
        <v>8.9186154977626331E-2</v>
      </c>
      <c r="G18" s="58">
        <f>IF(OR(2890255.78537="",45885.93532="",30961.7867=""),"-",(45885.93532-30961.7867)/2890255.78537*100)</f>
        <v>0.51636082507103986</v>
      </c>
    </row>
    <row r="19" spans="1:7" s="7" customFormat="1" x14ac:dyDescent="0.25">
      <c r="A19" s="57" t="s">
        <v>10</v>
      </c>
      <c r="B19" s="36">
        <v>40389.63465</v>
      </c>
      <c r="C19" s="58">
        <f>IF(OR(30707.53244="",40389.63465=""),"-",40389.63465/30707.53244*100)</f>
        <v>131.53005611544344</v>
      </c>
      <c r="D19" s="58">
        <f>IF(30707.53244="","-",30707.53244/2890255.78537*100)</f>
        <v>1.0624503407427288</v>
      </c>
      <c r="E19" s="58">
        <f>IF(40389.63465="","-",40389.63465/3828259.07614*100)</f>
        <v>1.055039218785697</v>
      </c>
      <c r="F19" s="58">
        <f>IF(OR(3307388.5187="",34844.95164="",30707.53244=""),"-",(30707.53244-34844.95164)/3307388.5187*100)</f>
        <v>-0.12509625575002759</v>
      </c>
      <c r="G19" s="58">
        <f>IF(OR(2890255.78537="",40389.63465="",30707.53244=""),"-",(40389.63465-30707.53244)/2890255.78537*100)</f>
        <v>0.33499118863490251</v>
      </c>
    </row>
    <row r="20" spans="1:7" s="7" customFormat="1" ht="15.75" customHeight="1" x14ac:dyDescent="0.25">
      <c r="A20" s="57" t="s">
        <v>41</v>
      </c>
      <c r="B20" s="36">
        <v>26844.927449999999</v>
      </c>
      <c r="C20" s="58">
        <f>IF(OR(22009.61476="",26844.92745=""),"-",26844.92745/22009.61476*100)</f>
        <v>121.96909279297172</v>
      </c>
      <c r="D20" s="58">
        <f>IF(22009.61476="","-",22009.61476/2890255.78537*100)</f>
        <v>0.76151096630993886</v>
      </c>
      <c r="E20" s="58">
        <f>IF(26844.92745="","-",26844.92745/3828259.07614*100)</f>
        <v>0.70123068779000985</v>
      </c>
      <c r="F20" s="58">
        <f>IF(OR(3307388.5187="",25449.6988="",22009.61476=""),"-",(22009.61476-25449.6988)/3307388.5187*100)</f>
        <v>-0.10401209354600272</v>
      </c>
      <c r="G20" s="58">
        <f>IF(OR(2890255.78537="",26844.92745="",22009.61476=""),"-",(26844.92745-22009.61476)/2890255.78537*100)</f>
        <v>0.16729705081728602</v>
      </c>
    </row>
    <row r="21" spans="1:7" s="7" customFormat="1" x14ac:dyDescent="0.25">
      <c r="A21" s="57" t="s">
        <v>44</v>
      </c>
      <c r="B21" s="36">
        <v>22168.562119999999</v>
      </c>
      <c r="C21" s="58" t="s">
        <v>234</v>
      </c>
      <c r="D21" s="58">
        <f>IF(14606.73727="","-",14606.73727/2890255.78537*100)</f>
        <v>0.50537870537053864</v>
      </c>
      <c r="E21" s="58">
        <f>IF(22168.56212="","-",22168.56212/3828259.07614*100)</f>
        <v>0.57907685135960985</v>
      </c>
      <c r="F21" s="58">
        <f>IF(OR(3307388.5187="",19658.26098="",14606.73727=""),"-",(14606.73727-19658.26098)/3307388.5187*100)</f>
        <v>-0.15273451187964904</v>
      </c>
      <c r="G21" s="58">
        <f>IF(OR(2890255.78537="",22168.56212="",14606.73727=""),"-",(22168.56212-14606.73727)/2890255.78537*100)</f>
        <v>0.26163168285231753</v>
      </c>
    </row>
    <row r="22" spans="1:7" s="7" customFormat="1" x14ac:dyDescent="0.25">
      <c r="A22" s="57" t="s">
        <v>52</v>
      </c>
      <c r="B22" s="36">
        <v>17571.711459999999</v>
      </c>
      <c r="C22" s="58">
        <f>IF(OR(13536.62694="",17571.71146=""),"-",17571.71146/13536.62694*100)</f>
        <v>129.80864094050298</v>
      </c>
      <c r="D22" s="58">
        <f>IF(13536.62694="","-",13536.62694/2890255.78537*100)</f>
        <v>0.46835394322260965</v>
      </c>
      <c r="E22" s="58">
        <f>IF(17571.71146="","-",17571.71146/3828259.07614*100)</f>
        <v>0.45900006009304367</v>
      </c>
      <c r="F22" s="58">
        <f>IF(OR(3307388.5187="",12879.06026="",13536.62694=""),"-",(13536.62694-12879.06026)/3307388.5187*100)</f>
        <v>1.9881748886836633E-2</v>
      </c>
      <c r="G22" s="58">
        <f>IF(OR(2890255.78537="",17571.71146="",13536.62694=""),"-",(17571.71146-13536.62694)/2890255.78537*100)</f>
        <v>0.13960994526591497</v>
      </c>
    </row>
    <row r="23" spans="1:7" s="7" customFormat="1" x14ac:dyDescent="0.25">
      <c r="A23" s="57" t="s">
        <v>9</v>
      </c>
      <c r="B23" s="36">
        <v>17256.753359999999</v>
      </c>
      <c r="C23" s="58">
        <f>IF(OR(14417.79288="",17256.75336=""),"-",17256.75336/14417.79288*100)</f>
        <v>119.69067320933797</v>
      </c>
      <c r="D23" s="58">
        <f>IF(14417.79288="","-",14417.79288/2890255.78537*100)</f>
        <v>0.49884141580065333</v>
      </c>
      <c r="E23" s="58">
        <f>IF(17256.75336="","-",17256.75336/3828259.07614*100)</f>
        <v>0.45077287134390681</v>
      </c>
      <c r="F23" s="58">
        <f>IF(OR(3307388.5187="",13662.95295="",14417.79288=""),"-",(14417.79288-13662.95295)/3307388.5187*100)</f>
        <v>2.2822838191888534E-2</v>
      </c>
      <c r="G23" s="58">
        <f>IF(OR(2890255.78537="",17256.75336="",14417.79288=""),"-",(17256.75336-14417.79288)/2890255.78537*100)</f>
        <v>9.8225233018141483E-2</v>
      </c>
    </row>
    <row r="24" spans="1:7" s="7" customFormat="1" x14ac:dyDescent="0.25">
      <c r="A24" s="57" t="s">
        <v>51</v>
      </c>
      <c r="B24" s="36">
        <v>15949.999</v>
      </c>
      <c r="C24" s="58" t="s">
        <v>103</v>
      </c>
      <c r="D24" s="58">
        <f>IF(9518.31307="","-",9518.31307/2890255.78537*100)</f>
        <v>0.32932424590861942</v>
      </c>
      <c r="E24" s="58">
        <f>IF(15949.999="","-",15949.999/3828259.07614*100)</f>
        <v>0.41663844276919326</v>
      </c>
      <c r="F24" s="58">
        <f>IF(OR(3307388.5187="",10687.22227="",9518.31307=""),"-",(9518.31307-10687.22227)/3307388.5187*100)</f>
        <v>-3.5342361303819569E-2</v>
      </c>
      <c r="G24" s="58">
        <f>IF(OR(2890255.78537="",15949.999="",9518.31307=""),"-",(15949.999-9518.31307)/2890255.78537*100)</f>
        <v>0.22252999068650384</v>
      </c>
    </row>
    <row r="25" spans="1:7" s="7" customFormat="1" x14ac:dyDescent="0.25">
      <c r="A25" s="57" t="s">
        <v>50</v>
      </c>
      <c r="B25" s="36">
        <v>15614.208420000001</v>
      </c>
      <c r="C25" s="58">
        <f>IF(OR(11259.3192="",15614.20842=""),"-",15614.20842/11259.3192*100)</f>
        <v>138.67808650455527</v>
      </c>
      <c r="D25" s="58">
        <f>IF(11259.3192="","-",11259.3192/2890255.78537*100)</f>
        <v>0.38956134114471197</v>
      </c>
      <c r="E25" s="58">
        <f>IF(15614.20842="","-",15614.20842/3828259.07614*100)</f>
        <v>0.4078670776833544</v>
      </c>
      <c r="F25" s="58">
        <f>IF(OR(3307388.5187="",14130.88748="",11259.3192=""),"-",(11259.3192-14130.88748)/3307388.5187*100)</f>
        <v>-8.6822829061784859E-2</v>
      </c>
      <c r="G25" s="58">
        <f>IF(OR(2890255.78537="",15614.20842="",11259.3192=""),"-",(15614.20842-11259.3192)/2890255.78537*100)</f>
        <v>0.15067487251625736</v>
      </c>
    </row>
    <row r="26" spans="1:7" s="7" customFormat="1" x14ac:dyDescent="0.25">
      <c r="A26" s="57" t="s">
        <v>48</v>
      </c>
      <c r="B26" s="36">
        <v>9615.4199399999998</v>
      </c>
      <c r="C26" s="58">
        <f>IF(OR(7007.57234="",9615.41994=""),"-",9615.41994/7007.57234*100)</f>
        <v>137.2147082251883</v>
      </c>
      <c r="D26" s="58">
        <f>IF(7007.57234="","-",7007.57234/2890255.78537*100)</f>
        <v>0.24245509257246983</v>
      </c>
      <c r="E26" s="58">
        <f>IF(9615.41994="","-",9615.41994/3828259.07614*100)</f>
        <v>0.25116951984595415</v>
      </c>
      <c r="F26" s="58">
        <f>IF(OR(3307388.5187="",7017.42773="",7007.57234=""),"-",(7007.57234-7017.42773)/3307388.5187*100)</f>
        <v>-2.9798101868825435E-4</v>
      </c>
      <c r="G26" s="58">
        <f>IF(OR(2890255.78537="",9615.41994="",7007.57234=""),"-",(9615.41994-7007.57234)/2890255.78537*100)</f>
        <v>9.0228955277954853E-2</v>
      </c>
    </row>
    <row r="27" spans="1:7" s="7" customFormat="1" x14ac:dyDescent="0.25">
      <c r="A27" s="57" t="s">
        <v>45</v>
      </c>
      <c r="B27" s="36">
        <v>8729.2727799999902</v>
      </c>
      <c r="C27" s="58">
        <f>IF(OR(5883.06629="",8729.27277999999=""),"-",8729.27277999999/5883.06629*100)</f>
        <v>148.37964336451478</v>
      </c>
      <c r="D27" s="58">
        <f>IF(5883.06629="","-",5883.06629/2890255.78537*100)</f>
        <v>0.2035482921539026</v>
      </c>
      <c r="E27" s="58">
        <f>IF(8729.27277999999="","-",8729.27277999999/3828259.07614*100)</f>
        <v>0.22802199658863315</v>
      </c>
      <c r="F27" s="58">
        <f>IF(OR(3307388.5187="",5876.0199="",5883.06629=""),"-",(5883.06629-5876.0199)/3307388.5187*100)</f>
        <v>2.130499625356736E-4</v>
      </c>
      <c r="G27" s="58">
        <f>IF(OR(2890255.78537="",8729.27277999999="",5883.06629=""),"-",(8729.27277999999-5883.06629)/2890255.78537*100)</f>
        <v>9.8475937818618672E-2</v>
      </c>
    </row>
    <row r="28" spans="1:7" s="7" customFormat="1" x14ac:dyDescent="0.25">
      <c r="A28" s="57" t="s">
        <v>49</v>
      </c>
      <c r="B28" s="36">
        <v>7938.7597800000003</v>
      </c>
      <c r="C28" s="58">
        <f>IF(OR(5631.24233="",7938.75978=""),"-",7938.75978/5631.24233*100)</f>
        <v>140.97705825421298</v>
      </c>
      <c r="D28" s="58">
        <f>IF(5631.24233="","-",5631.24233/2890255.78537*100)</f>
        <v>0.19483543146957524</v>
      </c>
      <c r="E28" s="58">
        <f>IF(7938.75978="","-",7938.75978/3828259.07614*100)</f>
        <v>0.20737258430285188</v>
      </c>
      <c r="F28" s="58">
        <f>IF(OR(3307388.5187="",7942.88386="",5631.24233=""),"-",(5631.24233-7942.88386)/3307388.5187*100)</f>
        <v>-6.989325617265589E-2</v>
      </c>
      <c r="G28" s="58">
        <f>IF(OR(2890255.78537="",7938.75978="",5631.24233=""),"-",(7938.75978-5631.24233)/2890255.78537*100)</f>
        <v>7.9837828253135054E-2</v>
      </c>
    </row>
    <row r="29" spans="1:7" s="7" customFormat="1" x14ac:dyDescent="0.25">
      <c r="A29" s="57" t="s">
        <v>43</v>
      </c>
      <c r="B29" s="36">
        <v>7487.4324200000001</v>
      </c>
      <c r="C29" s="58">
        <f>IF(OR(7326.49389="",7487.43242=""),"-",7487.43242/7326.49389*100)</f>
        <v>102.19666504082761</v>
      </c>
      <c r="D29" s="58">
        <f>IF(7326.49389="","-",7326.49389/2890255.78537*100)</f>
        <v>0.25348946370371467</v>
      </c>
      <c r="E29" s="58">
        <f>IF(7487.43242="","-",7487.43242/3828259.07614*100)</f>
        <v>0.1955832212784698</v>
      </c>
      <c r="F29" s="58">
        <f>IF(OR(3307388.5187="",10329.31236="",7326.49389=""),"-",(7326.49389-10329.31236)/3307388.5187*100)</f>
        <v>-9.0791222531675417E-2</v>
      </c>
      <c r="G29" s="58">
        <f>IF(OR(2890255.78537="",7487.43242="",7326.49389=""),"-",(7487.43242-7326.49389)/2890255.78537*100)</f>
        <v>5.5683144313608763E-3</v>
      </c>
    </row>
    <row r="30" spans="1:7" s="7" customFormat="1" x14ac:dyDescent="0.25">
      <c r="A30" s="57" t="s">
        <v>124</v>
      </c>
      <c r="B30" s="36">
        <v>4898.9498299999996</v>
      </c>
      <c r="C30" s="58" t="s">
        <v>104</v>
      </c>
      <c r="D30" s="58">
        <f>IF(3056.29609="","-",3056.29609/2890255.78537*100)</f>
        <v>0.10574483080253549</v>
      </c>
      <c r="E30" s="58">
        <f>IF(4898.94983="","-",4898.94983/3828259.07614*100)</f>
        <v>0.12796808503722187</v>
      </c>
      <c r="F30" s="58">
        <f>IF(OR(3307388.5187="",3138.05305="",3056.29609=""),"-",(3056.29609-3138.05305)/3307388.5187*100)</f>
        <v>-2.4719490781849695E-3</v>
      </c>
      <c r="G30" s="58">
        <f>IF(OR(2890255.78537="",4898.94983="",3056.29609=""),"-",(4898.94983-3056.29609)/2890255.78537*100)</f>
        <v>6.3754002304128587E-2</v>
      </c>
    </row>
    <row r="31" spans="1:7" s="7" customFormat="1" x14ac:dyDescent="0.25">
      <c r="A31" s="57" t="s">
        <v>53</v>
      </c>
      <c r="B31" s="36">
        <v>3949.98497</v>
      </c>
      <c r="C31" s="58">
        <f>IF(OR(4210.56157="",3949.98497=""),"-",3949.98497/4210.56157*100)</f>
        <v>93.811357566729512</v>
      </c>
      <c r="D31" s="58">
        <f>IF(4210.56157="","-",4210.56157/2890255.78537*100)</f>
        <v>0.14568127815237567</v>
      </c>
      <c r="E31" s="58">
        <f>IF(3949.98497="","-",3949.98497/3828259.07614*100)</f>
        <v>0.10317966708728436</v>
      </c>
      <c r="F31" s="58">
        <f>IF(OR(3307388.5187="",4218.43593="",4210.56157=""),"-",(4210.56157-4218.43593)/3307388.5187*100)</f>
        <v>-2.380839128961749E-4</v>
      </c>
      <c r="G31" s="58">
        <f>IF(OR(2890255.78537="",3949.98497="",4210.56157=""),"-",(3949.98497-4210.56157)/2890255.78537*100)</f>
        <v>-9.0156933970687234E-3</v>
      </c>
    </row>
    <row r="32" spans="1:7" s="7" customFormat="1" x14ac:dyDescent="0.25">
      <c r="A32" s="57" t="s">
        <v>46</v>
      </c>
      <c r="B32" s="36">
        <v>3666.5236500000001</v>
      </c>
      <c r="C32" s="58" t="s">
        <v>221</v>
      </c>
      <c r="D32" s="58">
        <f>IF(2094.15357="","-",2094.15357/2890255.78537*100)</f>
        <v>7.2455648410090945E-2</v>
      </c>
      <c r="E32" s="58">
        <f>IF(3666.52365="","-",3666.52365/3828259.07614*100)</f>
        <v>9.5775222550949293E-2</v>
      </c>
      <c r="F32" s="58">
        <f>IF(OR(3307388.5187="",2679.61624="",2094.15357=""),"-",(2094.15357-2679.61624)/3307388.5187*100)</f>
        <v>-1.7701659986112592E-2</v>
      </c>
      <c r="G32" s="58">
        <f>IF(OR(2890255.78537="",3666.52365="",2094.15357=""),"-",(3666.52365-2094.15357)/2890255.78537*100)</f>
        <v>5.4402454203502648E-2</v>
      </c>
    </row>
    <row r="33" spans="1:7" s="7" customFormat="1" x14ac:dyDescent="0.25">
      <c r="A33" s="57" t="s">
        <v>54</v>
      </c>
      <c r="B33" s="36">
        <v>1437.17903</v>
      </c>
      <c r="C33" s="58" t="s">
        <v>233</v>
      </c>
      <c r="D33" s="58">
        <f>IF(617.57945="","-",617.57945/2890255.78537*100)</f>
        <v>2.136763995512389E-2</v>
      </c>
      <c r="E33" s="58">
        <f>IF(1437.17903="","-",1437.17903/3828259.07614*100)</f>
        <v>3.7541321039564937E-2</v>
      </c>
      <c r="F33" s="58">
        <f>IF(OR(3307388.5187="",1077.24171="",617.57945=""),"-",(617.57945-1077.24171)/3307388.5187*100)</f>
        <v>-1.3898042440465224E-2</v>
      </c>
      <c r="G33" s="58">
        <f>IF(OR(2890255.78537="",1437.17903="",617.57945=""),"-",(1437.17903-617.57945)/2890255.78537*100)</f>
        <v>2.8357337234603194E-2</v>
      </c>
    </row>
    <row r="34" spans="1:7" s="7" customFormat="1" x14ac:dyDescent="0.25">
      <c r="A34" s="57" t="s">
        <v>47</v>
      </c>
      <c r="B34" s="36">
        <v>587.97600999999997</v>
      </c>
      <c r="C34" s="58" t="s">
        <v>221</v>
      </c>
      <c r="D34" s="58">
        <f>IF(333.37597="","-",333.37597/2890255.78537*100)</f>
        <v>1.1534479809278278E-2</v>
      </c>
      <c r="E34" s="58">
        <f>IF(587.97601="","-",587.97601/3828259.07614*100)</f>
        <v>1.5358835395039435E-2</v>
      </c>
      <c r="F34" s="58">
        <f>IF(OR(3307388.5187="",438.996="",333.37597=""),"-",(333.37597-438.996)/3307388.5187*100)</f>
        <v>-3.1934569949319085E-3</v>
      </c>
      <c r="G34" s="58">
        <f>IF(OR(2890255.78537="",587.97601="",333.37597=""),"-",(587.97601-333.37597)/2890255.78537*100)</f>
        <v>8.8089103147459668E-3</v>
      </c>
    </row>
    <row r="35" spans="1:7" s="7" customFormat="1" x14ac:dyDescent="0.25">
      <c r="A35" s="57" t="s">
        <v>55</v>
      </c>
      <c r="B35" s="36">
        <v>68.141030000000001</v>
      </c>
      <c r="C35" s="58" t="s">
        <v>95</v>
      </c>
      <c r="D35" s="58">
        <f>IF(31.70747="","-",31.70747/2890255.78537*100)</f>
        <v>1.0970471942482738E-3</v>
      </c>
      <c r="E35" s="58">
        <f>IF(68.14103="","-",68.14103/3828259.07614*100)</f>
        <v>1.7799482387358696E-3</v>
      </c>
      <c r="F35" s="58">
        <f>IF(OR(3307388.5187="",57.73987="",31.70747=""),"-",(31.70747-57.73987)/3307388.5187*100)</f>
        <v>-7.8709833612871955E-4</v>
      </c>
      <c r="G35" s="58">
        <f>IF(OR(2890255.78537="",68.14103="",31.70747=""),"-",(68.14103-31.70747)/2890255.78537*100)</f>
        <v>1.2605652476995529E-3</v>
      </c>
    </row>
    <row r="36" spans="1:7" s="7" customFormat="1" ht="15.75" customHeight="1" x14ac:dyDescent="0.25">
      <c r="A36" s="57" t="s">
        <v>332</v>
      </c>
      <c r="B36" s="36">
        <v>31.033709999999999</v>
      </c>
      <c r="C36" s="58" t="str">
        <f>IF(OR(""="",31.03371=""),"-",31.03371/""*100)</f>
        <v>-</v>
      </c>
      <c r="D36" s="58" t="str">
        <f>IF(""="","-",""/2890255.78537*100)</f>
        <v>-</v>
      </c>
      <c r="E36" s="58">
        <f>IF(31.03371="","-",31.03371/3828259.07614*100)</f>
        <v>8.1064811400619779E-4</v>
      </c>
      <c r="F36" s="58" t="str">
        <f>IF(OR(3307388.5187="",""="",""=""),"-",(""-"")/3307388.5187*100)</f>
        <v>-</v>
      </c>
      <c r="G36" s="58" t="str">
        <f>IF(OR(2890255.78537="",31.03371="",""=""),"-",(31.03371-"")/2890255.78537*100)</f>
        <v>-</v>
      </c>
    </row>
    <row r="37" spans="1:7" s="7" customFormat="1" x14ac:dyDescent="0.25">
      <c r="A37" s="55" t="s">
        <v>222</v>
      </c>
      <c r="B37" s="35">
        <v>885523.69950999995</v>
      </c>
      <c r="C37" s="56">
        <f>IF(733870.7065="","-",885523.69951/733870.7065*100)</f>
        <v>120.66481079933935</v>
      </c>
      <c r="D37" s="56">
        <f>IF(733870.7065="","-",733870.7065/2890255.78537*100)</f>
        <v>25.391202751491161</v>
      </c>
      <c r="E37" s="56">
        <f>IF(885523.69951="","-",885523.69951/3828259.07614*100)</f>
        <v>23.131237512871405</v>
      </c>
      <c r="F37" s="56">
        <f>IF(3307388.5187="","-",(733870.7065-808915.04087)/3307388.5187*100)</f>
        <v>-2.2689905932036356</v>
      </c>
      <c r="G37" s="56">
        <f>IF(2890255.78537="","-",(885523.69951-733870.7065)/2890255.78537*100)</f>
        <v>5.2470440082722956</v>
      </c>
    </row>
    <row r="38" spans="1:7" s="7" customFormat="1" x14ac:dyDescent="0.25">
      <c r="A38" s="57" t="s">
        <v>125</v>
      </c>
      <c r="B38" s="36">
        <v>445256.48877</v>
      </c>
      <c r="C38" s="58">
        <f>IF(OR(337777.64727="",445256.48877=""),"-",445256.48877/337777.64727*100)</f>
        <v>131.81940615924995</v>
      </c>
      <c r="D38" s="58">
        <f>IF(337777.64727="","-",337777.64727/2890255.78537*100)</f>
        <v>11.686773502185341</v>
      </c>
      <c r="E38" s="58">
        <f>IF(445256.48877="","-",445256.48877/3828259.07614*100)</f>
        <v>11.630782554532546</v>
      </c>
      <c r="F38" s="58">
        <f>IF(OR(3307388.5187="",397168.27264="",337777.64727=""),"-",(337777.64727-397168.27264)/3307388.5187*100)</f>
        <v>-1.7956954568296077</v>
      </c>
      <c r="G38" s="58">
        <f>IF(OR(2890255.78537="",445256.48877="",337777.64727=""),"-",(445256.48877-337777.64727)/2890255.78537*100)</f>
        <v>3.7186619275719544</v>
      </c>
    </row>
    <row r="39" spans="1:7" s="7" customFormat="1" x14ac:dyDescent="0.25">
      <c r="A39" s="57" t="s">
        <v>12</v>
      </c>
      <c r="B39" s="36">
        <v>351673.17505999998</v>
      </c>
      <c r="C39" s="58">
        <f>IF(OR(276412.03584="",351673.17506=""),"-",351673.17506/276412.03584*100)</f>
        <v>127.22788064972849</v>
      </c>
      <c r="D39" s="58">
        <f>IF(276412.03584="","-",276412.03584/2890255.78537*100)</f>
        <v>9.5635838613022539</v>
      </c>
      <c r="E39" s="58">
        <f>IF(351673.17506="","-",351673.17506/3828259.07614*100)</f>
        <v>9.1862428342908533</v>
      </c>
      <c r="F39" s="58">
        <f>IF(OR(3307388.5187="",324258.17712="",276412.03584=""),"-",(276412.03584-324258.17712)/3307388.5187*100)</f>
        <v>-1.4466441124009937</v>
      </c>
      <c r="G39" s="58">
        <f>IF(OR(2890255.78537="",351673.17506="",276412.03584=""),"-",(351673.17506-276412.03584)/2890255.78537*100)</f>
        <v>2.6039611995920731</v>
      </c>
    </row>
    <row r="40" spans="1:7" s="7" customFormat="1" x14ac:dyDescent="0.25">
      <c r="A40" s="57" t="s">
        <v>11</v>
      </c>
      <c r="B40" s="36">
        <v>69901.204249999995</v>
      </c>
      <c r="C40" s="58">
        <f>IF(OR(56548.58776="",69901.20425=""),"-",69901.20425/56548.58776*100)</f>
        <v>123.61264360247215</v>
      </c>
      <c r="D40" s="58">
        <f>IF(56548.58776="","-",56548.58776/2890255.78537*100)</f>
        <v>1.9565253721224145</v>
      </c>
      <c r="E40" s="58">
        <f>IF(69901.20425="","-",69901.20425/3828259.07614*100)</f>
        <v>1.8259266904287148</v>
      </c>
      <c r="F40" s="58">
        <f>IF(OR(3307388.5187="",74496.78805="",56548.58776=""),"-",(56548.58776-74496.78805)/3307388.5187*100)</f>
        <v>-0.54266984929411044</v>
      </c>
      <c r="G40" s="58">
        <f>IF(OR(2890255.78537="",69901.20425="",56548.58776=""),"-",(69901.20425-56548.58776)/2890255.78537*100)</f>
        <v>0.46198736311120775</v>
      </c>
    </row>
    <row r="41" spans="1:7" s="7" customFormat="1" x14ac:dyDescent="0.25">
      <c r="A41" s="57" t="s">
        <v>13</v>
      </c>
      <c r="B41" s="36">
        <v>7715.8108000000002</v>
      </c>
      <c r="C41" s="58">
        <f>IF(OR(52938.84561="",7715.8108=""),"-",7715.8108/52938.84561*100)</f>
        <v>14.574950985600083</v>
      </c>
      <c r="D41" s="58">
        <f>IF(52938.84561="","-",52938.84561/2890255.78537*100)</f>
        <v>1.8316318534147649</v>
      </c>
      <c r="E41" s="58">
        <f>IF(7715.8108="","-",7715.8108/3828259.07614*100)</f>
        <v>0.20154881491928142</v>
      </c>
      <c r="F41" s="58">
        <f>IF(OR(3307388.5187="",4926.08263="",52938.84561=""),"-",(52938.84561-4926.08263)/3307388.5187*100)</f>
        <v>1.4516819753269226</v>
      </c>
      <c r="G41" s="58">
        <f>IF(OR(2890255.78537="",7715.8108="",52938.84561=""),"-",(7715.8108-52938.84561)/2890255.78537*100)</f>
        <v>-1.5646724085429244</v>
      </c>
    </row>
    <row r="42" spans="1:7" s="7" customFormat="1" x14ac:dyDescent="0.25">
      <c r="A42" s="57" t="s">
        <v>15</v>
      </c>
      <c r="B42" s="36">
        <v>6144.2821999999996</v>
      </c>
      <c r="C42" s="58">
        <f>IF(OR(4134.2847="",6144.2822=""),"-",6144.2822/4134.2847*100)</f>
        <v>148.61778145080331</v>
      </c>
      <c r="D42" s="58">
        <f>IF(4134.2847="","-",4134.2847/2890255.78537*100)</f>
        <v>0.14304217366944025</v>
      </c>
      <c r="E42" s="58">
        <f>IF(6144.2822="","-",6144.2822/3828259.07614*100)</f>
        <v>0.16049807700567709</v>
      </c>
      <c r="F42" s="58">
        <f>IF(OR(3307388.5187="",4914.30598="",4134.2847=""),"-",(4134.2847-4914.30598)/3307388.5187*100)</f>
        <v>-2.3584204746123827E-2</v>
      </c>
      <c r="G42" s="58">
        <f>IF(OR(2890255.78537="",6144.2822="",4134.2847=""),"-",(6144.2822-4134.2847)/2890255.78537*100)</f>
        <v>6.954393137708699E-2</v>
      </c>
    </row>
    <row r="43" spans="1:7" s="7" customFormat="1" x14ac:dyDescent="0.25">
      <c r="A43" s="57" t="s">
        <v>16</v>
      </c>
      <c r="B43" s="36">
        <v>3236.60608</v>
      </c>
      <c r="C43" s="58" t="s">
        <v>233</v>
      </c>
      <c r="D43" s="58">
        <f>IF(1414.05304="","-",1414.05304/2890255.78537*100)</f>
        <v>4.8924840741006531E-2</v>
      </c>
      <c r="E43" s="58">
        <f>IF(3236.60608="","-",3236.60608/3828259.07614*100)</f>
        <v>8.4545116086120309E-2</v>
      </c>
      <c r="F43" s="58">
        <f>IF(OR(3307388.5187="",1964.75369="",1414.05304=""),"-",(1414.05304-1964.75369)/3307388.5187*100)</f>
        <v>-1.6650618664433715E-2</v>
      </c>
      <c r="G43" s="58">
        <f>IF(OR(2890255.78537="",3236.60608="",1414.05304=""),"-",(3236.60608-1414.05304)/2890255.78537*100)</f>
        <v>6.3058537906072673E-2</v>
      </c>
    </row>
    <row r="44" spans="1:7" s="7" customFormat="1" x14ac:dyDescent="0.25">
      <c r="A44" s="57" t="s">
        <v>14</v>
      </c>
      <c r="B44" s="36">
        <v>971.18268999999998</v>
      </c>
      <c r="C44" s="58">
        <f>IF(OR(4009.7293="",971.18269=""),"-",971.18269/4009.7293*100)</f>
        <v>24.220654745945069</v>
      </c>
      <c r="D44" s="58">
        <f>IF(4009.7293="","-",4009.7293/2890255.78537*100)</f>
        <v>0.13873267965750957</v>
      </c>
      <c r="E44" s="58">
        <f>IF(971.18269="","-",971.18269/3828259.07614*100)</f>
        <v>2.5368781753904567E-2</v>
      </c>
      <c r="F44" s="58">
        <f>IF(OR(3307388.5187="",429.5169="",4009.7293=""),"-",(4009.7293-429.5169)/3307388.5187*100)</f>
        <v>0.10824892146046501</v>
      </c>
      <c r="G44" s="58">
        <f>IF(OR(2890255.78537="",971.18269="",4009.7293=""),"-",(971.18269-4009.7293)/2890255.78537*100)</f>
        <v>-0.1051307162978662</v>
      </c>
    </row>
    <row r="45" spans="1:7" s="7" customFormat="1" x14ac:dyDescent="0.25">
      <c r="A45" s="57" t="s">
        <v>17</v>
      </c>
      <c r="B45" s="36">
        <v>470.56292999999999</v>
      </c>
      <c r="C45" s="58">
        <f>IF(OR(559.88249="",470.56293=""),"-",470.56293/559.88249*100)</f>
        <v>84.046730948846076</v>
      </c>
      <c r="D45" s="58">
        <f>IF(559.88249="","-",559.88249/2890255.78537*100)</f>
        <v>1.9371382035944126E-2</v>
      </c>
      <c r="E45" s="58">
        <f>IF(470.56293="","-",470.56293/3828259.07614*100)</f>
        <v>1.2291825622064859E-2</v>
      </c>
      <c r="F45" s="58">
        <f>IF(OR(3307388.5187="",671.80026="",559.88249=""),"-",(559.88249-671.80026)/3307388.5187*100)</f>
        <v>-3.3838712738831892E-3</v>
      </c>
      <c r="G45" s="58">
        <f>IF(OR(2890255.78537="",470.56293="",559.88249=""),"-",(470.56293-559.88249)/2890255.78537*100)</f>
        <v>-3.0903686951210649E-3</v>
      </c>
    </row>
    <row r="46" spans="1:7" s="7" customFormat="1" x14ac:dyDescent="0.25">
      <c r="A46" s="57" t="s">
        <v>374</v>
      </c>
      <c r="B46" s="36">
        <v>140.31685999999999</v>
      </c>
      <c r="C46" s="58" t="s">
        <v>105</v>
      </c>
      <c r="D46" s="58">
        <f>IF(75.45498="","-",75.45498/2890255.78537*100)</f>
        <v>2.6106678994274731E-3</v>
      </c>
      <c r="E46" s="58">
        <f>IF(140.31686="","-",140.31686/3828259.07614*100)</f>
        <v>3.6652916432573378E-3</v>
      </c>
      <c r="F46" s="58">
        <f>IF(OR(3307388.5187="",85.24136="",75.45498=""),"-",(75.45498-85.24136)/3307388.5187*100)</f>
        <v>-2.9589447821650605E-4</v>
      </c>
      <c r="G46" s="58">
        <f>IF(OR(2890255.78537="",140.31686="",75.45498=""),"-",(140.31686-75.45498)/2890255.78537*100)</f>
        <v>2.2441570856226692E-3</v>
      </c>
    </row>
    <row r="47" spans="1:7" s="7" customFormat="1" x14ac:dyDescent="0.25">
      <c r="A47" s="57" t="s">
        <v>18</v>
      </c>
      <c r="B47" s="36">
        <v>14.06987</v>
      </c>
      <c r="C47" s="58" t="s">
        <v>378</v>
      </c>
      <c r="D47" s="58">
        <f>IF(0.18551="","-",0.18551/2890255.78537*100)</f>
        <v>6.4184630626472972E-6</v>
      </c>
      <c r="E47" s="58">
        <f>IF(14.06987="","-",14.06987/3828259.07614*100)</f>
        <v>3.67526588983798E-4</v>
      </c>
      <c r="F47" s="58">
        <f>IF(OR(3307388.5187="",0.10224="",0.18551=""),"-",(0.18551-0.10224)/3307388.5187*100)</f>
        <v>2.5176963495274532E-6</v>
      </c>
      <c r="G47" s="58">
        <f>IF(OR(2890255.78537="",14.06987="",0.18551=""),"-",(14.06987-0.18551)/2890255.78537*100)</f>
        <v>4.803851641879015E-4</v>
      </c>
    </row>
    <row r="48" spans="1:7" s="7" customFormat="1" x14ac:dyDescent="0.25">
      <c r="A48" s="55" t="s">
        <v>154</v>
      </c>
      <c r="B48" s="35">
        <v>1134880.3717799999</v>
      </c>
      <c r="C48" s="56">
        <f>IF(829697.4444="","-",1134880.37178/829697.4444*100)</f>
        <v>136.78243550583605</v>
      </c>
      <c r="D48" s="56">
        <f>IF(829697.4444="","-",829697.4444/2890255.78537*100)</f>
        <v>28.706713385015686</v>
      </c>
      <c r="E48" s="56">
        <f>IF(1134880.37178="","-",1134880.37178/3828259.07614*100)</f>
        <v>29.644816330567934</v>
      </c>
      <c r="F48" s="56">
        <f>IF(3307388.5187="","-",(829697.4444-869769.97071)/3307388.5187*100)</f>
        <v>-1.2116062592413808</v>
      </c>
      <c r="G48" s="56">
        <f>IF(2890255.78537="","-",(1134880.37178-829697.4444)/2890255.78537*100)</f>
        <v>10.559028336688597</v>
      </c>
    </row>
    <row r="49" spans="1:7" s="7" customFormat="1" x14ac:dyDescent="0.25">
      <c r="A49" s="57" t="s">
        <v>59</v>
      </c>
      <c r="B49" s="36">
        <v>446117.17668999999</v>
      </c>
      <c r="C49" s="58">
        <f>IF(OR(321136.6386="",446117.17669=""),"-",446117.17669/321136.6386*100)</f>
        <v>138.91818094467655</v>
      </c>
      <c r="D49" s="58">
        <f>IF(321136.6386="","-",321136.6386/2890255.78537*100)</f>
        <v>11.111011012434986</v>
      </c>
      <c r="E49" s="58">
        <f>IF(446117.17669="","-",446117.17669/3828259.07614*100)</f>
        <v>11.653265043384055</v>
      </c>
      <c r="F49" s="58">
        <f>IF(OR(3307388.5187="",329570.59885="",321136.6386=""),"-",(321136.6386-329570.59885)/3307388.5187*100)</f>
        <v>-0.25500361394841664</v>
      </c>
      <c r="G49" s="58">
        <f>IF(OR(2890255.78537="",446117.17669="",321136.6386=""),"-",(446117.17669-321136.6386)/2890255.78537*100)</f>
        <v>4.324203370602385</v>
      </c>
    </row>
    <row r="50" spans="1:7" s="7" customFormat="1" x14ac:dyDescent="0.25">
      <c r="A50" s="57" t="s">
        <v>56</v>
      </c>
      <c r="B50" s="36">
        <v>271082.81475999998</v>
      </c>
      <c r="C50" s="58">
        <f>IF(OR(195217.16083="",271082.81476=""),"-",271082.81476/195217.16083*100)</f>
        <v>138.86218486502099</v>
      </c>
      <c r="D50" s="58">
        <f>IF(195217.16083="","-",195217.16083/2890255.78537*100)</f>
        <v>6.7543212548230924</v>
      </c>
      <c r="E50" s="58">
        <f>IF(271082.81476="","-",271082.81476/3828259.07614*100)</f>
        <v>7.0810989896047065</v>
      </c>
      <c r="F50" s="58">
        <f>IF(OR(3307388.5187="",212671.44389="",195217.16083=""),"-",(195217.16083-212671.44389)/3307388.5187*100)</f>
        <v>-0.52773609635860252</v>
      </c>
      <c r="G50" s="58">
        <f>IF(OR(2890255.78537="",271082.81476="",195217.16083=""),"-",(271082.81476-195217.16083)/2890255.78537*100)</f>
        <v>2.6248768124267565</v>
      </c>
    </row>
    <row r="51" spans="1:7" s="7" customFormat="1" x14ac:dyDescent="0.25">
      <c r="A51" s="57" t="s">
        <v>19</v>
      </c>
      <c r="B51" s="36">
        <v>61606.433870000001</v>
      </c>
      <c r="C51" s="58" t="s">
        <v>104</v>
      </c>
      <c r="D51" s="58">
        <f>IF(38464.53375="","-",38464.53375/2890255.78537*100)</f>
        <v>1.3308349366412879</v>
      </c>
      <c r="E51" s="58">
        <f>IF(61606.43387="","-",61606.43387/3828259.07614*100)</f>
        <v>1.6092545630980968</v>
      </c>
      <c r="F51" s="58">
        <f>IF(OR(3307388.5187="",41449.84736="",38464.53375=""),"-",(38464.53375-41449.84736)/3307388.5187*100)</f>
        <v>-9.0261957224590086E-2</v>
      </c>
      <c r="G51" s="58">
        <f>IF(OR(2890255.78537="",61606.43387="",38464.53375=""),"-",(61606.43387-38464.53375)/2890255.78537*100)</f>
        <v>0.80068692318307921</v>
      </c>
    </row>
    <row r="52" spans="1:7" s="7" customFormat="1" x14ac:dyDescent="0.25">
      <c r="A52" s="57" t="s">
        <v>76</v>
      </c>
      <c r="B52" s="36">
        <v>37475.18447</v>
      </c>
      <c r="C52" s="58">
        <f>IF(OR(29452.57521="",37475.18447=""),"-",37475.18447/29452.57521*100)</f>
        <v>127.23907571001159</v>
      </c>
      <c r="D52" s="58">
        <f>IF(29452.57521="","-",29452.57521/2890255.78537*100)</f>
        <v>1.0190300581382483</v>
      </c>
      <c r="E52" s="58">
        <f>IF(37475.18447="","-",37475.18447/3828259.07614*100)</f>
        <v>0.97890930902685658</v>
      </c>
      <c r="F52" s="58">
        <f>IF(OR(3307388.5187="",27103.48099="",29452.57521=""),"-",(29452.57521-27103.48099)/3307388.5187*100)</f>
        <v>7.1025650803290957E-2</v>
      </c>
      <c r="G52" s="58">
        <f>IF(OR(2890255.78537="",37475.18447="",29452.57521=""),"-",(37475.18447-29452.57521)/2890255.78537*100)</f>
        <v>0.27757436904405242</v>
      </c>
    </row>
    <row r="53" spans="1:7" s="7" customFormat="1" ht="25.5" x14ac:dyDescent="0.25">
      <c r="A53" s="57" t="s">
        <v>122</v>
      </c>
      <c r="B53" s="36">
        <v>37244.143730000003</v>
      </c>
      <c r="C53" s="58">
        <f>IF(OR(26422.52358="",37244.14373=""),"-",37244.14373/26422.52358*100)</f>
        <v>140.95604311690809</v>
      </c>
      <c r="D53" s="58">
        <f>IF(26422.52358="","-",26422.52358/2890255.78537*100)</f>
        <v>0.91419325977121035</v>
      </c>
      <c r="E53" s="58">
        <f>IF(37244.14373="","-",37244.14373/3828259.07614*100)</f>
        <v>0.97287417045851932</v>
      </c>
      <c r="F53" s="58">
        <f>IF(OR(3307388.5187="",33345.04013="",26422.52358=""),"-",(26422.52358-33345.04013)/3307388.5187*100)</f>
        <v>-0.20930460727126671</v>
      </c>
      <c r="G53" s="58">
        <f>IF(OR(2890255.78537="",37244.14373="",26422.52358=""),"-",(37244.14373-26422.52358)/2890255.78537*100)</f>
        <v>0.37441738564376431</v>
      </c>
    </row>
    <row r="54" spans="1:7" s="7" customFormat="1" x14ac:dyDescent="0.25">
      <c r="A54" s="57" t="s">
        <v>72</v>
      </c>
      <c r="B54" s="36">
        <v>27613.986720000001</v>
      </c>
      <c r="C54" s="58">
        <f>IF(OR(19325.11352="",27613.98672=""),"-",27613.98672/19325.11352*100)</f>
        <v>142.89171803012519</v>
      </c>
      <c r="D54" s="58">
        <f>IF(19325.11352="","-",19325.11352/2890255.78537*100)</f>
        <v>0.66862987067859347</v>
      </c>
      <c r="E54" s="58">
        <f>IF(27613.98672="","-",27613.98672/3828259.07614*100)</f>
        <v>0.72131969573603005</v>
      </c>
      <c r="F54" s="58">
        <f>IF(OR(3307388.5187="",25199.20229="",19325.11352=""),"-",(19325.11352-25199.20229)/3307388.5187*100)</f>
        <v>-0.17760504206832248</v>
      </c>
      <c r="G54" s="58">
        <f>IF(OR(2890255.78537="",27613.98672="",19325.11352=""),"-",(27613.98672-19325.11352)/2890255.78537*100)</f>
        <v>0.28678683879665307</v>
      </c>
    </row>
    <row r="55" spans="1:7" s="7" customFormat="1" x14ac:dyDescent="0.25">
      <c r="A55" s="57" t="s">
        <v>36</v>
      </c>
      <c r="B55" s="36">
        <v>26615.56278</v>
      </c>
      <c r="C55" s="58">
        <f>IF(OR(21837.51157="",26615.56278=""),"-",26615.56278/21837.51157*100)</f>
        <v>121.88001684479475</v>
      </c>
      <c r="D55" s="58">
        <f>IF(21837.51157="","-",21837.51157/2890255.78537*100)</f>
        <v>0.75555636565240669</v>
      </c>
      <c r="E55" s="58">
        <f>IF(26615.56278="","-",26615.56278/3828259.07614*100)</f>
        <v>0.69523933074133104</v>
      </c>
      <c r="F55" s="58">
        <f>IF(OR(3307388.5187="",20691.4856="",21837.51157=""),"-",(21837.51157-20691.4856)/3307388.5187*100)</f>
        <v>3.4650479177766966E-2</v>
      </c>
      <c r="G55" s="58">
        <f>IF(OR(2890255.78537="",26615.56278="",21837.51157=""),"-",(26615.56278-21837.51157)/2890255.78537*100)</f>
        <v>0.1653158600766656</v>
      </c>
    </row>
    <row r="56" spans="1:7" s="7" customFormat="1" x14ac:dyDescent="0.25">
      <c r="A56" s="57" t="s">
        <v>69</v>
      </c>
      <c r="B56" s="36">
        <v>26117.985700000001</v>
      </c>
      <c r="C56" s="58">
        <f>IF(OR(23013.0428="",26117.9857=""),"-",26117.9857/23013.0428*100)</f>
        <v>113.49210066215147</v>
      </c>
      <c r="D56" s="58">
        <f>IF(23013.0428="","-",23013.0428/2890255.78537*100)</f>
        <v>0.79622858698140975</v>
      </c>
      <c r="E56" s="58">
        <f>IF(26117.9857="","-",26117.9857/3828259.07614*100)</f>
        <v>0.68224185407886595</v>
      </c>
      <c r="F56" s="58">
        <f>IF(OR(3307388.5187="",20910.13837="",23013.0428=""),"-",(23013.0428-20910.13837)/3307388.5187*100)</f>
        <v>6.3582020017006205E-2</v>
      </c>
      <c r="G56" s="58">
        <f>IF(OR(2890255.78537="",26117.9857="",23013.0428=""),"-",(26117.9857-23013.0428)/2890255.78537*100)</f>
        <v>0.10742796245635811</v>
      </c>
    </row>
    <row r="57" spans="1:7" s="7" customFormat="1" x14ac:dyDescent="0.25">
      <c r="A57" s="57" t="s">
        <v>127</v>
      </c>
      <c r="B57" s="36">
        <v>22465.93489</v>
      </c>
      <c r="C57" s="58">
        <f>IF(OR(16532.96571="",22465.93489=""),"-",22465.93489/16532.96571*100)</f>
        <v>135.88569216236522</v>
      </c>
      <c r="D57" s="58">
        <f>IF(16532.96571="","-",16532.96571/2890255.78537*100)</f>
        <v>0.57202430987897868</v>
      </c>
      <c r="E57" s="58">
        <f>IF(22465.93489="","-",22465.93489/3828259.07614*100)</f>
        <v>0.58684468431149661</v>
      </c>
      <c r="F57" s="58">
        <f>IF(OR(3307388.5187="",20096.40712="",16532.96571=""),"-",(16532.96571-20096.40712)/3307388.5187*100)</f>
        <v>-0.10774184495871214</v>
      </c>
      <c r="G57" s="58">
        <f>IF(OR(2890255.78537="",22465.93489="",16532.96571=""),"-",(22465.93489-16532.96571)/2890255.78537*100)</f>
        <v>0.20527488293706442</v>
      </c>
    </row>
    <row r="58" spans="1:7" s="7" customFormat="1" x14ac:dyDescent="0.25">
      <c r="A58" s="57" t="s">
        <v>66</v>
      </c>
      <c r="B58" s="36">
        <v>16046.019340000001</v>
      </c>
      <c r="C58" s="58">
        <f>IF(OR(16344.48881="",16046.01934=""),"-",16046.01934/16344.48881*100)</f>
        <v>98.173883114549369</v>
      </c>
      <c r="D58" s="58">
        <f>IF(16344.48881="","-",16344.48881/2890255.78537*100)</f>
        <v>0.56550319500208657</v>
      </c>
      <c r="E58" s="58">
        <f>IF(16046.01934="","-",16046.01934/3828259.07614*100)</f>
        <v>0.41914664135477114</v>
      </c>
      <c r="F58" s="58">
        <f>IF(OR(3307388.5187="",11610.26586="",16344.48881=""),"-",(16344.48881-11610.26586)/3307388.5187*100)</f>
        <v>0.14314081708975734</v>
      </c>
      <c r="G58" s="58">
        <f>IF(OR(2890255.78537="",16046.01934="",16344.48881=""),"-",(16046.01934-16344.48881)/2890255.78537*100)</f>
        <v>-1.032674933169595E-2</v>
      </c>
    </row>
    <row r="59" spans="1:7" s="7" customFormat="1" x14ac:dyDescent="0.25">
      <c r="A59" s="57" t="s">
        <v>79</v>
      </c>
      <c r="B59" s="36">
        <v>13772.731949999999</v>
      </c>
      <c r="C59" s="58">
        <f>IF(OR(11535.10946="",13772.73195=""),"-",13772.73195/11535.10946*100)</f>
        <v>119.39836373256227</v>
      </c>
      <c r="D59" s="58">
        <f>IF(11535.10946="","-",11535.10946/2890255.78537*100)</f>
        <v>0.39910341217510331</v>
      </c>
      <c r="E59" s="58">
        <f>IF(13772.73195="","-",13772.73195/3828259.07614*100)</f>
        <v>0.35976488727839506</v>
      </c>
      <c r="F59" s="58">
        <f>IF(OR(3307388.5187="",10212.91685="",11535.10946=""),"-",(11535.10946-10212.91685)/3307388.5187*100)</f>
        <v>3.99769365626177E-2</v>
      </c>
      <c r="G59" s="58">
        <f>IF(OR(2890255.78537="",13772.73195="",11535.10946=""),"-",(13772.73195-11535.10946)/2890255.78537*100)</f>
        <v>7.7419531562793756E-2</v>
      </c>
    </row>
    <row r="60" spans="1:7" s="7" customFormat="1" x14ac:dyDescent="0.25">
      <c r="A60" s="57" t="s">
        <v>81</v>
      </c>
      <c r="B60" s="36">
        <v>13600.12991</v>
      </c>
      <c r="C60" s="58" t="s">
        <v>379</v>
      </c>
      <c r="D60" s="58">
        <f>IF(2938.81672="","-",2938.81672/2890255.78537*100)</f>
        <v>0.10168016045070498</v>
      </c>
      <c r="E60" s="58">
        <f>IF(13600.12991="","-",13600.12991/3828259.07614*100)</f>
        <v>0.35525625720485177</v>
      </c>
      <c r="F60" s="58">
        <f>IF(OR(3307388.5187="",2326.84919="",2938.81672=""),"-",(2938.81672-2326.84919)/3307388.5187*100)</f>
        <v>1.8503043308638549E-2</v>
      </c>
      <c r="G60" s="58">
        <f>IF(OR(2890255.78537="",13600.12991="",2938.81672=""),"-",(13600.12991-2938.81672)/2890255.78537*100)</f>
        <v>0.36887092291159201</v>
      </c>
    </row>
    <row r="61" spans="1:7" s="7" customFormat="1" x14ac:dyDescent="0.25">
      <c r="A61" s="57" t="s">
        <v>70</v>
      </c>
      <c r="B61" s="36">
        <v>12439.711509999999</v>
      </c>
      <c r="C61" s="58">
        <f>IF(OR(9466.972="",12439.71151=""),"-",12439.71151/9466.972*100)</f>
        <v>131.40116512439246</v>
      </c>
      <c r="D61" s="58">
        <f>IF(9466.972="","-",9466.972/2890255.78537*100)</f>
        <v>0.32754789551569297</v>
      </c>
      <c r="E61" s="58">
        <f>IF(12439.71151="","-",12439.71151/3828259.07614*100)</f>
        <v>0.32494434839929515</v>
      </c>
      <c r="F61" s="58">
        <f>IF(OR(3307388.5187="",12813.90463="",9466.972=""),"-",(9466.972-12813.90463)/3307388.5187*100)</f>
        <v>-0.10119562945436916</v>
      </c>
      <c r="G61" s="58">
        <f>IF(OR(2890255.78537="",12439.71151="",9466.972=""),"-",(12439.71151-9466.972)/2890255.78537*100)</f>
        <v>0.10285385553235524</v>
      </c>
    </row>
    <row r="62" spans="1:7" s="7" customFormat="1" x14ac:dyDescent="0.25">
      <c r="A62" s="57" t="s">
        <v>61</v>
      </c>
      <c r="B62" s="36">
        <v>9138.6762999999992</v>
      </c>
      <c r="C62" s="58">
        <f>IF(OR(6350.45007="",9138.6763=""),"-",9138.6763/6350.45007*100)</f>
        <v>143.90596255802072</v>
      </c>
      <c r="D62" s="58">
        <f>IF(6350.45007="","-",6350.45007/2890255.78537*100)</f>
        <v>0.21971931003978729</v>
      </c>
      <c r="E62" s="58">
        <f>IF(9138.6763="","-",9138.6763/3828259.07614*100)</f>
        <v>0.23871624459686375</v>
      </c>
      <c r="F62" s="58">
        <f>IF(OR(3307388.5187="",7016.842="",6350.45007=""),"-",(6350.45007-7016.842)/3307388.5187*100)</f>
        <v>-2.0148583277477525E-2</v>
      </c>
      <c r="G62" s="58">
        <f>IF(OR(2890255.78537="",9138.6763="",6350.45007=""),"-",(9138.6763-6350.45007)/2890255.78537*100)</f>
        <v>9.6469877998810419E-2</v>
      </c>
    </row>
    <row r="63" spans="1:7" s="7" customFormat="1" x14ac:dyDescent="0.25">
      <c r="A63" s="57" t="s">
        <v>82</v>
      </c>
      <c r="B63" s="36">
        <v>7614.0201200000001</v>
      </c>
      <c r="C63" s="58">
        <f>IF(OR(5533.61961="",7614.02012=""),"-",7614.02012/5533.61961*100)</f>
        <v>137.59565450144848</v>
      </c>
      <c r="D63" s="58">
        <f>IF(5533.61961="","-",5533.61961/2890255.78537*100)</f>
        <v>0.19145778162646618</v>
      </c>
      <c r="E63" s="58">
        <f>IF(7614.02012="","-",7614.02012/3828259.07614*100)</f>
        <v>0.19888988620062648</v>
      </c>
      <c r="F63" s="58">
        <f>IF(OR(3307388.5187="",5829.09234="",5533.61961=""),"-",(5533.61961-5829.09234)/3307388.5187*100)</f>
        <v>-8.9337169893828738E-3</v>
      </c>
      <c r="G63" s="58">
        <f>IF(OR(2890255.78537="",7614.02012="",5533.61961=""),"-",(7614.02012-5533.61961)/2890255.78537*100)</f>
        <v>7.1979806096423918E-2</v>
      </c>
    </row>
    <row r="64" spans="1:7" s="7" customFormat="1" x14ac:dyDescent="0.25">
      <c r="A64" s="57" t="s">
        <v>78</v>
      </c>
      <c r="B64" s="36">
        <v>7167.7236599999997</v>
      </c>
      <c r="C64" s="58" t="s">
        <v>234</v>
      </c>
      <c r="D64" s="58">
        <f>IF(4628.78344="","-",4628.78344/2890255.78537*100)</f>
        <v>0.16015134243239443</v>
      </c>
      <c r="E64" s="58">
        <f>IF(7167.72366="","-",7167.72366/3828259.07614*100)</f>
        <v>0.18723193800214674</v>
      </c>
      <c r="F64" s="58">
        <f>IF(OR(3307388.5187="",4797.81225="",4628.78344=""),"-",(4628.78344-4797.81225)/3307388.5187*100)</f>
        <v>-5.1106427032781183E-3</v>
      </c>
      <c r="G64" s="58">
        <f>IF(OR(2890255.78537="",7167.72366="",4628.78344=""),"-",(7167.72366-4628.78344)/2890255.78537*100)</f>
        <v>8.7844827881729287E-2</v>
      </c>
    </row>
    <row r="65" spans="1:7" s="7" customFormat="1" x14ac:dyDescent="0.25">
      <c r="A65" s="57" t="s">
        <v>62</v>
      </c>
      <c r="B65" s="36">
        <v>7074.6614200000004</v>
      </c>
      <c r="C65" s="58">
        <f>IF(OR(6194.91423="",7074.66142=""),"-",7074.66142/6194.91423*100)</f>
        <v>114.20111977886091</v>
      </c>
      <c r="D65" s="58">
        <f>IF(6194.91423="","-",6194.91423/2890255.78537*100)</f>
        <v>0.21433792335466079</v>
      </c>
      <c r="E65" s="58">
        <f>IF(7074.66142="","-",7074.66142/3828259.07614*100)</f>
        <v>0.18480100952658929</v>
      </c>
      <c r="F65" s="58">
        <f>IF(OR(3307388.5187="",6945.22949="",6194.91423=""),"-",(6194.91423-6945.22949)/3307388.5187*100)</f>
        <v>-2.2686033278452505E-2</v>
      </c>
      <c r="G65" s="58">
        <f>IF(OR(2890255.78537="",7074.66142="",6194.91423=""),"-",(7074.66142-6194.91423)/2890255.78537*100)</f>
        <v>3.0438385227118503E-2</v>
      </c>
    </row>
    <row r="66" spans="1:7" s="7" customFormat="1" x14ac:dyDescent="0.25">
      <c r="A66" s="57" t="s">
        <v>71</v>
      </c>
      <c r="B66" s="36">
        <v>6992.3895599999996</v>
      </c>
      <c r="C66" s="58">
        <f>IF(OR(5381.70562="",6992.38956=""),"-",6992.38956/5381.70562*100)</f>
        <v>129.92887485361936</v>
      </c>
      <c r="D66" s="58">
        <f>IF(5381.70562="","-",5381.70562/2890255.78537*100)</f>
        <v>0.18620170737971736</v>
      </c>
      <c r="E66" s="58">
        <f>IF(6992.38956="","-",6992.38956/3828259.07614*100)</f>
        <v>0.18265194233015089</v>
      </c>
      <c r="F66" s="58">
        <f>IF(OR(3307388.5187="",5761.27176="",5381.70562=""),"-",(5381.70562-5761.27176)/3307388.5187*100)</f>
        <v>-1.147630941614298E-2</v>
      </c>
      <c r="G66" s="58">
        <f>IF(OR(2890255.78537="",6992.38956="",5381.70562=""),"-",(6992.38956-5381.70562)/2890255.78537*100)</f>
        <v>5.5728075976978146E-2</v>
      </c>
    </row>
    <row r="67" spans="1:7" s="7" customFormat="1" x14ac:dyDescent="0.25">
      <c r="A67" s="57" t="s">
        <v>74</v>
      </c>
      <c r="B67" s="36">
        <v>6882.2612399999998</v>
      </c>
      <c r="C67" s="58">
        <f>IF(OR(5209.94594="",6882.26124=""),"-",6882.26124/5209.94594*100)</f>
        <v>132.09851540225387</v>
      </c>
      <c r="D67" s="58">
        <f>IF(5209.94594="","-",5209.94594/2890255.78537*100)</f>
        <v>0.18025899182943911</v>
      </c>
      <c r="E67" s="58">
        <f>IF(6882.26124="","-",6882.26124/3828259.07614*100)</f>
        <v>0.17977522166392468</v>
      </c>
      <c r="F67" s="58">
        <f>IF(OR(3307388.5187="",3910.91625="",5209.94594=""),"-",(5209.94594-3910.91625)/3307388.5187*100)</f>
        <v>3.9276597915705265E-2</v>
      </c>
      <c r="G67" s="58">
        <f>IF(OR(2890255.78537="",6882.26124="",5209.94594=""),"-",(6882.26124-5209.94594)/2890255.78537*100)</f>
        <v>5.7860460256320065E-2</v>
      </c>
    </row>
    <row r="68" spans="1:7" s="7" customFormat="1" x14ac:dyDescent="0.25">
      <c r="A68" s="57" t="s">
        <v>83</v>
      </c>
      <c r="B68" s="36">
        <v>5665.8245999999999</v>
      </c>
      <c r="C68" s="58">
        <f>IF(OR(5373.91575="",5665.8246=""),"-",5665.8246/5373.91575*100)</f>
        <v>105.43195806521528</v>
      </c>
      <c r="D68" s="58">
        <f>IF(5373.91575="","-",5373.91575/2890255.78537*100)</f>
        <v>0.18593218555955771</v>
      </c>
      <c r="E68" s="58">
        <f>IF(5665.8246="","-",5665.8246/3828259.07614*100)</f>
        <v>0.14800003049200111</v>
      </c>
      <c r="F68" s="58">
        <f>IF(OR(3307388.5187="",5412.82692="",5373.91575=""),"-",(5373.91575-5412.82692)/3307388.5187*100)</f>
        <v>-1.176492262097309E-3</v>
      </c>
      <c r="G68" s="58">
        <f>IF(OR(2890255.78537="",5665.8246="",5373.91575=""),"-",(5665.8246-5373.91575)/2890255.78537*100)</f>
        <v>1.0099758349333455E-2</v>
      </c>
    </row>
    <row r="69" spans="1:7" s="7" customFormat="1" x14ac:dyDescent="0.25">
      <c r="A69" s="57" t="s">
        <v>65</v>
      </c>
      <c r="B69" s="36">
        <v>4616.7608</v>
      </c>
      <c r="C69" s="58">
        <f>IF(OR(3460.13276="",4616.7608=""),"-",4616.7608/3460.13276*100)</f>
        <v>133.42727346681343</v>
      </c>
      <c r="D69" s="58">
        <f>IF(3460.13276="","-",3460.13276/2890255.78537*100)</f>
        <v>0.11971718134826072</v>
      </c>
      <c r="E69" s="58">
        <f>IF(4616.7608="","-",4616.7608/3828259.07614*100)</f>
        <v>0.12059687466750654</v>
      </c>
      <c r="F69" s="58">
        <f>IF(OR(3307388.5187="",3007.1603="",3460.13276=""),"-",(3460.13276-3007.1603)/3307388.5187*100)</f>
        <v>1.3695774096054644E-2</v>
      </c>
      <c r="G69" s="58">
        <f>IF(OR(2890255.78537="",4616.7608="",3460.13276=""),"-",(4616.7608-3460.13276)/2890255.78537*100)</f>
        <v>4.0018189596044099E-2</v>
      </c>
    </row>
    <row r="70" spans="1:7" s="7" customFormat="1" x14ac:dyDescent="0.25">
      <c r="A70" s="57" t="s">
        <v>84</v>
      </c>
      <c r="B70" s="36">
        <v>4599.0093800000004</v>
      </c>
      <c r="C70" s="58">
        <f>IF(OR(3731.68997="",4599.00938=""),"-",4599.00938/3731.68997*100)</f>
        <v>123.24200072815803</v>
      </c>
      <c r="D70" s="58">
        <f>IF(3731.68997="","-",3731.68997/2890255.78537*100)</f>
        <v>0.12911279302299822</v>
      </c>
      <c r="E70" s="58">
        <f>IF(4599.00938="","-",4599.00938/3828259.07614*100)</f>
        <v>0.12013318034465789</v>
      </c>
      <c r="F70" s="58">
        <f>IF(OR(3307388.5187="",3300.93041="",3731.68997=""),"-",(3731.68997-3300.93041)/3307388.5187*100)</f>
        <v>1.3024159622145452E-2</v>
      </c>
      <c r="G70" s="58">
        <f>IF(OR(2890255.78537="",4599.00938="",3731.68997=""),"-",(4599.00938-3731.68997)/2890255.78537*100)</f>
        <v>3.0008396294550429E-2</v>
      </c>
    </row>
    <row r="71" spans="1:7" s="7" customFormat="1" x14ac:dyDescent="0.25">
      <c r="A71" s="57" t="s">
        <v>63</v>
      </c>
      <c r="B71" s="36">
        <v>4587.0757800000001</v>
      </c>
      <c r="C71" s="58">
        <f>IF(OR(4965.76116="",4587.07578=""),"-",4587.07578/4965.76116*100)</f>
        <v>92.374071812990692</v>
      </c>
      <c r="D71" s="58">
        <f>IF(4965.76116="","-",4965.76116/2890255.78537*100)</f>
        <v>0.17181043923987169</v>
      </c>
      <c r="E71" s="58">
        <f>IF(4587.07578="","-",4587.07578/3828259.07614*100)</f>
        <v>0.11982145640532532</v>
      </c>
      <c r="F71" s="58">
        <f>IF(OR(3307388.5187="",6076.46995="",4965.76116=""),"-",(4965.76116-6076.46995)/3307388.5187*100)</f>
        <v>-3.358265240748233E-2</v>
      </c>
      <c r="G71" s="58">
        <f>IF(OR(2890255.78537="",4587.07578="",4965.76116=""),"-",(4587.07578-4965.76116)/2890255.78537*100)</f>
        <v>-1.3102140714217858E-2</v>
      </c>
    </row>
    <row r="72" spans="1:7" s="7" customFormat="1" x14ac:dyDescent="0.25">
      <c r="A72" s="57" t="s">
        <v>85</v>
      </c>
      <c r="B72" s="36">
        <v>4356.28917</v>
      </c>
      <c r="C72" s="58" t="s">
        <v>221</v>
      </c>
      <c r="D72" s="58">
        <f>IF(2464.72458="","-",2464.72458/2890255.78537*100)</f>
        <v>8.5277039924148951E-2</v>
      </c>
      <c r="E72" s="58">
        <f>IF(4356.28917="","-",4356.28917/3828259.07614*100)</f>
        <v>0.11379295610244874</v>
      </c>
      <c r="F72" s="58">
        <f>IF(OR(3307388.5187="",4967.42307="",2464.72458=""),"-",(2464.72458-4967.42307)/3307388.5187*100)</f>
        <v>-7.5669927371692897E-2</v>
      </c>
      <c r="G72" s="58">
        <f>IF(OR(2890255.78537="",4356.28917="",2464.72458=""),"-",(4356.28917-2464.72458)/2890255.78537*100)</f>
        <v>6.5446269481572852E-2</v>
      </c>
    </row>
    <row r="73" spans="1:7" s="7" customFormat="1" x14ac:dyDescent="0.25">
      <c r="A73" s="57" t="s">
        <v>68</v>
      </c>
      <c r="B73" s="36">
        <v>3930.7314299999998</v>
      </c>
      <c r="C73" s="58">
        <f>IF(OR(2699.54776="",3930.73143=""),"-",3930.73143/2699.54776*100)</f>
        <v>145.6070341944978</v>
      </c>
      <c r="D73" s="58">
        <f>IF(2699.54776="","-",2699.54776/2890255.78537*100)</f>
        <v>9.3401690385489997E-2</v>
      </c>
      <c r="E73" s="58">
        <f>IF(3930.73143="","-",3930.73143/3828259.07614*100)</f>
        <v>0.1026767350856338</v>
      </c>
      <c r="F73" s="58">
        <f>IF(OR(3307388.5187="",3126.41208="",2699.54776=""),"-",(2699.54776-3126.41208)/3307388.5187*100)</f>
        <v>-1.290638573564932E-2</v>
      </c>
      <c r="G73" s="58">
        <f>IF(OR(2890255.78537="",3930.73143="",2699.54776=""),"-",(3930.73143-2699.54776)/2890255.78537*100)</f>
        <v>4.259774087234941E-2</v>
      </c>
    </row>
    <row r="74" spans="1:7" s="7" customFormat="1" x14ac:dyDescent="0.25">
      <c r="A74" s="57" t="s">
        <v>136</v>
      </c>
      <c r="B74" s="36">
        <v>3300.0934699999998</v>
      </c>
      <c r="C74" s="58">
        <f>IF(OR(2832.30082="",3300.09347=""),"-",3300.09347/2832.30082*100)</f>
        <v>116.51634765264799</v>
      </c>
      <c r="D74" s="58">
        <f>IF(2832.30082="","-",2832.30082/2890255.78537*100)</f>
        <v>9.7994815349445583E-2</v>
      </c>
      <c r="E74" s="58">
        <f>IF(3300.09347="","-",3300.09347/3828259.07614*100)</f>
        <v>8.6203504108908299E-2</v>
      </c>
      <c r="F74" s="58">
        <f>IF(OR(3307388.5187="",3337.07921="",2832.30082=""),"-",(2832.30082-3337.07921)/3307388.5187*100)</f>
        <v>-1.5262143747127956E-2</v>
      </c>
      <c r="G74" s="58">
        <f>IF(OR(2890255.78537="",3300.09347="",2832.30082=""),"-",(3300.09347-2832.30082)/2890255.78537*100)</f>
        <v>1.618516438468489E-2</v>
      </c>
    </row>
    <row r="75" spans="1:7" s="7" customFormat="1" x14ac:dyDescent="0.25">
      <c r="A75" s="57" t="s">
        <v>88</v>
      </c>
      <c r="B75" s="36">
        <v>3176.8163</v>
      </c>
      <c r="C75" s="58" t="s">
        <v>309</v>
      </c>
      <c r="D75" s="58">
        <f>IF(1245.60544="","-",1245.60544/2890255.78537*100)</f>
        <v>4.3096719892580099E-2</v>
      </c>
      <c r="E75" s="58">
        <f>IF(3176.8163="","-",3176.8163/3828259.07614*100)</f>
        <v>8.2983315309034827E-2</v>
      </c>
      <c r="F75" s="58">
        <f>IF(OR(3307388.5187="",1692.8304="",1245.60544=""),"-",(1245.60544-1692.8304)/3307388.5187*100)</f>
        <v>-1.352199650786071E-2</v>
      </c>
      <c r="G75" s="58">
        <f>IF(OR(2890255.78537="",3176.8163="",1245.60544=""),"-",(3176.8163-1245.60544)/2890255.78537*100)</f>
        <v>6.6817991327116175E-2</v>
      </c>
    </row>
    <row r="76" spans="1:7" s="7" customFormat="1" x14ac:dyDescent="0.25">
      <c r="A76" s="57" t="s">
        <v>73</v>
      </c>
      <c r="B76" s="36">
        <v>2960.4273400000002</v>
      </c>
      <c r="C76" s="58" t="s">
        <v>229</v>
      </c>
      <c r="D76" s="58">
        <f>IF(1165.99132="","-",1165.99132/2890255.78537*100)</f>
        <v>4.0342149850613795E-2</v>
      </c>
      <c r="E76" s="58">
        <f>IF(2960.42734="","-",2960.42734/3828259.07614*100)</f>
        <v>7.7330903711589266E-2</v>
      </c>
      <c r="F76" s="58">
        <f>IF(OR(3307388.5187="",941.92272="",1165.99132=""),"-",(1165.99132-941.92272)/3307388.5187*100)</f>
        <v>6.7747891949528913E-3</v>
      </c>
      <c r="G76" s="58">
        <f>IF(OR(2890255.78537="",2960.42734="",1165.99132=""),"-",(2960.42734-1165.99132)/2890255.78537*100)</f>
        <v>6.2085716741166662E-2</v>
      </c>
    </row>
    <row r="77" spans="1:7" s="7" customFormat="1" x14ac:dyDescent="0.25">
      <c r="A77" s="57" t="s">
        <v>75</v>
      </c>
      <c r="B77" s="36">
        <v>2770.7883900000002</v>
      </c>
      <c r="C77" s="58">
        <f>IF(OR(3098.48579="",2770.78839=""),"-",2770.78839/3098.48579*100)</f>
        <v>89.423950206336116</v>
      </c>
      <c r="D77" s="58">
        <f>IF(3098.48579="","-",3098.48579/2890255.78537*100)</f>
        <v>0.10720455281792104</v>
      </c>
      <c r="E77" s="58">
        <f>IF(2770.78839="","-",2770.78839/3828259.07614*100)</f>
        <v>7.2377243412526868E-2</v>
      </c>
      <c r="F77" s="58">
        <f>IF(OR(3307388.5187="",2770.06506="",3098.48579=""),"-",(3098.48579-2770.06506)/3307388.5187*100)</f>
        <v>9.9299108085762217E-3</v>
      </c>
      <c r="G77" s="58">
        <f>IF(OR(2890255.78537="",2770.78839="",3098.48579=""),"-",(2770.78839-3098.48579)/2890255.78537*100)</f>
        <v>-1.1338006887098035E-2</v>
      </c>
    </row>
    <row r="78" spans="1:7" s="7" customFormat="1" x14ac:dyDescent="0.25">
      <c r="A78" s="57" t="s">
        <v>39</v>
      </c>
      <c r="B78" s="36">
        <v>2753.0777499999999</v>
      </c>
      <c r="C78" s="58">
        <f>IF(OR(2133.66966="",2753.07775=""),"-",2753.07775/2133.66966*100)</f>
        <v>129.03017752054458</v>
      </c>
      <c r="D78" s="58">
        <f>IF(2133.66966="","-",2133.66966/2890255.78537*100)</f>
        <v>7.3822866156008929E-2</v>
      </c>
      <c r="E78" s="58">
        <f>IF(2753.07775="","-",2753.07775/3828259.07614*100)</f>
        <v>7.1914614325838788E-2</v>
      </c>
      <c r="F78" s="58">
        <f>IF(OR(3307388.5187="",1995.07051="",2133.66966=""),"-",(2133.66966-1995.07051)/3307388.5187*100)</f>
        <v>4.1905917377519858E-3</v>
      </c>
      <c r="G78" s="58">
        <f>IF(OR(2890255.78537="",2753.07775="",2133.66966=""),"-",(2753.07775-2133.66966)/2890255.78537*100)</f>
        <v>2.1430909095843415E-2</v>
      </c>
    </row>
    <row r="79" spans="1:7" s="7" customFormat="1" x14ac:dyDescent="0.25">
      <c r="A79" s="57" t="s">
        <v>58</v>
      </c>
      <c r="B79" s="36">
        <v>2354.5761600000001</v>
      </c>
      <c r="C79" s="58">
        <f>IF(OR(3335.70785="",2354.57616=""),"-",2354.57616/3335.70785*100)</f>
        <v>70.587001796335386</v>
      </c>
      <c r="D79" s="58">
        <f>IF(3335.70785="","-",3335.70785/2890255.78537*100)</f>
        <v>0.11541220216164966</v>
      </c>
      <c r="E79" s="58">
        <f>IF(2354.57616="","-",2354.57616/3828259.07614*100)</f>
        <v>6.150514145385632E-2</v>
      </c>
      <c r="F79" s="58">
        <f>IF(OR(3307388.5187="",1944.40112="",3335.70785=""),"-",(3335.70785-1944.40112)/3307388.5187*100)</f>
        <v>4.2066625137432173E-2</v>
      </c>
      <c r="G79" s="58">
        <f>IF(OR(2890255.78537="",2354.57616="",3335.70785=""),"-",(2354.57616-3335.70785)/2890255.78537*100)</f>
        <v>-3.3946188948615792E-2</v>
      </c>
    </row>
    <row r="80" spans="1:7" s="7" customFormat="1" x14ac:dyDescent="0.25">
      <c r="A80" s="57" t="s">
        <v>91</v>
      </c>
      <c r="B80" s="36">
        <v>2068.5034700000001</v>
      </c>
      <c r="C80" s="58" t="s">
        <v>105</v>
      </c>
      <c r="D80" s="58">
        <f>IF(1063.4357="","-",1063.4357/2890255.78537*100)</f>
        <v>3.6793826531995436E-2</v>
      </c>
      <c r="E80" s="58">
        <f>IF(2068.50347="","-",2068.50347/3828259.07614*100)</f>
        <v>5.4032483927019218E-2</v>
      </c>
      <c r="F80" s="58">
        <f>IF(OR(3307388.5187="",1620.72279="",1063.4357=""),"-",(1063.4357-1620.72279)/3307388.5187*100)</f>
        <v>-1.6849761884613634E-2</v>
      </c>
      <c r="G80" s="58">
        <f>IF(OR(2890255.78537="",2068.50347="",1063.4357=""),"-",(2068.50347-1063.4357)/2890255.78537*100)</f>
        <v>3.4774353712480673E-2</v>
      </c>
    </row>
    <row r="81" spans="1:7" s="7" customFormat="1" x14ac:dyDescent="0.25">
      <c r="A81" s="57" t="s">
        <v>80</v>
      </c>
      <c r="B81" s="36">
        <v>1999.4631199999999</v>
      </c>
      <c r="C81" s="58">
        <f>IF(OR(2685.80352="",1999.46312=""),"-",1999.46312/2685.80352*100)</f>
        <v>74.445621398247326</v>
      </c>
      <c r="D81" s="58">
        <f>IF(2685.80352="","-",2685.80352/2890255.78537*100)</f>
        <v>9.2926153235125278E-2</v>
      </c>
      <c r="E81" s="58">
        <f>IF(1999.46312="","-",1999.46312/3828259.07614*100)</f>
        <v>5.2229044070236777E-2</v>
      </c>
      <c r="F81" s="58">
        <f>IF(OR(3307388.5187="",2851.24035="",2685.80352=""),"-",(2685.80352-2851.24035)/3307388.5187*100)</f>
        <v>-5.0020379844889409E-3</v>
      </c>
      <c r="G81" s="58">
        <f>IF(OR(2890255.78537="",1999.46312="",2685.80352=""),"-",(1999.46312-2685.80352)/2890255.78537*100)</f>
        <v>-2.3746701017748752E-2</v>
      </c>
    </row>
    <row r="82" spans="1:7" s="7" customFormat="1" x14ac:dyDescent="0.25">
      <c r="A82" s="57" t="s">
        <v>87</v>
      </c>
      <c r="B82" s="36">
        <v>1997.51686</v>
      </c>
      <c r="C82" s="58">
        <f>IF(OR(1345.2171="",1997.51686=""),"-",1997.51686/1345.2171*100)</f>
        <v>148.49029647333504</v>
      </c>
      <c r="D82" s="58">
        <f>IF(1345.2171="","-",1345.2171/2890255.78537*100)</f>
        <v>4.6543185098331712E-2</v>
      </c>
      <c r="E82" s="58">
        <f>IF(1997.51686="","-",1997.51686/3828259.07614*100)</f>
        <v>5.2178204773279835E-2</v>
      </c>
      <c r="F82" s="58">
        <f>IF(OR(3307388.5187="",1612.89678="",1345.2171=""),"-",(1345.2171-1612.89678)/3307388.5187*100)</f>
        <v>-8.0933848106001759E-3</v>
      </c>
      <c r="G82" s="58">
        <f>IF(OR(2890255.78537="",1997.51686="",1345.2171=""),"-",(1997.51686-1345.2171)/2890255.78537*100)</f>
        <v>2.2568928442314139E-2</v>
      </c>
    </row>
    <row r="83" spans="1:7" s="7" customFormat="1" x14ac:dyDescent="0.25">
      <c r="A83" s="57" t="s">
        <v>89</v>
      </c>
      <c r="B83" s="36">
        <v>1907.6356499999999</v>
      </c>
      <c r="C83" s="58" t="s">
        <v>317</v>
      </c>
      <c r="D83" s="58">
        <f>IF(659.1386="","-",659.1386/2890255.78537*100)</f>
        <v>2.2805545562314979E-2</v>
      </c>
      <c r="E83" s="58">
        <f>IF(1907.63565="","-",1907.63565/3828259.07614*100)</f>
        <v>4.9830369681339644E-2</v>
      </c>
      <c r="F83" s="58">
        <f>IF(OR(3307388.5187="",815.47972="",659.1386=""),"-",(659.1386-815.47972)/3307388.5187*100)</f>
        <v>-4.7270261451307022E-3</v>
      </c>
      <c r="G83" s="58">
        <f>IF(OR(2890255.78537="",1907.63565="",659.1386=""),"-",(1907.63565-659.1386)/2890255.78537*100)</f>
        <v>4.3196766747070861E-2</v>
      </c>
    </row>
    <row r="84" spans="1:7" s="7" customFormat="1" x14ac:dyDescent="0.25">
      <c r="A84" s="57" t="s">
        <v>37</v>
      </c>
      <c r="B84" s="36">
        <v>1805.0645999999999</v>
      </c>
      <c r="C84" s="58">
        <f>IF(OR(2147.83813="",1805.0646=""),"-",1805.0646/2147.83813*100)</f>
        <v>84.040998005748222</v>
      </c>
      <c r="D84" s="58">
        <f>IF(2147.83813="","-",2147.83813/2890255.78537*100)</f>
        <v>7.4313081246026869E-2</v>
      </c>
      <c r="E84" s="58">
        <f>IF(1805.0646="","-",1805.0646/3828259.07614*100)</f>
        <v>4.7151056501119323E-2</v>
      </c>
      <c r="F84" s="58">
        <f>IF(OR(3307388.5187="",1458.20758="",2147.83813=""),"-",(2147.83813-1458.20758)/3307388.5187*100)</f>
        <v>2.085121073925315E-2</v>
      </c>
      <c r="G84" s="58">
        <f>IF(OR(2890255.78537="",1805.0646="",2147.83813=""),"-",(1805.0646-2147.83813)/2890255.78537*100)</f>
        <v>-1.1859626118043374E-2</v>
      </c>
    </row>
    <row r="85" spans="1:7" s="7" customFormat="1" x14ac:dyDescent="0.25">
      <c r="A85" s="57" t="s">
        <v>138</v>
      </c>
      <c r="B85" s="36">
        <v>1636.63168</v>
      </c>
      <c r="C85" s="58" t="s">
        <v>105</v>
      </c>
      <c r="D85" s="58">
        <f>IF(874.77124="","-",874.77124/2890255.78537*100)</f>
        <v>3.0266222264062174E-2</v>
      </c>
      <c r="E85" s="58">
        <f>IF(1636.63168="","-",1636.63168/3828259.07614*100)</f>
        <v>4.275133023782187E-2</v>
      </c>
      <c r="F85" s="58">
        <f>IF(OR(3307388.5187="",1824.25556="",874.77124=""),"-",(874.77124-1824.25556)/3307388.5187*100)</f>
        <v>-2.8707976538940267E-2</v>
      </c>
      <c r="G85" s="58">
        <f>IF(OR(2890255.78537="",1636.63168="",874.77124=""),"-",(1636.63168-874.77124)/2890255.78537*100)</f>
        <v>2.6359619929018474E-2</v>
      </c>
    </row>
    <row r="86" spans="1:7" s="7" customFormat="1" x14ac:dyDescent="0.25">
      <c r="A86" s="57" t="s">
        <v>86</v>
      </c>
      <c r="B86" s="36">
        <v>1438.2542900000001</v>
      </c>
      <c r="C86" s="58">
        <f>IF(OR(2740.63807="",1438.25429=""),"-",1438.25429/2740.63807*100)</f>
        <v>52.478811622141706</v>
      </c>
      <c r="D86" s="58">
        <f>IF(2740.63807="","-",2740.63807/2890255.78537*100)</f>
        <v>9.4823374591019222E-2</v>
      </c>
      <c r="E86" s="58">
        <f>IF(1438.25429="","-",1438.25429/3828259.07614*100)</f>
        <v>3.7569408480321011E-2</v>
      </c>
      <c r="F86" s="58">
        <f>IF(OR(3307388.5187="",1884.06596="",2740.63807=""),"-",(2740.63807-1884.06596)/3307388.5187*100)</f>
        <v>2.5898744739450318E-2</v>
      </c>
      <c r="G86" s="58">
        <f>IF(OR(2890255.78537="",1438.25429="",2740.63807=""),"-",(1438.25429-2740.63807)/2890255.78537*100)</f>
        <v>-4.5061194465640463E-2</v>
      </c>
    </row>
    <row r="87" spans="1:7" s="7" customFormat="1" x14ac:dyDescent="0.25">
      <c r="A87" s="57" t="s">
        <v>93</v>
      </c>
      <c r="B87" s="36">
        <v>1437.98505</v>
      </c>
      <c r="C87" s="58" t="s">
        <v>229</v>
      </c>
      <c r="D87" s="58">
        <f>IF(583.99703="","-",583.99703/2890255.78537*100)</f>
        <v>2.0205721339823866E-2</v>
      </c>
      <c r="E87" s="58">
        <f>IF(1437.98505="","-",1437.98505/3828259.07614*100)</f>
        <v>3.7562375518480004E-2</v>
      </c>
      <c r="F87" s="58">
        <f>IF(OR(3307388.5187="",593.95363="",583.99703=""),"-",(583.99703-593.95363)/3307388.5187*100)</f>
        <v>-3.0104113694854077E-4</v>
      </c>
      <c r="G87" s="58">
        <f>IF(OR(2890255.78537="",1437.98505="",583.99703=""),"-",(1437.98505-583.99703)/2890255.78537*100)</f>
        <v>2.9547143347061079E-2</v>
      </c>
    </row>
    <row r="88" spans="1:7" s="7" customFormat="1" x14ac:dyDescent="0.25">
      <c r="A88" s="57" t="s">
        <v>38</v>
      </c>
      <c r="B88" s="36">
        <v>1299.1790599999999</v>
      </c>
      <c r="C88" s="58">
        <f>IF(OR(1584.05903="",1299.17906=""),"-",1299.17906/1584.05903*100)</f>
        <v>82.015823614856075</v>
      </c>
      <c r="D88" s="58">
        <f>IF(1584.05903="","-",1584.05903/2890255.78537*100)</f>
        <v>5.4806880346654666E-2</v>
      </c>
      <c r="E88" s="58">
        <f>IF(1299.17906="","-",1299.17906/3828259.07614*100)</f>
        <v>3.3936550117447922E-2</v>
      </c>
      <c r="F88" s="58">
        <f>IF(OR(3307388.5187="",1510.3982="",1584.05903=""),"-",(1584.05903-1510.3982)/3307388.5187*100)</f>
        <v>2.2271598750349684E-3</v>
      </c>
      <c r="G88" s="58">
        <f>IF(OR(2890255.78537="",1299.17906="",1584.05903=""),"-",(1299.17906-1584.05903)/2890255.78537*100)</f>
        <v>-9.8565660327371556E-3</v>
      </c>
    </row>
    <row r="89" spans="1:7" x14ac:dyDescent="0.25">
      <c r="A89" s="57" t="s">
        <v>375</v>
      </c>
      <c r="B89" s="36">
        <v>1246.0154600000001</v>
      </c>
      <c r="C89" s="58">
        <f>IF(OR(1097.88616="",1246.01546=""),"-",1246.01546/1097.88616*100)</f>
        <v>113.49222764589729</v>
      </c>
      <c r="D89" s="58">
        <f>IF(1097.88616="","-",1097.88616/2890255.78537*100)</f>
        <v>3.7985778475293414E-2</v>
      </c>
      <c r="E89" s="58">
        <f>IF(1246.01546="","-",1246.01546/3828259.07614*100)</f>
        <v>3.2547835327183409E-2</v>
      </c>
      <c r="F89" s="58">
        <f>IF(OR(3307388.5187="",1389.14418="",1097.88616=""),"-",(1097.88616-1389.14418)/3307388.5187*100)</f>
        <v>-8.8062838203986291E-3</v>
      </c>
      <c r="G89" s="58">
        <f>IF(OR(2890255.78537="",1246.01546="",1097.88616=""),"-",(1246.01546-1097.88616)/2890255.78537*100)</f>
        <v>5.1251277049528358E-3</v>
      </c>
    </row>
    <row r="90" spans="1:7" x14ac:dyDescent="0.25">
      <c r="A90" s="57" t="s">
        <v>97</v>
      </c>
      <c r="B90" s="36">
        <v>1104.2239099999999</v>
      </c>
      <c r="C90" s="58">
        <f>IF(OR(869.75859="",1104.22391=""),"-",1104.22391/869.75859*100)</f>
        <v>126.95751702779962</v>
      </c>
      <c r="D90" s="58">
        <f>IF(869.75859="","-",869.75859/2890255.78537*100)</f>
        <v>3.0092789517196888E-2</v>
      </c>
      <c r="E90" s="58">
        <f>IF(1104.22391="","-",1104.22391/3828259.07614*100)</f>
        <v>2.8844022518804534E-2</v>
      </c>
      <c r="F90" s="58">
        <f>IF(OR(3307388.5187="",710.15337="",869.75859=""),"-",(869.75859-710.15337)/3307388.5187*100)</f>
        <v>4.8257173022640343E-3</v>
      </c>
      <c r="G90" s="58">
        <f>IF(OR(2890255.78537="",1104.22391="",869.75859=""),"-",(1104.22391-869.75859)/2890255.78537*100)</f>
        <v>8.1122688582382502E-3</v>
      </c>
    </row>
    <row r="91" spans="1:7" x14ac:dyDescent="0.25">
      <c r="A91" s="57" t="s">
        <v>128</v>
      </c>
      <c r="B91" s="36">
        <v>980.87132999999994</v>
      </c>
      <c r="C91" s="58" t="s">
        <v>380</v>
      </c>
      <c r="D91" s="58">
        <f>IF(41.22198="","-",41.22198/2890255.78537*100)</f>
        <v>1.4262398576852227E-3</v>
      </c>
      <c r="E91" s="58">
        <f>IF(980.87133="","-",980.87133/3828259.07614*100)</f>
        <v>2.5621863894044597E-2</v>
      </c>
      <c r="F91" s="58">
        <f>IF(OR(3307388.5187="",1.0077="",41.22198=""),"-",(41.22198-1.0077)/3307388.5187*100)</f>
        <v>1.2158922295529588E-3</v>
      </c>
      <c r="G91" s="58">
        <f>IF(OR(2890255.78537="",980.87133="",41.22198=""),"-",(980.87133-41.22198)/2890255.78537*100)</f>
        <v>3.2510940891679913E-2</v>
      </c>
    </row>
    <row r="92" spans="1:7" x14ac:dyDescent="0.25">
      <c r="A92" s="57" t="s">
        <v>158</v>
      </c>
      <c r="B92" s="36">
        <v>799.11980000000005</v>
      </c>
      <c r="C92" s="58" t="s">
        <v>20</v>
      </c>
      <c r="D92" s="58">
        <f>IF(408.58951="","-",408.58951/2890255.78537*100)</f>
        <v>1.413679412279747E-2</v>
      </c>
      <c r="E92" s="58">
        <f>IF(799.1198="","-",799.1198/3828259.07614*100)</f>
        <v>2.0874235105471112E-2</v>
      </c>
      <c r="F92" s="58">
        <f>IF(OR(3307388.5187="",544.88064="",408.58951=""),"-",(408.58951-544.88064)/3307388.5187*100)</f>
        <v>-4.1208079797522687E-3</v>
      </c>
      <c r="G92" s="58">
        <f>IF(OR(2890255.78537="",799.1198="",408.58951=""),"-",(799.1198-408.58951)/2890255.78537*100)</f>
        <v>1.3511962919572731E-2</v>
      </c>
    </row>
    <row r="93" spans="1:7" x14ac:dyDescent="0.25">
      <c r="A93" s="57" t="s">
        <v>67</v>
      </c>
      <c r="B93" s="36">
        <v>798.91224999999997</v>
      </c>
      <c r="C93" s="58">
        <f>IF(OR(586.17266="",798.91225=""),"-",798.91225/586.17266*100)</f>
        <v>136.29299087405408</v>
      </c>
      <c r="D93" s="58">
        <f>IF(586.17266="","-",586.17266/2890255.78537*100)</f>
        <v>2.0280995992365436E-2</v>
      </c>
      <c r="E93" s="58">
        <f>IF(798.91225="","-",798.91225/3828259.07614*100)</f>
        <v>2.0868813581068714E-2</v>
      </c>
      <c r="F93" s="58">
        <f>IF(OR(3307388.5187="",1108.7469="",586.17266=""),"-",(586.17266-1108.7469)/3307388.5187*100)</f>
        <v>-1.5800207234359116E-2</v>
      </c>
      <c r="G93" s="58">
        <f>IF(OR(2890255.78537="",798.91225="",586.17266=""),"-",(798.91225-586.17266)/2890255.78537*100)</f>
        <v>7.3605800246764616E-3</v>
      </c>
    </row>
    <row r="94" spans="1:7" x14ac:dyDescent="0.25">
      <c r="A94" s="57" t="s">
        <v>159</v>
      </c>
      <c r="B94" s="36">
        <v>757.14242999999999</v>
      </c>
      <c r="C94" s="58">
        <f>IF(OR(584.07003="",757.14243=""),"-",757.14243/584.07003*100)</f>
        <v>129.63213161271091</v>
      </c>
      <c r="D94" s="58">
        <f>IF(584.07003="","-",584.07003/2890255.78537*100)</f>
        <v>2.0208247067836228E-2</v>
      </c>
      <c r="E94" s="58">
        <f>IF(757.14243="","-",757.14243/3828259.07614*100)</f>
        <v>1.977772180359904E-2</v>
      </c>
      <c r="F94" s="58">
        <f>IF(OR(3307388.5187="",663.99883="",584.07003=""),"-",(584.07003-663.99883)/3307388.5187*100)</f>
        <v>-2.4166740480618463E-3</v>
      </c>
      <c r="G94" s="58">
        <f>IF(OR(2890255.78537="",757.14243="",584.07003=""),"-",(757.14243-584.07003)/2890255.78537*100)</f>
        <v>5.9881343677630214E-3</v>
      </c>
    </row>
    <row r="95" spans="1:7" x14ac:dyDescent="0.25">
      <c r="A95" s="57" t="s">
        <v>64</v>
      </c>
      <c r="B95" s="36">
        <v>591.70456999999999</v>
      </c>
      <c r="C95" s="58">
        <f>IF(OR(426.14642="",591.70457=""),"-",591.70457/426.14642*100)</f>
        <v>138.85006237996791</v>
      </c>
      <c r="D95" s="58">
        <f>IF(426.14642="","-",426.14642/2890255.78537*100)</f>
        <v>1.4744245895366187E-2</v>
      </c>
      <c r="E95" s="58">
        <f>IF(591.70457="","-",591.70457/3828259.07614*100)</f>
        <v>1.5456231102222332E-2</v>
      </c>
      <c r="F95" s="58">
        <f>IF(OR(3307388.5187="",281.10103="",426.14642=""),"-",(426.14642-281.10103)/3307388.5187*100)</f>
        <v>4.3854959639580372E-3</v>
      </c>
      <c r="G95" s="58">
        <f>IF(OR(2890255.78537="",591.70457="",426.14642=""),"-",(591.70457-426.14642)/2890255.78537*100)</f>
        <v>5.7281487278056202E-3</v>
      </c>
    </row>
    <row r="96" spans="1:7" x14ac:dyDescent="0.25">
      <c r="A96" s="57" t="s">
        <v>102</v>
      </c>
      <c r="B96" s="36">
        <v>528.41134</v>
      </c>
      <c r="C96" s="58">
        <f>IF(OR(426.05468="",528.41134=""),"-",528.41134/426.05468*100)</f>
        <v>124.02430129390902</v>
      </c>
      <c r="D96" s="58">
        <f>IF(426.05468="","-",426.05468/2890255.78537*100)</f>
        <v>1.4741071781833941E-2</v>
      </c>
      <c r="E96" s="58">
        <f>IF(528.41134="","-",528.41134/3828259.07614*100)</f>
        <v>1.3802914836495145E-2</v>
      </c>
      <c r="F96" s="58">
        <f>IF(OR(3307388.5187="",252.30622="",426.05468=""),"-",(426.05468-252.30622)/3307388.5187*100)</f>
        <v>5.2533429023419809E-3</v>
      </c>
      <c r="G96" s="58">
        <f>IF(OR(2890255.78537="",528.41134="",426.05468=""),"-",(528.41134-426.05468)/2890255.78537*100)</f>
        <v>3.5414394988191899E-3</v>
      </c>
    </row>
    <row r="97" spans="1:7" x14ac:dyDescent="0.25">
      <c r="A97" s="57" t="s">
        <v>98</v>
      </c>
      <c r="B97" s="36">
        <v>527.88214000000005</v>
      </c>
      <c r="C97" s="58" t="s">
        <v>233</v>
      </c>
      <c r="D97" s="58">
        <f>IF(234.09636="","-",234.09636/2890255.78537*100)</f>
        <v>8.0995032060815278E-3</v>
      </c>
      <c r="E97" s="58">
        <f>IF(527.88214="","-",527.88214/3828259.07614*100)</f>
        <v>1.3789091320649566E-2</v>
      </c>
      <c r="F97" s="58">
        <f>IF(OR(3307388.5187="",564.3471="",234.09636=""),"-",(234.09636-564.3471)/3307388.5187*100)</f>
        <v>-9.9852417740691705E-3</v>
      </c>
      <c r="G97" s="58">
        <f>IF(OR(2890255.78537="",527.88214="",234.09636=""),"-",(527.88214-234.09636)/2890255.78537*100)</f>
        <v>1.0164698276432673E-2</v>
      </c>
    </row>
    <row r="98" spans="1:7" x14ac:dyDescent="0.25">
      <c r="A98" s="57" t="s">
        <v>101</v>
      </c>
      <c r="B98" s="36">
        <v>500.54858000000002</v>
      </c>
      <c r="C98" s="58" t="s">
        <v>233</v>
      </c>
      <c r="D98" s="58">
        <f>IF(220.1529="","-",220.1529/2890255.78537*100)</f>
        <v>7.6170732401740285E-3</v>
      </c>
      <c r="E98" s="58">
        <f>IF(500.54858="","-",500.54858/3828259.07614*100)</f>
        <v>1.3075096801042492E-2</v>
      </c>
      <c r="F98" s="58">
        <f>IF(OR(3307388.5187="",661.10361="",220.1529=""),"-",(220.1529-661.10361)/3307388.5187*100)</f>
        <v>-1.3332292456929729E-2</v>
      </c>
      <c r="G98" s="58">
        <f>IF(OR(2890255.78537="",500.54858="",220.1529=""),"-",(500.54858-220.1529)/2890255.78537*100)</f>
        <v>9.7014140208391553E-3</v>
      </c>
    </row>
    <row r="99" spans="1:7" x14ac:dyDescent="0.25">
      <c r="A99" s="57" t="s">
        <v>237</v>
      </c>
      <c r="B99" s="36">
        <v>425.66896000000003</v>
      </c>
      <c r="C99" s="58" t="s">
        <v>381</v>
      </c>
      <c r="D99" s="58">
        <f>IF(118.50729="","-",118.50729/2890255.78537*100)</f>
        <v>4.1002353701656592E-3</v>
      </c>
      <c r="E99" s="58">
        <f>IF(425.66896="","-",425.66896/3828259.07614*100)</f>
        <v>1.1119126253837508E-2</v>
      </c>
      <c r="F99" s="58">
        <f>IF(OR(3307388.5187="",129.70559="",118.50729=""),"-",(118.50729-129.70559)/3307388.5187*100)</f>
        <v>-3.3858435247884332E-4</v>
      </c>
      <c r="G99" s="58">
        <f>IF(OR(2890255.78537="",425.66896="",118.50729=""),"-",(425.66896-118.50729)/2890255.78537*100)</f>
        <v>1.0627490880039126E-2</v>
      </c>
    </row>
    <row r="100" spans="1:7" x14ac:dyDescent="0.25">
      <c r="A100" s="57" t="s">
        <v>130</v>
      </c>
      <c r="B100" s="36">
        <v>402.74684999999999</v>
      </c>
      <c r="C100" s="58" t="s">
        <v>309</v>
      </c>
      <c r="D100" s="58">
        <f>IF(155.66758="","-",155.66758/2890255.78537*100)</f>
        <v>5.3859447592134822E-3</v>
      </c>
      <c r="E100" s="58">
        <f>IF(402.74685="","-",402.74685/3828259.07614*100)</f>
        <v>1.0520365575834698E-2</v>
      </c>
      <c r="F100" s="58">
        <f>IF(OR(3307388.5187="",134.36369="",155.66758=""),"-",(155.66758-134.36369)/3307388.5187*100)</f>
        <v>6.4413025199632997E-4</v>
      </c>
      <c r="G100" s="58">
        <f>IF(OR(2890255.78537="",402.74685="",155.66758=""),"-",(402.74685-155.66758)/2890255.78537*100)</f>
        <v>8.5486990892181466E-3</v>
      </c>
    </row>
    <row r="101" spans="1:7" x14ac:dyDescent="0.25">
      <c r="A101" s="57" t="s">
        <v>92</v>
      </c>
      <c r="B101" s="36">
        <v>356.13546000000002</v>
      </c>
      <c r="C101" s="58">
        <f>IF(OR(405.82168="",356.13546=""),"-",356.13546/405.82168*100)</f>
        <v>87.756637348699556</v>
      </c>
      <c r="D101" s="58">
        <f>IF(405.82168="","-",405.82168/2890255.78537*100)</f>
        <v>1.4041029934243283E-2</v>
      </c>
      <c r="E101" s="58">
        <f>IF(356.13546="","-",356.13546/3828259.07614*100)</f>
        <v>9.3028045625137851E-3</v>
      </c>
      <c r="F101" s="58">
        <f>IF(OR(3307388.5187="",347.54888="",405.82168=""),"-",(405.82168-347.54888)/3307388.5187*100)</f>
        <v>1.7618976322414245E-3</v>
      </c>
      <c r="G101" s="58">
        <f>IF(OR(2890255.78537="",356.13546="",405.82168=""),"-",(356.13546-405.82168)/2890255.78537*100)</f>
        <v>-1.719094214827057E-3</v>
      </c>
    </row>
    <row r="102" spans="1:7" x14ac:dyDescent="0.25">
      <c r="A102" s="57" t="s">
        <v>94</v>
      </c>
      <c r="B102" s="36">
        <v>329.65266000000003</v>
      </c>
      <c r="C102" s="58">
        <f>IF(OR(483.20144="",329.65266=""),"-",329.65266/483.20144*100)</f>
        <v>68.222615396179293</v>
      </c>
      <c r="D102" s="58">
        <f>IF(483.20144="","-",483.20144/2890255.78537*100)</f>
        <v>1.6718293323583551E-2</v>
      </c>
      <c r="E102" s="58">
        <f>IF(329.65266="","-",329.65266/3828259.07614*100)</f>
        <v>8.6110331992574011E-3</v>
      </c>
      <c r="F102" s="58">
        <f>IF(OR(3307388.5187="",252.63667="",483.20144=""),"-",(483.20144-252.63667)/3307388.5187*100)</f>
        <v>6.9712030714379333E-3</v>
      </c>
      <c r="G102" s="58">
        <f>IF(OR(2890255.78537="",329.65266="",483.20144=""),"-",(329.65266-483.20144)/2890255.78537*100)</f>
        <v>-5.3126363686300249E-3</v>
      </c>
    </row>
    <row r="103" spans="1:7" x14ac:dyDescent="0.25">
      <c r="A103" s="57" t="s">
        <v>107</v>
      </c>
      <c r="B103" s="36">
        <v>216.4014</v>
      </c>
      <c r="C103" s="58">
        <f>IF(OR(154.25169="",216.4014=""),"-",216.4014/154.25169*100)</f>
        <v>140.29110475223968</v>
      </c>
      <c r="D103" s="58">
        <f>IF(154.25169="","-",154.25169/2890255.78537*100)</f>
        <v>5.3369563614679609E-3</v>
      </c>
      <c r="E103" s="58">
        <f>IF(216.4014="","-",216.4014/3828259.07614*100)</f>
        <v>5.6527365493297703E-3</v>
      </c>
      <c r="F103" s="58">
        <f>IF(OR(3307388.5187="",164.48396="",154.25169=""),"-",(154.25169-164.48396)/3307388.5187*100)</f>
        <v>-3.0937611176149002E-4</v>
      </c>
      <c r="G103" s="58">
        <f>IF(OR(2890255.78537="",216.4014="",154.25169=""),"-",(216.4014-154.25169)/2890255.78537*100)</f>
        <v>2.1503186781803747E-3</v>
      </c>
    </row>
    <row r="104" spans="1:7" x14ac:dyDescent="0.25">
      <c r="A104" s="57" t="s">
        <v>143</v>
      </c>
      <c r="B104" s="36">
        <v>207.31389999999999</v>
      </c>
      <c r="C104" s="58" t="s">
        <v>336</v>
      </c>
      <c r="D104" s="58">
        <f>IF(68.68197="","-",68.68197/2890255.78537*100)</f>
        <v>2.3763284325095673E-3</v>
      </c>
      <c r="E104" s="58">
        <f>IF(207.3139="","-",207.3139/3828259.07614*100)</f>
        <v>5.4153571081984545E-3</v>
      </c>
      <c r="F104" s="58">
        <f>IF(OR(3307388.5187="",72.40079="",68.68197=""),"-",(68.68197-72.40079)/3307388.5187*100)</f>
        <v>-1.1243976868679797E-4</v>
      </c>
      <c r="G104" s="58">
        <f>IF(OR(2890255.78537="",207.3139="",68.68197=""),"-",(207.3139-68.68197)/2890255.78537*100)</f>
        <v>4.7965280686135823E-3</v>
      </c>
    </row>
    <row r="105" spans="1:7" x14ac:dyDescent="0.25">
      <c r="A105" s="57" t="s">
        <v>60</v>
      </c>
      <c r="B105" s="36">
        <v>206.32074</v>
      </c>
      <c r="C105" s="58" t="s">
        <v>105</v>
      </c>
      <c r="D105" s="58">
        <f>IF(108.38257="","-",108.38257/2890255.78537*100)</f>
        <v>3.7499300424763357E-3</v>
      </c>
      <c r="E105" s="58">
        <f>IF(206.32074="","-",206.32074/3828259.07614*100)</f>
        <v>5.3894142453919658E-3</v>
      </c>
      <c r="F105" s="58">
        <f>IF(OR(3307388.5187="",305.28972="",108.38257=""),"-",(108.38257-305.28972)/3307388.5187*100)</f>
        <v>-5.9535536537871333E-3</v>
      </c>
      <c r="G105" s="58">
        <f>IF(OR(2890255.78537="",206.32074="",108.38257=""),"-",(206.32074-108.38257)/2890255.78537*100)</f>
        <v>3.3885641020336994E-3</v>
      </c>
    </row>
    <row r="106" spans="1:7" x14ac:dyDescent="0.25">
      <c r="A106" s="57" t="s">
        <v>90</v>
      </c>
      <c r="B106" s="36">
        <v>186.26141000000001</v>
      </c>
      <c r="C106" s="58">
        <f>IF(OR(197.24883="",186.26141=""),"-",186.26141/197.24883*100)</f>
        <v>94.429665311576244</v>
      </c>
      <c r="D106" s="58">
        <f>IF(197.24883="","-",197.24883/2890255.78537*100)</f>
        <v>6.8246150046110503E-3</v>
      </c>
      <c r="E106" s="58">
        <f>IF(186.26141="","-",186.26141/3828259.07614*100)</f>
        <v>4.8654337727791859E-3</v>
      </c>
      <c r="F106" s="58">
        <f>IF(OR(3307388.5187="",367.26636="",197.24883=""),"-",(197.24883-367.26636)/3307388.5187*100)</f>
        <v>-5.1405369837477398E-3</v>
      </c>
      <c r="G106" s="58">
        <f>IF(OR(2890255.78537="",186.26141="",197.24883=""),"-",(186.26141-197.24883)/2890255.78537*100)</f>
        <v>-3.8015389695322127E-4</v>
      </c>
    </row>
    <row r="107" spans="1:7" x14ac:dyDescent="0.25">
      <c r="A107" s="57" t="s">
        <v>137</v>
      </c>
      <c r="B107" s="36">
        <v>115.61651000000001</v>
      </c>
      <c r="C107" s="58">
        <f>IF(OR(1019.13798="",115.61651=""),"-",115.61651/1019.13798*100)</f>
        <v>11.344539431255424</v>
      </c>
      <c r="D107" s="58">
        <f>IF(1019.13798="","-",1019.13798/2890255.78537*100)</f>
        <v>3.5261169103395933E-2</v>
      </c>
      <c r="E107" s="58">
        <f>IF(115.61651="","-",115.61651/3828259.07614*100)</f>
        <v>3.0200806084570201E-3</v>
      </c>
      <c r="F107" s="58">
        <f>IF(OR(3307388.5187="",97.52841="",1019.13798=""),"-",(1019.13798-97.52841)/3307388.5187*100)</f>
        <v>2.7865174133284081E-2</v>
      </c>
      <c r="G107" s="58">
        <f>IF(OR(2890255.78537="",115.61651="",1019.13798=""),"-",(115.61651-1019.13798)/2890255.78537*100)</f>
        <v>-3.1260951870539525E-2</v>
      </c>
    </row>
    <row r="108" spans="1:7" x14ac:dyDescent="0.25">
      <c r="A108" s="57" t="s">
        <v>111</v>
      </c>
      <c r="B108" s="36">
        <v>113.63933</v>
      </c>
      <c r="C108" s="58">
        <f>IF(OR(422.9867="",113.63933=""),"-",113.63933/422.9867*100)</f>
        <v>26.865934555389092</v>
      </c>
      <c r="D108" s="58">
        <f>IF(422.9867="","-",422.9867/2890255.78537*100)</f>
        <v>1.4634922699267281E-2</v>
      </c>
      <c r="E108" s="58">
        <f>IF(113.63933="","-",113.63933/3828259.07614*100)</f>
        <v>2.9684336336657114E-3</v>
      </c>
      <c r="F108" s="58">
        <f>IF(OR(3307388.5187="",405.65979="",422.9867=""),"-",(422.9867-405.65979)/3307388.5187*100)</f>
        <v>5.2388492921329069E-4</v>
      </c>
      <c r="G108" s="58">
        <f>IF(OR(2890255.78537="",113.63933="",422.9867=""),"-",(113.63933-422.9867)/2890255.78537*100)</f>
        <v>-1.0703113944650349E-2</v>
      </c>
    </row>
    <row r="109" spans="1:7" x14ac:dyDescent="0.25">
      <c r="A109" s="57" t="s">
        <v>238</v>
      </c>
      <c r="B109" s="36">
        <v>107.34369</v>
      </c>
      <c r="C109" s="58" t="s">
        <v>382</v>
      </c>
      <c r="D109" s="58">
        <f>IF(12.62931="","-",12.62931/2890255.78537*100)</f>
        <v>4.3696167183290466E-4</v>
      </c>
      <c r="E109" s="58">
        <f>IF(107.34369="","-",107.34369/3828259.07614*100)</f>
        <v>2.8039818587260739E-3</v>
      </c>
      <c r="F109" s="58">
        <f>IF(OR(3307388.5187="",4.07184="",12.62931=""),"-",(12.62931-4.07184)/3307388.5187*100)</f>
        <v>2.5873797262148068E-4</v>
      </c>
      <c r="G109" s="58">
        <f>IF(OR(2890255.78537="",107.34369="",12.62931=""),"-",(107.34369-12.62931)/2890255.78537*100)</f>
        <v>3.2770241471162735E-3</v>
      </c>
    </row>
    <row r="110" spans="1:7" x14ac:dyDescent="0.25">
      <c r="A110" s="57" t="s">
        <v>151</v>
      </c>
      <c r="B110" s="36">
        <v>106.41492</v>
      </c>
      <c r="C110" s="58" t="s">
        <v>234</v>
      </c>
      <c r="D110" s="58">
        <f>IF(69.24245="","-",69.24245/2890255.78537*100)</f>
        <v>2.3957204878022878E-3</v>
      </c>
      <c r="E110" s="58">
        <f>IF(106.41492="","-",106.41492/3828259.07614*100)</f>
        <v>2.7797209615002655E-3</v>
      </c>
      <c r="F110" s="58">
        <f>IF(OR(3307388.5187="",85.65273="",69.24245=""),"-",(69.24245-85.65273)/3307388.5187*100)</f>
        <v>-4.9617031404735647E-4</v>
      </c>
      <c r="G110" s="58">
        <f>IF(OR(2890255.78537="",106.41492="",69.24245=""),"-",(106.41492-69.24245)/2890255.78537*100)</f>
        <v>1.2861308050367349E-3</v>
      </c>
    </row>
    <row r="111" spans="1:7" x14ac:dyDescent="0.25">
      <c r="A111" s="57" t="s">
        <v>142</v>
      </c>
      <c r="B111" s="36">
        <v>94.627970000000005</v>
      </c>
      <c r="C111" s="58">
        <f>IF(OR(114.65281="",94.62797=""),"-",94.62797/114.65281*100)</f>
        <v>82.534366144187828</v>
      </c>
      <c r="D111" s="58">
        <f>IF(114.65281="","-",114.65281/2890255.78537*100)</f>
        <v>3.9668741631918424E-3</v>
      </c>
      <c r="E111" s="58">
        <f>IF(94.62797="","-",94.62797/3828259.07614*100)</f>
        <v>2.4718277451434285E-3</v>
      </c>
      <c r="F111" s="58">
        <f>IF(OR(3307388.5187="",22.99742="",114.65281=""),"-",(114.65281-22.99742)/3307388.5187*100)</f>
        <v>2.7712314256937076E-3</v>
      </c>
      <c r="G111" s="58">
        <f>IF(OR(2890255.78537="",94.62797="",114.65281=""),"-",(94.62797-114.65281)/2890255.78537*100)</f>
        <v>-6.9283971686389995E-4</v>
      </c>
    </row>
    <row r="112" spans="1:7" x14ac:dyDescent="0.25">
      <c r="A112" s="57" t="s">
        <v>333</v>
      </c>
      <c r="B112" s="36">
        <v>88.310310000000001</v>
      </c>
      <c r="C112" s="58" t="s">
        <v>339</v>
      </c>
      <c r="D112" s="58">
        <f>IF(15.18222="","-",15.18222/2890255.78537*100)</f>
        <v>5.2528984032658638E-4</v>
      </c>
      <c r="E112" s="58">
        <f>IF(88.31031="","-",88.31031/3828259.07614*100)</f>
        <v>2.3068007740229147E-3</v>
      </c>
      <c r="F112" s="58">
        <f>IF(OR(3307388.5187="",44.75105="",15.18222=""),"-",(15.18222-44.75105)/3307388.5187*100)</f>
        <v>-8.9402348205593648E-4</v>
      </c>
      <c r="G112" s="58">
        <f>IF(OR(2890255.78537="",88.31031="",15.18222=""),"-",(88.31031-15.18222)/2890255.78537*100)</f>
        <v>2.5301598000482301E-3</v>
      </c>
    </row>
    <row r="113" spans="1:7" x14ac:dyDescent="0.25">
      <c r="A113" s="57" t="s">
        <v>219</v>
      </c>
      <c r="B113" s="36">
        <v>87.996229999999997</v>
      </c>
      <c r="C113" s="58">
        <f>IF(OR(76.76139="",87.99623=""),"-",87.99623/76.76139*100)</f>
        <v>114.63605596511475</v>
      </c>
      <c r="D113" s="58">
        <f>IF(76.76139="","-",76.76139/2890255.78537*100)</f>
        <v>2.6558683971347296E-3</v>
      </c>
      <c r="E113" s="58">
        <f>IF(87.99623="","-",87.99623/3828259.07614*100)</f>
        <v>2.2985965225928704E-3</v>
      </c>
      <c r="F113" s="58">
        <f>IF(OR(3307388.5187="",26.68818="",76.76139=""),"-",(76.76139-26.68818)/3307388.5187*100)</f>
        <v>1.5139802813272675E-3</v>
      </c>
      <c r="G113" s="58">
        <f>IF(OR(2890255.78537="",87.99623="",76.76139=""),"-",(87.99623-76.76139)/2890255.78537*100)</f>
        <v>3.8871438496443481E-4</v>
      </c>
    </row>
    <row r="114" spans="1:7" x14ac:dyDescent="0.25">
      <c r="A114" s="57" t="s">
        <v>376</v>
      </c>
      <c r="B114" s="36">
        <v>78.09451</v>
      </c>
      <c r="C114" s="58">
        <f>IF(OR(338.03759="",78.09451=""),"-",78.09451/338.03759*100)</f>
        <v>23.102315337178918</v>
      </c>
      <c r="D114" s="58">
        <f>IF(338.03759="","-",338.03759/2890255.78537*100)</f>
        <v>1.169576726430549E-2</v>
      </c>
      <c r="E114" s="58">
        <f>IF(78.09451="","-",78.09451/3828259.07614*100)</f>
        <v>2.039948405966871E-3</v>
      </c>
      <c r="F114" s="58">
        <f>IF(OR(3307388.5187="",344.33438="",338.03759=""),"-",(338.03759-344.33438)/3307388.5187*100)</f>
        <v>-1.9038555538298233E-4</v>
      </c>
      <c r="G114" s="58">
        <f>IF(OR(2890255.78537="",78.09451="",338.03759=""),"-",(78.09451-338.03759)/2890255.78537*100)</f>
        <v>-8.993774229803091E-3</v>
      </c>
    </row>
    <row r="115" spans="1:7" x14ac:dyDescent="0.25">
      <c r="A115" s="57" t="s">
        <v>377</v>
      </c>
      <c r="B115" s="36">
        <v>77.909289999999999</v>
      </c>
      <c r="C115" s="58" t="s">
        <v>383</v>
      </c>
      <c r="D115" s="58">
        <f>IF(0.19287="","-",0.19287/2890255.78537*100)</f>
        <v>6.6731118047155647E-6</v>
      </c>
      <c r="E115" s="58">
        <f>IF(77.90929="","-",77.90929/3828259.07614*100)</f>
        <v>2.0351101754209188E-3</v>
      </c>
      <c r="F115" s="58">
        <f>IF(OR(3307388.5187="",0.02709="",0.19287=""),"-",(0.19287-0.02709)/3307388.5187*100)</f>
        <v>5.0124138444176917E-6</v>
      </c>
      <c r="G115" s="58">
        <f>IF(OR(2890255.78537="",77.90929="",0.19287=""),"-",(77.90929-0.19287)/2890255.78537*100)</f>
        <v>2.6889114933490573E-3</v>
      </c>
    </row>
    <row r="116" spans="1:7" x14ac:dyDescent="0.25">
      <c r="A116" s="57" t="s">
        <v>139</v>
      </c>
      <c r="B116" s="36">
        <v>76.821809999999999</v>
      </c>
      <c r="C116" s="58">
        <f>IF(OR(79.06714="",76.82181=""),"-",76.82181/79.06714*100)</f>
        <v>97.160223577076394</v>
      </c>
      <c r="D116" s="58">
        <f>IF(79.06714="","-",79.06714/2890255.78537*100)</f>
        <v>2.7356450733608032E-3</v>
      </c>
      <c r="E116" s="58">
        <f>IF(76.82181="","-",76.82181/3828259.07614*100)</f>
        <v>2.0067035295181419E-3</v>
      </c>
      <c r="F116" s="58">
        <f>IF(OR(3307388.5187="",51.3169="",79.06714=""),"-",(79.06714-51.3169)/3307388.5187*100)</f>
        <v>8.3903780408923622E-4</v>
      </c>
      <c r="G116" s="58">
        <f>IF(OR(2890255.78537="",76.82181="",79.06714=""),"-",(76.82181-79.06714)/2890255.78537*100)</f>
        <v>-7.7686203808171133E-5</v>
      </c>
    </row>
    <row r="117" spans="1:7" x14ac:dyDescent="0.25">
      <c r="A117" s="57" t="s">
        <v>335</v>
      </c>
      <c r="B117" s="36">
        <v>69.729140000000001</v>
      </c>
      <c r="C117" s="58" t="s">
        <v>105</v>
      </c>
      <c r="D117" s="58">
        <f>IF(35.96393="","-",35.96393/2890255.78537*100)</f>
        <v>1.2443165128167377E-3</v>
      </c>
      <c r="E117" s="58">
        <f>IF(69.72914="","-",69.72914/3828259.07614*100)</f>
        <v>1.821432108254995E-3</v>
      </c>
      <c r="F117" s="58">
        <f>IF(OR(3307388.5187="",40.18104="",35.96393=""),"-",(35.96393-40.18104)/3307388.5187*100)</f>
        <v>-1.2750573378834791E-4</v>
      </c>
      <c r="G117" s="58">
        <f>IF(OR(2890255.78537="",69.72914="",35.96393=""),"-",(69.72914-35.96393)/2890255.78537*100)</f>
        <v>1.1682429690449527E-3</v>
      </c>
    </row>
    <row r="118" spans="1:7" x14ac:dyDescent="0.25">
      <c r="A118" s="57" t="s">
        <v>334</v>
      </c>
      <c r="B118" s="36">
        <v>59.607880000000002</v>
      </c>
      <c r="C118" s="58">
        <f>IF(OR(62.4447="",59.60788=""),"-",59.60788/62.4447*100)</f>
        <v>95.457068414132834</v>
      </c>
      <c r="D118" s="58">
        <f>IF(62.4447="","-",62.4447/2890255.78537*100)</f>
        <v>2.1605250412812874E-3</v>
      </c>
      <c r="E118" s="58">
        <f>IF(59.60788="","-",59.60788/3828259.07614*100)</f>
        <v>1.5570492700327403E-3</v>
      </c>
      <c r="F118" s="58">
        <f>IF(OR(3307388.5187="",45.48485="",62.4447=""),"-",(62.4447-45.48485)/3307388.5187*100)</f>
        <v>5.1278674713021695E-4</v>
      </c>
      <c r="G118" s="58">
        <f>IF(OR(2890255.78537="",59.60788="",62.4447=""),"-",(59.60788-62.4447)/2890255.78537*100)</f>
        <v>-9.8151174520937296E-5</v>
      </c>
    </row>
    <row r="119" spans="1:7" x14ac:dyDescent="0.25">
      <c r="A119" s="57" t="s">
        <v>227</v>
      </c>
      <c r="B119" s="36">
        <v>56.590899999999998</v>
      </c>
      <c r="C119" s="58" t="s">
        <v>229</v>
      </c>
      <c r="D119" s="58">
        <f>IF(23.03979="","-",23.03979/2890255.78537*100)</f>
        <v>7.9715401372513919E-4</v>
      </c>
      <c r="E119" s="58">
        <f>IF(56.5909="","-",56.5909/3828259.07614*100)</f>
        <v>1.4782411240845306E-3</v>
      </c>
      <c r="F119" s="58">
        <f>IF(OR(3307388.5187="",64.92413="",23.03979=""),"-",(23.03979-64.92413)/3307388.5187*100)</f>
        <v>-1.266387053204836E-3</v>
      </c>
      <c r="G119" s="58">
        <f>IF(OR(2890255.78537="",56.5909="",23.03979=""),"-",(56.5909-23.03979)/2890255.78537*100)</f>
        <v>1.1608353201758197E-3</v>
      </c>
    </row>
    <row r="120" spans="1:7" x14ac:dyDescent="0.25">
      <c r="A120" s="59" t="s">
        <v>344</v>
      </c>
      <c r="B120" s="60">
        <v>50.337899999999998</v>
      </c>
      <c r="C120" s="61" t="s">
        <v>331</v>
      </c>
      <c r="D120" s="61">
        <f>IF(11.91355="","-",11.91355/2890255.78537*100)</f>
        <v>4.1219708166676574E-4</v>
      </c>
      <c r="E120" s="61">
        <f>IF(50.3379="","-",50.3379/3828259.07614*100)</f>
        <v>1.3149031713589054E-3</v>
      </c>
      <c r="F120" s="61">
        <f>IF(OR(3307388.5187="",35.50664="",11.91355=""),"-",(11.91355-35.50664)/3307388.5187*100)</f>
        <v>-7.1334498099042451E-4</v>
      </c>
      <c r="G120" s="61">
        <f>IF(OR(2890255.78537="",50.3379="",11.91355=""),"-",(50.3379-11.91355)/2890255.78537*100)</f>
        <v>1.3294446185177708E-3</v>
      </c>
    </row>
    <row r="121" spans="1:7" x14ac:dyDescent="0.25">
      <c r="A121" s="44" t="s">
        <v>315</v>
      </c>
      <c r="B121" s="45"/>
      <c r="C121" s="45"/>
      <c r="D121" s="45"/>
      <c r="E121" s="45"/>
    </row>
    <row r="122" spans="1:7" x14ac:dyDescent="0.25">
      <c r="A122" s="98" t="s">
        <v>329</v>
      </c>
      <c r="B122" s="98"/>
      <c r="C122" s="98"/>
      <c r="D122" s="98"/>
      <c r="E122" s="98"/>
    </row>
  </sheetData>
  <mergeCells count="10">
    <mergeCell ref="A122:E122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2"/>
  <sheetViews>
    <sheetView workbookViewId="0">
      <selection activeCell="C132" sqref="C132"/>
    </sheetView>
  </sheetViews>
  <sheetFormatPr defaultRowHeight="15.75" x14ac:dyDescent="0.25"/>
  <cols>
    <col min="1" max="1" width="40.5" customWidth="1"/>
    <col min="2" max="2" width="16.25" customWidth="1"/>
    <col min="3" max="3" width="15.75" customWidth="1"/>
    <col min="4" max="4" width="16.75" customWidth="1"/>
  </cols>
  <sheetData>
    <row r="1" spans="1:5" x14ac:dyDescent="0.25">
      <c r="A1" s="112" t="s">
        <v>147</v>
      </c>
      <c r="B1" s="112"/>
      <c r="C1" s="112"/>
      <c r="D1" s="112"/>
    </row>
    <row r="2" spans="1:5" x14ac:dyDescent="0.25">
      <c r="A2" s="4"/>
    </row>
    <row r="3" spans="1:5" ht="28.5" customHeight="1" x14ac:dyDescent="0.25">
      <c r="A3" s="113"/>
      <c r="B3" s="117" t="s">
        <v>353</v>
      </c>
      <c r="C3" s="118"/>
      <c r="D3" s="115" t="s">
        <v>354</v>
      </c>
      <c r="E3" s="1"/>
    </row>
    <row r="4" spans="1:5" ht="27" customHeight="1" x14ac:dyDescent="0.25">
      <c r="A4" s="114"/>
      <c r="B4" s="18">
        <v>2020</v>
      </c>
      <c r="C4" s="17">
        <v>2021</v>
      </c>
      <c r="D4" s="116"/>
      <c r="E4" s="1"/>
    </row>
    <row r="5" spans="1:5" ht="16.5" customHeight="1" x14ac:dyDescent="0.25">
      <c r="A5" s="86" t="s">
        <v>228</v>
      </c>
      <c r="B5" s="52">
        <v>-1528948.91808</v>
      </c>
      <c r="C5" s="52">
        <v>-2255811.19588</v>
      </c>
      <c r="D5" s="72">
        <f>IF(-1528948.91808="","-",-2255811.19588/-1528948.91808*100)</f>
        <v>147.53999752410095</v>
      </c>
    </row>
    <row r="6" spans="1:5" x14ac:dyDescent="0.25">
      <c r="A6" s="87" t="s">
        <v>140</v>
      </c>
      <c r="B6" s="27"/>
      <c r="C6" s="27"/>
      <c r="D6" s="32"/>
    </row>
    <row r="7" spans="1:5" x14ac:dyDescent="0.25">
      <c r="A7" s="55" t="s">
        <v>343</v>
      </c>
      <c r="B7" s="56">
        <v>-451165.28262999997</v>
      </c>
      <c r="C7" s="56">
        <v>-797961.41475</v>
      </c>
      <c r="D7" s="73" t="s">
        <v>221</v>
      </c>
    </row>
    <row r="8" spans="1:5" x14ac:dyDescent="0.25">
      <c r="A8" s="57" t="s">
        <v>4</v>
      </c>
      <c r="B8" s="58">
        <v>-115265.56505</v>
      </c>
      <c r="C8" s="58">
        <v>-162366.74995999999</v>
      </c>
      <c r="D8" s="94">
        <f>IF(OR(-115265.56505="",-162366.74996="",-115265.56505=0),"-",-162366.74996/-115265.56505*100)</f>
        <v>140.86318831610149</v>
      </c>
    </row>
    <row r="9" spans="1:5" x14ac:dyDescent="0.25">
      <c r="A9" s="57" t="s">
        <v>3</v>
      </c>
      <c r="B9" s="58">
        <v>-68540.928920000006</v>
      </c>
      <c r="C9" s="58">
        <v>-141008.30817999999</v>
      </c>
      <c r="D9" s="94" t="s">
        <v>95</v>
      </c>
    </row>
    <row r="10" spans="1:5" x14ac:dyDescent="0.25">
      <c r="A10" s="57" t="s">
        <v>5</v>
      </c>
      <c r="B10" s="58">
        <v>-57713.953569999998</v>
      </c>
      <c r="C10" s="58">
        <v>-86315.272649999999</v>
      </c>
      <c r="D10" s="94">
        <f>IF(OR(-57713.95357="",-86315.27265="",-57713.95357=0),"-",-86315.27265/-57713.95357*100)</f>
        <v>149.55702617965702</v>
      </c>
    </row>
    <row r="11" spans="1:5" x14ac:dyDescent="0.25">
      <c r="A11" s="57" t="s">
        <v>123</v>
      </c>
      <c r="B11" s="58">
        <v>-53510.251219999998</v>
      </c>
      <c r="C11" s="58">
        <v>-78318.110199999996</v>
      </c>
      <c r="D11" s="94">
        <f>IF(OR(-53510.25122="",-78318.1102="",-53510.25122=0),"-",-78318.1102/-53510.25122*100)</f>
        <v>146.36094657452816</v>
      </c>
    </row>
    <row r="12" spans="1:5" x14ac:dyDescent="0.25">
      <c r="A12" s="57" t="s">
        <v>42</v>
      </c>
      <c r="B12" s="58">
        <v>-45287.82387</v>
      </c>
      <c r="C12" s="58">
        <v>-49992.125269999997</v>
      </c>
      <c r="D12" s="94">
        <f>IF(OR(-45287.82387="",-49992.12527="",-45287.82387=0),"-",-49992.12527/-45287.82387*100)</f>
        <v>110.387563362514</v>
      </c>
    </row>
    <row r="13" spans="1:5" x14ac:dyDescent="0.25">
      <c r="A13" s="57" t="s">
        <v>8</v>
      </c>
      <c r="B13" s="58">
        <v>-21511.687979999999</v>
      </c>
      <c r="C13" s="58">
        <v>-47397.780500000001</v>
      </c>
      <c r="D13" s="94" t="s">
        <v>220</v>
      </c>
    </row>
    <row r="14" spans="1:5" x14ac:dyDescent="0.25">
      <c r="A14" s="57" t="s">
        <v>2</v>
      </c>
      <c r="B14" s="58">
        <v>7836.8981400000002</v>
      </c>
      <c r="C14" s="58">
        <v>-43561.75432</v>
      </c>
      <c r="D14" s="94" t="s">
        <v>22</v>
      </c>
    </row>
    <row r="15" spans="1:5" x14ac:dyDescent="0.25">
      <c r="A15" s="57" t="s">
        <v>40</v>
      </c>
      <c r="B15" s="58">
        <v>-20256.405989999999</v>
      </c>
      <c r="C15" s="58">
        <v>-33949.776189999997</v>
      </c>
      <c r="D15" s="94" t="s">
        <v>103</v>
      </c>
    </row>
    <row r="16" spans="1:5" x14ac:dyDescent="0.25">
      <c r="A16" s="57" t="s">
        <v>6</v>
      </c>
      <c r="B16" s="58">
        <v>-10012.954299999999</v>
      </c>
      <c r="C16" s="58">
        <v>-24218.780559999999</v>
      </c>
      <c r="D16" s="94" t="s">
        <v>320</v>
      </c>
    </row>
    <row r="17" spans="1:4" x14ac:dyDescent="0.25">
      <c r="A17" s="57" t="s">
        <v>10</v>
      </c>
      <c r="B17" s="58">
        <v>-10208.35751</v>
      </c>
      <c r="C17" s="58">
        <v>-18898.589779999998</v>
      </c>
      <c r="D17" s="94" t="s">
        <v>105</v>
      </c>
    </row>
    <row r="18" spans="1:4" x14ac:dyDescent="0.25">
      <c r="A18" s="57" t="s">
        <v>7</v>
      </c>
      <c r="B18" s="58">
        <v>-398.17534000000001</v>
      </c>
      <c r="C18" s="58">
        <v>-17436.979859999999</v>
      </c>
      <c r="D18" s="94" t="s">
        <v>404</v>
      </c>
    </row>
    <row r="19" spans="1:4" x14ac:dyDescent="0.25">
      <c r="A19" s="57" t="s">
        <v>52</v>
      </c>
      <c r="B19" s="58">
        <v>-13449.769130000001</v>
      </c>
      <c r="C19" s="58">
        <v>-17358.671539999999</v>
      </c>
      <c r="D19" s="94">
        <f>IF(OR(-13449.76913="",-17358.67154="",-13449.76913=0),"-",-17358.67154/-13449.76913*100)</f>
        <v>129.06297031732021</v>
      </c>
    </row>
    <row r="20" spans="1:4" x14ac:dyDescent="0.25">
      <c r="A20" s="57" t="s">
        <v>50</v>
      </c>
      <c r="B20" s="58">
        <v>-10996.223770000001</v>
      </c>
      <c r="C20" s="58">
        <v>-15046.71579</v>
      </c>
      <c r="D20" s="94">
        <f>IF(OR(-10996.22377="",-15046.71579="",-10996.22377=0),"-",-15046.71579/-10996.22377*100)</f>
        <v>136.83530005137391</v>
      </c>
    </row>
    <row r="21" spans="1:4" x14ac:dyDescent="0.25">
      <c r="A21" s="57" t="s">
        <v>44</v>
      </c>
      <c r="B21" s="58">
        <v>-9434.2274300000008</v>
      </c>
      <c r="C21" s="58">
        <v>-14687.51844</v>
      </c>
      <c r="D21" s="94" t="s">
        <v>104</v>
      </c>
    </row>
    <row r="22" spans="1:4" x14ac:dyDescent="0.25">
      <c r="A22" s="57" t="s">
        <v>41</v>
      </c>
      <c r="B22" s="58">
        <v>-15851.89695</v>
      </c>
      <c r="C22" s="58">
        <v>-12998.866910000001</v>
      </c>
      <c r="D22" s="94">
        <f>IF(OR(-15851.89695="",-12998.86691="",-15851.89695=0),"-",-12998.86691/-15851.89695*100)</f>
        <v>82.001964503055902</v>
      </c>
    </row>
    <row r="23" spans="1:4" x14ac:dyDescent="0.25">
      <c r="A23" s="57" t="s">
        <v>48</v>
      </c>
      <c r="B23" s="58">
        <v>-6522.7958099999996</v>
      </c>
      <c r="C23" s="58">
        <v>-8733.6558800000003</v>
      </c>
      <c r="D23" s="94">
        <f>IF(OR(-6522.79581="",-8733.65588="",-6522.79581=0),"-",-8733.65588/-6522.79581*100)</f>
        <v>133.89436269966575</v>
      </c>
    </row>
    <row r="24" spans="1:4" x14ac:dyDescent="0.25">
      <c r="A24" s="57" t="s">
        <v>49</v>
      </c>
      <c r="B24" s="58">
        <v>-4798.5708500000001</v>
      </c>
      <c r="C24" s="58">
        <v>-6838.8697300000003</v>
      </c>
      <c r="D24" s="94">
        <f>IF(OR(-4798.57085="",-6838.86973="",-4798.57085=0),"-",-6838.86973/-4798.57085*100)</f>
        <v>142.51888622213426</v>
      </c>
    </row>
    <row r="25" spans="1:4" x14ac:dyDescent="0.25">
      <c r="A25" s="57" t="s">
        <v>45</v>
      </c>
      <c r="B25" s="58">
        <v>-2393.6608099999999</v>
      </c>
      <c r="C25" s="58">
        <v>-5697.8538900000003</v>
      </c>
      <c r="D25" s="94" t="s">
        <v>320</v>
      </c>
    </row>
    <row r="26" spans="1:4" x14ac:dyDescent="0.25">
      <c r="A26" s="57" t="s">
        <v>124</v>
      </c>
      <c r="B26" s="58">
        <v>-2495.2084199999999</v>
      </c>
      <c r="C26" s="58">
        <v>-4383.5401000000002</v>
      </c>
      <c r="D26" s="94" t="s">
        <v>221</v>
      </c>
    </row>
    <row r="27" spans="1:4" x14ac:dyDescent="0.25">
      <c r="A27" s="57" t="s">
        <v>53</v>
      </c>
      <c r="B27" s="58">
        <v>-4023.8520699999999</v>
      </c>
      <c r="C27" s="58">
        <v>-3563.9317900000001</v>
      </c>
      <c r="D27" s="94">
        <f>IF(OR(-4023.85207="",-3563.93179="",-4023.85207=0),"-",-3563.93179/-4023.85207*100)</f>
        <v>88.570149399155227</v>
      </c>
    </row>
    <row r="28" spans="1:4" x14ac:dyDescent="0.25">
      <c r="A28" s="57" t="s">
        <v>43</v>
      </c>
      <c r="B28" s="58">
        <v>-3455.6267600000001</v>
      </c>
      <c r="C28" s="58">
        <v>-3489.7957900000001</v>
      </c>
      <c r="D28" s="94">
        <f>IF(OR(-3455.62676="",-3489.79579="",-3455.62676=0),"-",-3489.79579/-3455.62676*100)</f>
        <v>100.98879399811108</v>
      </c>
    </row>
    <row r="29" spans="1:4" x14ac:dyDescent="0.25">
      <c r="A29" s="57" t="s">
        <v>46</v>
      </c>
      <c r="B29" s="58">
        <v>1220.95667</v>
      </c>
      <c r="C29" s="58">
        <v>-2140.18262</v>
      </c>
      <c r="D29" s="94" t="s">
        <v>22</v>
      </c>
    </row>
    <row r="30" spans="1:4" x14ac:dyDescent="0.25">
      <c r="A30" s="57" t="s">
        <v>9</v>
      </c>
      <c r="B30" s="58">
        <v>8322.5706300000002</v>
      </c>
      <c r="C30" s="58">
        <v>-1953.57233</v>
      </c>
      <c r="D30" s="94" t="s">
        <v>22</v>
      </c>
    </row>
    <row r="31" spans="1:4" x14ac:dyDescent="0.25">
      <c r="A31" s="57" t="s">
        <v>54</v>
      </c>
      <c r="B31" s="58">
        <v>-591.92151000000001</v>
      </c>
      <c r="C31" s="58">
        <v>-1433.53289</v>
      </c>
      <c r="D31" s="94" t="s">
        <v>320</v>
      </c>
    </row>
    <row r="32" spans="1:4" x14ac:dyDescent="0.25">
      <c r="A32" s="57" t="s">
        <v>55</v>
      </c>
      <c r="B32" s="58">
        <v>-29.33783</v>
      </c>
      <c r="C32" s="58">
        <v>-68.141030000000001</v>
      </c>
      <c r="D32" s="94" t="s">
        <v>233</v>
      </c>
    </row>
    <row r="33" spans="1:4" x14ac:dyDescent="0.25">
      <c r="A33" s="57" t="s">
        <v>392</v>
      </c>
      <c r="B33" s="58" t="s">
        <v>223</v>
      </c>
      <c r="C33" s="58">
        <v>-31.033709999999999</v>
      </c>
      <c r="D33" s="94" t="str">
        <f>IF(OR(0="",-31.03371="",0=0),"-",-31.03371/0*100)</f>
        <v>-</v>
      </c>
    </row>
    <row r="34" spans="1:4" x14ac:dyDescent="0.25">
      <c r="A34" s="57" t="s">
        <v>51</v>
      </c>
      <c r="B34" s="58">
        <v>-556.58291999999994</v>
      </c>
      <c r="C34" s="58">
        <v>203.97735</v>
      </c>
      <c r="D34" s="94" t="s">
        <v>22</v>
      </c>
    </row>
    <row r="35" spans="1:4" x14ac:dyDescent="0.25">
      <c r="A35" s="57" t="s">
        <v>47</v>
      </c>
      <c r="B35" s="58">
        <v>8760.0699399999994</v>
      </c>
      <c r="C35" s="58">
        <v>3724.7178100000001</v>
      </c>
      <c r="D35" s="94">
        <f>IF(OR(8760.06994="",3724.71781="",8760.06994=0),"-",3724.71781/8760.06994*100)</f>
        <v>42.519270228566235</v>
      </c>
    </row>
    <row r="36" spans="1:4" x14ac:dyDescent="0.25">
      <c r="A36" s="95" t="s">
        <v>222</v>
      </c>
      <c r="B36" s="91">
        <v>-513018.13608999999</v>
      </c>
      <c r="C36" s="56">
        <v>-642112.55700999999</v>
      </c>
      <c r="D36" s="73">
        <f>IF(-513018.13609="","-",-642112.55701/-513018.13609*100)</f>
        <v>125.16371485497595</v>
      </c>
    </row>
    <row r="37" spans="1:4" x14ac:dyDescent="0.25">
      <c r="A37" s="57" t="s">
        <v>12</v>
      </c>
      <c r="B37" s="58">
        <v>-242696.73507</v>
      </c>
      <c r="C37" s="58">
        <v>-308052.42570999998</v>
      </c>
      <c r="D37" s="74">
        <f>IF(OR(-242696.73507="",-308052.42571="",-242696.73507=0),"-",-308052.42571/-242696.73507*100)</f>
        <v>126.92895337926558</v>
      </c>
    </row>
    <row r="38" spans="1:4" x14ac:dyDescent="0.25">
      <c r="A38" s="57" t="s">
        <v>125</v>
      </c>
      <c r="B38" s="58">
        <v>-200300.80984999999</v>
      </c>
      <c r="C38" s="58">
        <v>-295302.11017</v>
      </c>
      <c r="D38" s="74">
        <f>IF(OR(-200300.80985="",-295302.11017="",-200300.80985=0),"-",-295302.11017/-200300.80985*100)</f>
        <v>147.42931413564628</v>
      </c>
    </row>
    <row r="39" spans="1:4" x14ac:dyDescent="0.25">
      <c r="A39" s="57" t="s">
        <v>11</v>
      </c>
      <c r="B39" s="58">
        <v>-18551.151279999998</v>
      </c>
      <c r="C39" s="58">
        <v>-34809.858979999997</v>
      </c>
      <c r="D39" s="74" t="s">
        <v>105</v>
      </c>
    </row>
    <row r="40" spans="1:4" x14ac:dyDescent="0.25">
      <c r="A40" s="57" t="s">
        <v>16</v>
      </c>
      <c r="B40" s="58">
        <v>-1337.0566100000001</v>
      </c>
      <c r="C40" s="58">
        <v>-2788.52126</v>
      </c>
      <c r="D40" s="74" t="s">
        <v>95</v>
      </c>
    </row>
    <row r="41" spans="1:4" x14ac:dyDescent="0.25">
      <c r="A41" s="57" t="s">
        <v>15</v>
      </c>
      <c r="B41" s="58">
        <v>-2486.5645199999999</v>
      </c>
      <c r="C41" s="58">
        <v>-2344.4541199999999</v>
      </c>
      <c r="D41" s="74">
        <f>IF(OR(-2486.56452="",-2344.45412="",-2486.56452=0),"-",-2344.45412/-2486.56452*100)</f>
        <v>94.284869792962382</v>
      </c>
    </row>
    <row r="42" spans="1:4" x14ac:dyDescent="0.25">
      <c r="A42" s="57" t="s">
        <v>13</v>
      </c>
      <c r="B42" s="58">
        <v>-45449.633950000003</v>
      </c>
      <c r="C42" s="58">
        <v>-598.61210000000005</v>
      </c>
      <c r="D42" s="74">
        <f>IF(OR(-45449.63395="",-598.6121="",-45449.63395=0),"-",-598.6121/-45449.63395*100)</f>
        <v>1.3170889355424611</v>
      </c>
    </row>
    <row r="43" spans="1:4" x14ac:dyDescent="0.25">
      <c r="A43" s="57" t="s">
        <v>17</v>
      </c>
      <c r="B43" s="58">
        <v>4.5828899999999999</v>
      </c>
      <c r="C43" s="58">
        <v>72.158590000000004</v>
      </c>
      <c r="D43" s="74" t="s">
        <v>405</v>
      </c>
    </row>
    <row r="44" spans="1:4" x14ac:dyDescent="0.25">
      <c r="A44" s="57" t="s">
        <v>18</v>
      </c>
      <c r="B44" s="58">
        <v>163.12742</v>
      </c>
      <c r="C44" s="58">
        <v>194.20851999999999</v>
      </c>
      <c r="D44" s="74">
        <f>IF(OR(163.12742="",194.20852="",163.12742=0),"-",194.20852/163.12742*100)</f>
        <v>119.05326523278549</v>
      </c>
    </row>
    <row r="45" spans="1:4" x14ac:dyDescent="0.25">
      <c r="A45" s="57" t="s">
        <v>126</v>
      </c>
      <c r="B45" s="58">
        <v>288.44484999999997</v>
      </c>
      <c r="C45" s="58">
        <v>542.74974999999995</v>
      </c>
      <c r="D45" s="74" t="s">
        <v>105</v>
      </c>
    </row>
    <row r="46" spans="1:4" x14ac:dyDescent="0.25">
      <c r="A46" s="57" t="s">
        <v>14</v>
      </c>
      <c r="B46" s="58">
        <v>-2652.33997</v>
      </c>
      <c r="C46" s="58">
        <v>974.30847000000006</v>
      </c>
      <c r="D46" s="74" t="s">
        <v>22</v>
      </c>
    </row>
    <row r="47" spans="1:4" x14ac:dyDescent="0.25">
      <c r="A47" s="55" t="s">
        <v>154</v>
      </c>
      <c r="B47" s="56">
        <v>-564765.49936000002</v>
      </c>
      <c r="C47" s="56">
        <v>-815737.22412000003</v>
      </c>
      <c r="D47" s="73">
        <f>IF(-564765.49936="","-",-815737.22412/-564765.49936*100)</f>
        <v>144.4382181709762</v>
      </c>
    </row>
    <row r="48" spans="1:4" x14ac:dyDescent="0.25">
      <c r="A48" s="57" t="s">
        <v>59</v>
      </c>
      <c r="B48" s="58">
        <v>-315309.76948999998</v>
      </c>
      <c r="C48" s="58">
        <v>-438671.71736000001</v>
      </c>
      <c r="D48" s="74">
        <f>IF(OR(-315309.76949="",-438671.71736="",-315309.76949=0),"-",-438671.71736/-315309.76949*100)</f>
        <v>139.12404873135796</v>
      </c>
    </row>
    <row r="49" spans="1:5" x14ac:dyDescent="0.25">
      <c r="A49" s="57" t="s">
        <v>56</v>
      </c>
      <c r="B49" s="58">
        <v>-98427.15943</v>
      </c>
      <c r="C49" s="58">
        <v>-135804.85251</v>
      </c>
      <c r="D49" s="74">
        <f>IF(OR(-98427.15943="",-135804.85251="",-98427.15943=0),"-",-135804.85251/-98427.15943*100)</f>
        <v>137.97497895546044</v>
      </c>
    </row>
    <row r="50" spans="1:5" x14ac:dyDescent="0.25">
      <c r="A50" s="57" t="s">
        <v>19</v>
      </c>
      <c r="B50" s="58">
        <v>-23452.624210000002</v>
      </c>
      <c r="C50" s="58">
        <v>-48510.029049999997</v>
      </c>
      <c r="D50" s="74" t="s">
        <v>95</v>
      </c>
    </row>
    <row r="51" spans="1:5" x14ac:dyDescent="0.25">
      <c r="A51" s="57" t="s">
        <v>76</v>
      </c>
      <c r="B51" s="58">
        <v>-28200.264459999999</v>
      </c>
      <c r="C51" s="58">
        <v>-35599.920480000001</v>
      </c>
      <c r="D51" s="74">
        <f>IF(OR(-28200.26446="",-35599.92048="",-28200.26446=0),"-",-35599.92048/-28200.26446*100)</f>
        <v>126.23966888855198</v>
      </c>
    </row>
    <row r="52" spans="1:5" x14ac:dyDescent="0.25">
      <c r="A52" s="57" t="s">
        <v>72</v>
      </c>
      <c r="B52" s="58">
        <v>-18750.248309999999</v>
      </c>
      <c r="C52" s="58">
        <v>-27153.810939999999</v>
      </c>
      <c r="D52" s="74">
        <f>IF(OR(-18750.24831="",-27153.81094="",-18750.24831=0),"-",-27153.81094/-18750.24831*100)</f>
        <v>144.8184071542037</v>
      </c>
    </row>
    <row r="53" spans="1:5" x14ac:dyDescent="0.25">
      <c r="A53" s="57" t="s">
        <v>36</v>
      </c>
      <c r="B53" s="58">
        <v>-21529.316289999999</v>
      </c>
      <c r="C53" s="58">
        <v>-25991.063999999998</v>
      </c>
      <c r="D53" s="74">
        <f>IF(OR(-21529.31629="",-25991.064="",-21529.31629=0),"-",-25991.064/-21529.31629*100)</f>
        <v>120.72405667648817</v>
      </c>
    </row>
    <row r="54" spans="1:5" x14ac:dyDescent="0.25">
      <c r="A54" s="57" t="s">
        <v>69</v>
      </c>
      <c r="B54" s="58">
        <v>-22992.58856</v>
      </c>
      <c r="C54" s="58">
        <v>-25927.790939999999</v>
      </c>
      <c r="D54" s="74">
        <f>IF(OR(-22992.58856="",-25927.79094="",-22992.58856=0),"-",-25927.79094/-22992.58856*100)</f>
        <v>112.76586310558501</v>
      </c>
    </row>
    <row r="55" spans="1:5" x14ac:dyDescent="0.25">
      <c r="A55" s="57" t="s">
        <v>79</v>
      </c>
      <c r="B55" s="58">
        <v>-11517.85786</v>
      </c>
      <c r="C55" s="58">
        <v>-13727.612719999999</v>
      </c>
      <c r="D55" s="74">
        <f>IF(OR(-11517.85786="",-13727.61272="",-11517.85786=0),"-",-13727.61272/-11517.85786*100)</f>
        <v>119.18546735738235</v>
      </c>
    </row>
    <row r="56" spans="1:5" x14ac:dyDescent="0.25">
      <c r="A56" s="57" t="s">
        <v>81</v>
      </c>
      <c r="B56" s="58">
        <v>-2933.90672</v>
      </c>
      <c r="C56" s="58">
        <v>-13590.37247</v>
      </c>
      <c r="D56" s="74" t="s">
        <v>379</v>
      </c>
    </row>
    <row r="57" spans="1:5" x14ac:dyDescent="0.25">
      <c r="A57" s="57" t="s">
        <v>70</v>
      </c>
      <c r="B57" s="58">
        <v>-8675.7301800000005</v>
      </c>
      <c r="C57" s="58">
        <v>-12097.950129999999</v>
      </c>
      <c r="D57" s="74">
        <f>IF(OR(-8675.73018="",-12097.95013="",-8675.73018=0),"-",-12097.95013/-8675.73018*100)</f>
        <v>139.44590114027727</v>
      </c>
    </row>
    <row r="58" spans="1:5" x14ac:dyDescent="0.25">
      <c r="A58" s="57" t="s">
        <v>66</v>
      </c>
      <c r="B58" s="58">
        <v>-11261.253849999999</v>
      </c>
      <c r="C58" s="58">
        <v>-10399.25361</v>
      </c>
      <c r="D58" s="74">
        <f>IF(OR(-11261.25385="",-10399.25361="",-11261.25385=0),"-",-10399.25361/-11261.25385*100)</f>
        <v>92.345432831176254</v>
      </c>
    </row>
    <row r="59" spans="1:5" x14ac:dyDescent="0.25">
      <c r="A59" s="57" t="s">
        <v>61</v>
      </c>
      <c r="B59" s="58">
        <v>-3934.7618600000001</v>
      </c>
      <c r="C59" s="58">
        <v>-8314.4804499999991</v>
      </c>
      <c r="D59" s="74" t="s">
        <v>95</v>
      </c>
    </row>
    <row r="60" spans="1:5" x14ac:dyDescent="0.25">
      <c r="A60" s="57" t="s">
        <v>82</v>
      </c>
      <c r="B60" s="58">
        <v>-5178.0402400000003</v>
      </c>
      <c r="C60" s="58">
        <v>-7613.1669700000002</v>
      </c>
      <c r="D60" s="74">
        <f>IF(OR(-5178.04024="",-7613.16697="",-5178.04024=0),"-",-7613.16697/-5178.04024*100)</f>
        <v>147.0279607174316</v>
      </c>
    </row>
    <row r="61" spans="1:5" x14ac:dyDescent="0.25">
      <c r="A61" s="57" t="s">
        <v>71</v>
      </c>
      <c r="B61" s="58">
        <v>-5080.17155</v>
      </c>
      <c r="C61" s="58">
        <v>-6992.3895599999996</v>
      </c>
      <c r="D61" s="74">
        <f>IF(OR(-5080.17155="",-6992.38956="",-5080.17155=0),"-",-6992.38956/-5080.17155*100)</f>
        <v>137.64081569253307</v>
      </c>
      <c r="E61" s="1"/>
    </row>
    <row r="62" spans="1:5" x14ac:dyDescent="0.25">
      <c r="A62" s="57" t="s">
        <v>78</v>
      </c>
      <c r="B62" s="58">
        <v>-4487.2892400000001</v>
      </c>
      <c r="C62" s="58">
        <v>-6975.9024900000004</v>
      </c>
      <c r="D62" s="74" t="s">
        <v>104</v>
      </c>
    </row>
    <row r="63" spans="1:5" x14ac:dyDescent="0.25">
      <c r="A63" s="57" t="s">
        <v>74</v>
      </c>
      <c r="B63" s="58">
        <v>-5039.8243300000004</v>
      </c>
      <c r="C63" s="58">
        <v>-6831.7020499999999</v>
      </c>
      <c r="D63" s="74">
        <f>IF(OR(-5039.82433="",-6831.70205="",-5039.82433=0),"-",-6831.70205/-5039.82433*100)</f>
        <v>135.55436861824109</v>
      </c>
    </row>
    <row r="64" spans="1:5" x14ac:dyDescent="0.25">
      <c r="A64" s="57" t="s">
        <v>83</v>
      </c>
      <c r="B64" s="58">
        <v>-5227.5350099999996</v>
      </c>
      <c r="C64" s="58">
        <v>-5287.0708500000001</v>
      </c>
      <c r="D64" s="74">
        <f>IF(OR(-5227.53501="",-5287.07085="",-5227.53501=0),"-",-5287.07085/-5227.53501*100)</f>
        <v>101.1388893596334</v>
      </c>
    </row>
    <row r="65" spans="1:5" x14ac:dyDescent="0.25">
      <c r="A65" s="57" t="s">
        <v>84</v>
      </c>
      <c r="B65" s="58">
        <v>-3712.29376</v>
      </c>
      <c r="C65" s="58">
        <v>-4465.0847000000003</v>
      </c>
      <c r="D65" s="74">
        <f>IF(OR(-3712.29376="",-4465.0847="",-3712.29376=0),"-",-4465.0847/-3712.29376*100)</f>
        <v>120.27832355594619</v>
      </c>
    </row>
    <row r="66" spans="1:5" x14ac:dyDescent="0.25">
      <c r="A66" s="57" t="s">
        <v>85</v>
      </c>
      <c r="B66" s="58">
        <v>-1668.4900600000001</v>
      </c>
      <c r="C66" s="58">
        <v>-4254.1009199999999</v>
      </c>
      <c r="D66" s="74" t="s">
        <v>229</v>
      </c>
    </row>
    <row r="67" spans="1:5" x14ac:dyDescent="0.25">
      <c r="A67" s="57" t="s">
        <v>122</v>
      </c>
      <c r="B67" s="58">
        <v>-4231.0960699999996</v>
      </c>
      <c r="C67" s="58">
        <v>-4045.5210400000001</v>
      </c>
      <c r="D67" s="74">
        <f>IF(OR(-4231.09607="",-4045.52104="",-4231.09607=0),"-",-4045.52104/-4231.09607*100)</f>
        <v>95.614019938809861</v>
      </c>
    </row>
    <row r="68" spans="1:5" x14ac:dyDescent="0.25">
      <c r="A68" s="57" t="s">
        <v>65</v>
      </c>
      <c r="B68" s="58">
        <v>1174.38833</v>
      </c>
      <c r="C68" s="58">
        <v>-3065.9846200000002</v>
      </c>
      <c r="D68" s="74" t="s">
        <v>22</v>
      </c>
      <c r="E68" s="1"/>
    </row>
    <row r="69" spans="1:5" x14ac:dyDescent="0.25">
      <c r="A69" s="57" t="s">
        <v>73</v>
      </c>
      <c r="B69" s="58">
        <v>-1095.93895</v>
      </c>
      <c r="C69" s="58">
        <v>-2942.6108300000001</v>
      </c>
      <c r="D69" s="74" t="s">
        <v>319</v>
      </c>
    </row>
    <row r="70" spans="1:5" x14ac:dyDescent="0.25">
      <c r="A70" s="57" t="s">
        <v>63</v>
      </c>
      <c r="B70" s="58">
        <v>-4772.3207400000001</v>
      </c>
      <c r="C70" s="58">
        <v>-2338.0374900000002</v>
      </c>
      <c r="D70" s="74">
        <f>IF(OR(-4772.32074="",-2338.03749="",-4772.32074=0),"-",-2338.03749/-4772.32074*100)</f>
        <v>48.99162519407696</v>
      </c>
    </row>
    <row r="71" spans="1:5" x14ac:dyDescent="0.25">
      <c r="A71" s="57" t="s">
        <v>88</v>
      </c>
      <c r="B71" s="58">
        <v>-1205.80008</v>
      </c>
      <c r="C71" s="58">
        <v>-2265.9364300000002</v>
      </c>
      <c r="D71" s="74" t="s">
        <v>105</v>
      </c>
    </row>
    <row r="72" spans="1:5" x14ac:dyDescent="0.25">
      <c r="A72" s="57" t="s">
        <v>39</v>
      </c>
      <c r="B72" s="58">
        <v>-793.60299999999995</v>
      </c>
      <c r="C72" s="58">
        <v>-2232.5268999999998</v>
      </c>
      <c r="D72" s="74" t="s">
        <v>348</v>
      </c>
    </row>
    <row r="73" spans="1:5" x14ac:dyDescent="0.25">
      <c r="A73" s="57" t="s">
        <v>87</v>
      </c>
      <c r="B73" s="58">
        <v>-222.67807999999999</v>
      </c>
      <c r="C73" s="58">
        <v>-1969.9209599999999</v>
      </c>
      <c r="D73" s="74" t="s">
        <v>406</v>
      </c>
    </row>
    <row r="74" spans="1:5" x14ac:dyDescent="0.25">
      <c r="A74" s="57" t="s">
        <v>80</v>
      </c>
      <c r="B74" s="58">
        <v>-2680.80636</v>
      </c>
      <c r="C74" s="58">
        <v>-1929.07284</v>
      </c>
      <c r="D74" s="74">
        <f>IF(OR(-2680.80636="",-1929.07284="",-2680.80636=0),"-",-1929.07284/-2680.80636*100)</f>
        <v>71.9586788804843</v>
      </c>
    </row>
    <row r="75" spans="1:5" x14ac:dyDescent="0.25">
      <c r="A75" s="57" t="s">
        <v>89</v>
      </c>
      <c r="B75" s="58">
        <v>-650.02364999999998</v>
      </c>
      <c r="C75" s="58">
        <v>-1907.6356499999999</v>
      </c>
      <c r="D75" s="74" t="s">
        <v>317</v>
      </c>
    </row>
    <row r="76" spans="1:5" x14ac:dyDescent="0.25">
      <c r="A76" s="57" t="s">
        <v>91</v>
      </c>
      <c r="B76" s="58">
        <v>-785.07988</v>
      </c>
      <c r="C76" s="58">
        <v>-1834.9371699999999</v>
      </c>
      <c r="D76" s="74" t="s">
        <v>233</v>
      </c>
      <c r="E76" s="10"/>
    </row>
    <row r="77" spans="1:5" x14ac:dyDescent="0.25">
      <c r="A77" s="57" t="s">
        <v>136</v>
      </c>
      <c r="B77" s="58">
        <v>-1948.9036799999999</v>
      </c>
      <c r="C77" s="58">
        <v>-1812.4289900000001</v>
      </c>
      <c r="D77" s="74">
        <f>IF(OR(-1948.90368="",-1812.42899="",-1948.90368=0),"-",-1812.42899/-1948.90368*100)</f>
        <v>92.997360957315252</v>
      </c>
    </row>
    <row r="78" spans="1:5" x14ac:dyDescent="0.25">
      <c r="A78" s="57" t="s">
        <v>138</v>
      </c>
      <c r="B78" s="58">
        <v>-874.77124000000003</v>
      </c>
      <c r="C78" s="58">
        <v>-1636.63168</v>
      </c>
      <c r="D78" s="74" t="s">
        <v>105</v>
      </c>
    </row>
    <row r="79" spans="1:5" x14ac:dyDescent="0.25">
      <c r="A79" s="57" t="s">
        <v>86</v>
      </c>
      <c r="B79" s="58">
        <v>-2452.7902300000001</v>
      </c>
      <c r="C79" s="58">
        <v>-1274.1297999999999</v>
      </c>
      <c r="D79" s="74">
        <f>IF(OR(-2452.79023="",-1274.1298="",-2452.79023=0),"-",-1274.1298/-2452.79023*100)</f>
        <v>51.946138092697794</v>
      </c>
    </row>
    <row r="80" spans="1:5" x14ac:dyDescent="0.25">
      <c r="A80" s="57" t="s">
        <v>93</v>
      </c>
      <c r="B80" s="58">
        <v>13.793889999999999</v>
      </c>
      <c r="C80" s="58">
        <v>-1106.1303600000001</v>
      </c>
      <c r="D80" s="74" t="s">
        <v>22</v>
      </c>
    </row>
    <row r="81" spans="1:5" x14ac:dyDescent="0.25">
      <c r="A81" s="57" t="s">
        <v>97</v>
      </c>
      <c r="B81" s="58">
        <v>-869.75859000000003</v>
      </c>
      <c r="C81" s="58">
        <v>-1075.61418</v>
      </c>
      <c r="D81" s="74">
        <f>IF(OR(-869.75859="",-1075.61418="",-869.75859=0),"-",-1075.61418/-869.75859*100)</f>
        <v>123.66812956684912</v>
      </c>
    </row>
    <row r="82" spans="1:5" x14ac:dyDescent="0.25">
      <c r="A82" s="57" t="s">
        <v>128</v>
      </c>
      <c r="B82" s="58">
        <v>3273.3746700000002</v>
      </c>
      <c r="C82" s="58">
        <v>-980.87132999999994</v>
      </c>
      <c r="D82" s="74" t="s">
        <v>22</v>
      </c>
    </row>
    <row r="83" spans="1:5" x14ac:dyDescent="0.25">
      <c r="A83" s="57" t="s">
        <v>158</v>
      </c>
      <c r="B83" s="58">
        <v>-224.17275000000001</v>
      </c>
      <c r="C83" s="58">
        <v>-799.11980000000005</v>
      </c>
      <c r="D83" s="74" t="s">
        <v>381</v>
      </c>
    </row>
    <row r="84" spans="1:5" x14ac:dyDescent="0.25">
      <c r="A84" s="57" t="s">
        <v>159</v>
      </c>
      <c r="B84" s="58">
        <v>-576.39403000000004</v>
      </c>
      <c r="C84" s="58">
        <v>-757.14242999999999</v>
      </c>
      <c r="D84" s="74">
        <f>IF(OR(-576.39403="",-757.14243="",-576.39403=0),"-",-757.14243/-576.39403*100)</f>
        <v>131.35847885169801</v>
      </c>
    </row>
    <row r="85" spans="1:5" x14ac:dyDescent="0.25">
      <c r="A85" s="57" t="s">
        <v>38</v>
      </c>
      <c r="B85" s="58">
        <v>-1040.32097</v>
      </c>
      <c r="C85" s="58">
        <v>-736.22819000000004</v>
      </c>
      <c r="D85" s="74">
        <f>IF(OR(-1040.32097="",-736.22819="",-1040.32097=0),"-",-736.22819/-1040.32097*100)</f>
        <v>70.769330930626154</v>
      </c>
    </row>
    <row r="86" spans="1:5" x14ac:dyDescent="0.25">
      <c r="A86" s="57" t="s">
        <v>64</v>
      </c>
      <c r="B86" s="58">
        <v>6.0725499999999997</v>
      </c>
      <c r="C86" s="58">
        <v>-591.70456999999999</v>
      </c>
      <c r="D86" s="74" t="s">
        <v>22</v>
      </c>
    </row>
    <row r="87" spans="1:5" x14ac:dyDescent="0.25">
      <c r="A87" s="57" t="s">
        <v>98</v>
      </c>
      <c r="B87" s="58">
        <v>-159.26512</v>
      </c>
      <c r="C87" s="58">
        <v>-425.35973999999999</v>
      </c>
      <c r="D87" s="74" t="s">
        <v>319</v>
      </c>
    </row>
    <row r="88" spans="1:5" x14ac:dyDescent="0.25">
      <c r="A88" s="57" t="s">
        <v>237</v>
      </c>
      <c r="B88" s="58">
        <v>-95.597390000000004</v>
      </c>
      <c r="C88" s="58">
        <v>-417.65895999999998</v>
      </c>
      <c r="D88" s="74" t="s">
        <v>407</v>
      </c>
    </row>
    <row r="89" spans="1:5" x14ac:dyDescent="0.25">
      <c r="A89" s="57" t="s">
        <v>375</v>
      </c>
      <c r="B89" s="58">
        <v>-280.40597000000002</v>
      </c>
      <c r="C89" s="58">
        <v>-414.80354999999997</v>
      </c>
      <c r="D89" s="74">
        <f>IF(OR(-280.40597="",-414.80355="",-280.40597=0),"-",-414.80355/-280.40597*100)</f>
        <v>147.92964286744677</v>
      </c>
    </row>
    <row r="90" spans="1:5" x14ac:dyDescent="0.25">
      <c r="A90" s="57" t="s">
        <v>130</v>
      </c>
      <c r="B90" s="58">
        <v>942.47502999999995</v>
      </c>
      <c r="C90" s="58">
        <v>-402.74684999999999</v>
      </c>
      <c r="D90" s="74" t="s">
        <v>22</v>
      </c>
    </row>
    <row r="91" spans="1:5" x14ac:dyDescent="0.25">
      <c r="A91" s="57" t="s">
        <v>92</v>
      </c>
      <c r="B91" s="58">
        <v>-399.40714000000003</v>
      </c>
      <c r="C91" s="58">
        <v>-355.40291999999999</v>
      </c>
      <c r="D91" s="74">
        <f>IF(OR(-399.40714="",-355.40292="",-399.40714=0),"-",-355.40292/-399.40714*100)</f>
        <v>88.982615583687348</v>
      </c>
    </row>
    <row r="92" spans="1:5" x14ac:dyDescent="0.25">
      <c r="A92" s="57" t="s">
        <v>94</v>
      </c>
      <c r="B92" s="58">
        <v>-432.83679000000001</v>
      </c>
      <c r="C92" s="58">
        <v>-279.85890999999998</v>
      </c>
      <c r="D92" s="74">
        <f>IF(OR(-432.83679="",-279.85891="",-432.83679=0),"-",-279.85891/-432.83679*100)</f>
        <v>64.656913752641032</v>
      </c>
    </row>
    <row r="93" spans="1:5" x14ac:dyDescent="0.25">
      <c r="A93" s="57" t="s">
        <v>101</v>
      </c>
      <c r="B93" s="58">
        <v>-94.619370000000004</v>
      </c>
      <c r="C93" s="58">
        <v>-225.16289</v>
      </c>
      <c r="D93" s="74" t="s">
        <v>320</v>
      </c>
    </row>
    <row r="94" spans="1:5" x14ac:dyDescent="0.25">
      <c r="A94" s="57" t="s">
        <v>102</v>
      </c>
      <c r="B94" s="58">
        <v>-110.95986000000001</v>
      </c>
      <c r="C94" s="58">
        <v>-186.64840000000001</v>
      </c>
      <c r="D94" s="74" t="s">
        <v>103</v>
      </c>
    </row>
    <row r="95" spans="1:5" x14ac:dyDescent="0.25">
      <c r="A95" s="57" t="s">
        <v>107</v>
      </c>
      <c r="B95" s="58">
        <v>-53.838470000000001</v>
      </c>
      <c r="C95" s="58">
        <v>-115.79284</v>
      </c>
      <c r="D95" s="74" t="s">
        <v>220</v>
      </c>
    </row>
    <row r="96" spans="1:5" x14ac:dyDescent="0.25">
      <c r="A96" s="57" t="s">
        <v>111</v>
      </c>
      <c r="B96" s="58">
        <v>-422.98669999999998</v>
      </c>
      <c r="C96" s="58">
        <v>-113.63933</v>
      </c>
      <c r="D96" s="74">
        <f>IF(OR(-422.9867="",-113.63933="",-422.9867=0),"-",-113.63933/-422.9867*100)</f>
        <v>26.865934555389092</v>
      </c>
      <c r="E96" s="10"/>
    </row>
    <row r="97" spans="1:5" x14ac:dyDescent="0.25">
      <c r="A97" s="57" t="s">
        <v>238</v>
      </c>
      <c r="B97" s="58">
        <v>-12.62931</v>
      </c>
      <c r="C97" s="58">
        <v>-107.34369</v>
      </c>
      <c r="D97" s="74" t="s">
        <v>382</v>
      </c>
    </row>
    <row r="98" spans="1:5" x14ac:dyDescent="0.25">
      <c r="A98" s="57" t="s">
        <v>151</v>
      </c>
      <c r="B98" s="58">
        <v>-69.242450000000005</v>
      </c>
      <c r="C98" s="58">
        <v>-106.41492</v>
      </c>
      <c r="D98" s="74" t="s">
        <v>234</v>
      </c>
      <c r="E98" s="9"/>
    </row>
    <row r="99" spans="1:5" x14ac:dyDescent="0.25">
      <c r="A99" s="57" t="s">
        <v>142</v>
      </c>
      <c r="B99" s="58">
        <v>-110.9847</v>
      </c>
      <c r="C99" s="58">
        <v>-93.353840000000005</v>
      </c>
      <c r="D99" s="74">
        <f>IF(OR(-110.9847="",-93.35384="",-110.9847=0),"-",-93.35384/-110.9847*100)</f>
        <v>84.114152671494352</v>
      </c>
    </row>
    <row r="100" spans="1:5" x14ac:dyDescent="0.25">
      <c r="A100" s="57" t="s">
        <v>143</v>
      </c>
      <c r="B100" s="58">
        <v>-67.604860000000002</v>
      </c>
      <c r="C100" s="58">
        <v>-92.844999999999999</v>
      </c>
      <c r="D100" s="74">
        <f>IF(OR(-67.60486="",-92.845="",-67.60486=0),"-",-92.845/-67.60486*100)</f>
        <v>137.33480107791067</v>
      </c>
      <c r="E100" s="9"/>
    </row>
    <row r="101" spans="1:5" x14ac:dyDescent="0.25">
      <c r="A101" s="57" t="s">
        <v>333</v>
      </c>
      <c r="B101" s="58">
        <v>41.645029999999998</v>
      </c>
      <c r="C101" s="58">
        <v>-88.310310000000001</v>
      </c>
      <c r="D101" s="74" t="s">
        <v>22</v>
      </c>
      <c r="E101" s="1"/>
    </row>
    <row r="102" spans="1:5" x14ac:dyDescent="0.25">
      <c r="A102" s="57" t="s">
        <v>219</v>
      </c>
      <c r="B102" s="58">
        <v>-76.761390000000006</v>
      </c>
      <c r="C102" s="58">
        <v>-87.996229999999997</v>
      </c>
      <c r="D102" s="74">
        <f>IF(OR(-76.76139="",-87.99623="",-76.76139=0),"-",-87.99623/-76.76139*100)</f>
        <v>114.63605596511475</v>
      </c>
    </row>
    <row r="103" spans="1:5" x14ac:dyDescent="0.25">
      <c r="A103" s="57" t="s">
        <v>376</v>
      </c>
      <c r="B103" s="58">
        <v>-338.03759000000002</v>
      </c>
      <c r="C103" s="58">
        <v>-78.09451</v>
      </c>
      <c r="D103" s="74">
        <f>IF(OR(-338.03759="",-78.09451="",-338.03759=0),"-",-78.09451/-338.03759*100)</f>
        <v>23.102315337178918</v>
      </c>
    </row>
    <row r="104" spans="1:5" x14ac:dyDescent="0.25">
      <c r="A104" s="57" t="s">
        <v>377</v>
      </c>
      <c r="B104" s="58">
        <v>-0.19287000000000001</v>
      </c>
      <c r="C104" s="58">
        <v>-77.909289999999999</v>
      </c>
      <c r="D104" s="74" t="s">
        <v>383</v>
      </c>
    </row>
    <row r="105" spans="1:5" x14ac:dyDescent="0.25">
      <c r="A105" s="57" t="s">
        <v>139</v>
      </c>
      <c r="B105" s="58">
        <v>-48.241140000000001</v>
      </c>
      <c r="C105" s="58">
        <v>-76.821809999999999</v>
      </c>
      <c r="D105" s="74" t="s">
        <v>104</v>
      </c>
      <c r="E105" s="10"/>
    </row>
    <row r="106" spans="1:5" x14ac:dyDescent="0.25">
      <c r="A106" s="57" t="s">
        <v>335</v>
      </c>
      <c r="B106" s="58">
        <v>-35.963929999999998</v>
      </c>
      <c r="C106" s="58">
        <v>-69.729140000000001</v>
      </c>
      <c r="D106" s="74" t="s">
        <v>105</v>
      </c>
      <c r="E106" s="8"/>
    </row>
    <row r="107" spans="1:5" x14ac:dyDescent="0.25">
      <c r="A107" s="57" t="s">
        <v>90</v>
      </c>
      <c r="B107" s="58">
        <v>-100.36086</v>
      </c>
      <c r="C107" s="58">
        <v>-63.841360000000002</v>
      </c>
      <c r="D107" s="74">
        <f>IF(OR(-100.36086="",-63.84136="",-100.36086=0),"-",-63.84136/-100.36086*100)</f>
        <v>63.611810420915084</v>
      </c>
    </row>
    <row r="108" spans="1:5" x14ac:dyDescent="0.25">
      <c r="A108" s="57" t="s">
        <v>334</v>
      </c>
      <c r="B108" s="58">
        <v>-62.444699999999997</v>
      </c>
      <c r="C108" s="58">
        <v>-59.607880000000002</v>
      </c>
      <c r="D108" s="74">
        <f>IF(OR(-62.4447="",-59.60788="",-62.4447=0),"-",-59.60788/-62.4447*100)</f>
        <v>95.457068414132834</v>
      </c>
    </row>
    <row r="109" spans="1:5" x14ac:dyDescent="0.25">
      <c r="A109" s="57" t="s">
        <v>227</v>
      </c>
      <c r="B109" s="58">
        <v>-23.03979</v>
      </c>
      <c r="C109" s="58">
        <v>-56.590899999999998</v>
      </c>
      <c r="D109" s="74" t="s">
        <v>229</v>
      </c>
    </row>
    <row r="110" spans="1:5" x14ac:dyDescent="0.25">
      <c r="A110" s="57" t="s">
        <v>344</v>
      </c>
      <c r="B110" s="58">
        <v>-11.913550000000001</v>
      </c>
      <c r="C110" s="58">
        <v>-50.337899999999998</v>
      </c>
      <c r="D110" s="74" t="s">
        <v>331</v>
      </c>
    </row>
    <row r="111" spans="1:5" x14ac:dyDescent="0.25">
      <c r="A111" s="57" t="s">
        <v>393</v>
      </c>
      <c r="B111" s="58">
        <v>-8.8975899999999992</v>
      </c>
      <c r="C111" s="58">
        <v>-38.700760000000002</v>
      </c>
      <c r="D111" s="74" t="s">
        <v>323</v>
      </c>
    </row>
    <row r="112" spans="1:5" x14ac:dyDescent="0.25">
      <c r="A112" s="57" t="s">
        <v>394</v>
      </c>
      <c r="B112" s="58">
        <v>-45.340949999999999</v>
      </c>
      <c r="C112" s="58">
        <v>-35.996580000000002</v>
      </c>
      <c r="D112" s="74">
        <f>IF(OR(-45.34095="",-35.99658="",-45.34095=0),"-",-35.99658/-45.34095*100)</f>
        <v>79.390881752587887</v>
      </c>
    </row>
    <row r="113" spans="1:4" x14ac:dyDescent="0.25">
      <c r="A113" s="57" t="s">
        <v>395</v>
      </c>
      <c r="B113" s="58">
        <v>-19.104890000000001</v>
      </c>
      <c r="C113" s="58">
        <v>-27.734449999999999</v>
      </c>
      <c r="D113" s="74">
        <f>IF(OR(-19.10489="",-27.73445="",-19.10489=0),"-",-27.73445/-19.10489*100)</f>
        <v>145.16937810162739</v>
      </c>
    </row>
    <row r="114" spans="1:4" x14ac:dyDescent="0.25">
      <c r="A114" s="57" t="s">
        <v>396</v>
      </c>
      <c r="B114" s="58">
        <v>-15.09445</v>
      </c>
      <c r="C114" s="58">
        <v>-25.71003</v>
      </c>
      <c r="D114" s="74" t="s">
        <v>103</v>
      </c>
    </row>
    <row r="115" spans="1:4" x14ac:dyDescent="0.25">
      <c r="A115" s="57" t="s">
        <v>397</v>
      </c>
      <c r="B115" s="58">
        <v>-10.54786</v>
      </c>
      <c r="C115" s="58">
        <v>-23.661259999999999</v>
      </c>
      <c r="D115" s="74" t="s">
        <v>220</v>
      </c>
    </row>
    <row r="116" spans="1:4" x14ac:dyDescent="0.25">
      <c r="A116" s="57" t="s">
        <v>398</v>
      </c>
      <c r="B116" s="58">
        <v>-0.84987000000000001</v>
      </c>
      <c r="C116" s="58">
        <v>-22.951370000000001</v>
      </c>
      <c r="D116" s="74" t="s">
        <v>408</v>
      </c>
    </row>
    <row r="117" spans="1:4" x14ac:dyDescent="0.25">
      <c r="A117" s="57" t="s">
        <v>399</v>
      </c>
      <c r="B117" s="58">
        <v>6.6188000000000002</v>
      </c>
      <c r="C117" s="58">
        <v>-22.784210000000002</v>
      </c>
      <c r="D117" s="74" t="s">
        <v>22</v>
      </c>
    </row>
    <row r="118" spans="1:4" x14ac:dyDescent="0.25">
      <c r="A118" s="57" t="s">
        <v>67</v>
      </c>
      <c r="B118" s="58">
        <v>2504.90202</v>
      </c>
      <c r="C118" s="58">
        <v>-21.77356</v>
      </c>
      <c r="D118" s="74" t="s">
        <v>22</v>
      </c>
    </row>
    <row r="119" spans="1:4" x14ac:dyDescent="0.25">
      <c r="A119" s="57" t="s">
        <v>400</v>
      </c>
      <c r="B119" s="58">
        <v>-75.317930000000004</v>
      </c>
      <c r="C119" s="58">
        <v>-20.430009999999999</v>
      </c>
      <c r="D119" s="74">
        <f>IF(OR(-75.31793="",-20.43001="",-75.31793=0),"-",-20.43001/-75.31793*100)</f>
        <v>27.125028529063393</v>
      </c>
    </row>
    <row r="120" spans="1:4" x14ac:dyDescent="0.25">
      <c r="A120" s="57" t="s">
        <v>401</v>
      </c>
      <c r="B120" s="58">
        <v>61.219760000000001</v>
      </c>
      <c r="C120" s="58">
        <v>19.619730000000001</v>
      </c>
      <c r="D120" s="74">
        <f>IF(OR(61.21976="",19.61973="",61.21976=0),"-",19.61973/61.21976*100)</f>
        <v>32.048034817516438</v>
      </c>
    </row>
    <row r="121" spans="1:4" x14ac:dyDescent="0.25">
      <c r="A121" s="57" t="s">
        <v>402</v>
      </c>
      <c r="B121" s="58">
        <v>-12.006349999999999</v>
      </c>
      <c r="C121" s="58">
        <v>23.86373</v>
      </c>
      <c r="D121" s="74" t="s">
        <v>22</v>
      </c>
    </row>
    <row r="122" spans="1:4" x14ac:dyDescent="0.25">
      <c r="A122" s="57" t="s">
        <v>403</v>
      </c>
      <c r="B122" s="58">
        <v>11.532</v>
      </c>
      <c r="C122" s="58">
        <v>26.497630000000001</v>
      </c>
      <c r="D122" s="74" t="s">
        <v>233</v>
      </c>
    </row>
    <row r="123" spans="1:4" x14ac:dyDescent="0.25">
      <c r="A123" s="57" t="s">
        <v>346</v>
      </c>
      <c r="B123" s="58" t="s">
        <v>223</v>
      </c>
      <c r="C123" s="58">
        <v>39.34469</v>
      </c>
      <c r="D123" s="74" t="str">
        <f>IF(OR(0="",39.34469="",0=0),"-",39.34469/0*100)</f>
        <v>-</v>
      </c>
    </row>
    <row r="124" spans="1:4" x14ac:dyDescent="0.25">
      <c r="A124" s="57" t="s">
        <v>345</v>
      </c>
      <c r="B124" s="58">
        <v>24.012</v>
      </c>
      <c r="C124" s="58">
        <v>46.730200000000004</v>
      </c>
      <c r="D124" s="74" t="s">
        <v>105</v>
      </c>
    </row>
    <row r="125" spans="1:4" x14ac:dyDescent="0.25">
      <c r="A125" s="57" t="s">
        <v>316</v>
      </c>
      <c r="B125" s="58">
        <v>76.473529999999997</v>
      </c>
      <c r="C125" s="58">
        <v>57.665030000000002</v>
      </c>
      <c r="D125" s="74">
        <f>IF(OR(76.47353="",57.66503="",76.47353=0),"-",57.66503/76.47353*100)</f>
        <v>75.405215373214759</v>
      </c>
    </row>
    <row r="126" spans="1:4" x14ac:dyDescent="0.25">
      <c r="A126" s="57" t="s">
        <v>347</v>
      </c>
      <c r="B126" s="58" t="s">
        <v>223</v>
      </c>
      <c r="C126" s="58">
        <v>75.189430000000002</v>
      </c>
      <c r="D126" s="74" t="str">
        <f>IF(OR(0="",75.18943="",0=0),"-",75.18943/0*100)</f>
        <v>-</v>
      </c>
    </row>
    <row r="127" spans="1:4" x14ac:dyDescent="0.25">
      <c r="A127" s="57" t="s">
        <v>235</v>
      </c>
      <c r="B127" s="58">
        <v>259.85937999999999</v>
      </c>
      <c r="C127" s="58">
        <v>79.565439999999995</v>
      </c>
      <c r="D127" s="74">
        <f>IF(OR(259.85938="",79.56544="",259.85938=0),"-",79.56544/259.85938*100)</f>
        <v>30.618652288018232</v>
      </c>
    </row>
    <row r="128" spans="1:4" x14ac:dyDescent="0.25">
      <c r="A128" s="57" t="s">
        <v>362</v>
      </c>
      <c r="B128" s="58">
        <v>-12.1579</v>
      </c>
      <c r="C128" s="58">
        <v>87.116420000000005</v>
      </c>
      <c r="D128" s="74" t="s">
        <v>22</v>
      </c>
    </row>
    <row r="129" spans="1:4" x14ac:dyDescent="0.25">
      <c r="A129" s="57" t="s">
        <v>132</v>
      </c>
      <c r="B129" s="58">
        <v>177.87594999999999</v>
      </c>
      <c r="C129" s="58">
        <v>129.22504000000001</v>
      </c>
      <c r="D129" s="74">
        <f>IF(OR(177.87595="",129.22504="",177.87595=0),"-",129.22504/177.87595*100)</f>
        <v>72.648966878321673</v>
      </c>
    </row>
    <row r="130" spans="1:4" x14ac:dyDescent="0.25">
      <c r="A130" s="57" t="s">
        <v>361</v>
      </c>
      <c r="B130" s="58">
        <v>-80.517960000000002</v>
      </c>
      <c r="C130" s="58">
        <v>161.22660999999999</v>
      </c>
      <c r="D130" s="74" t="s">
        <v>22</v>
      </c>
    </row>
    <row r="131" spans="1:4" x14ac:dyDescent="0.25">
      <c r="A131" s="57" t="s">
        <v>232</v>
      </c>
      <c r="B131" s="58">
        <v>-3.65808</v>
      </c>
      <c r="C131" s="58">
        <v>161.74339000000001</v>
      </c>
      <c r="D131" s="74" t="s">
        <v>22</v>
      </c>
    </row>
    <row r="132" spans="1:4" x14ac:dyDescent="0.25">
      <c r="A132" s="57" t="s">
        <v>141</v>
      </c>
      <c r="B132" s="58">
        <v>50.180970000000002</v>
      </c>
      <c r="C132" s="58">
        <v>211.45376999999999</v>
      </c>
      <c r="D132" s="74" t="s">
        <v>331</v>
      </c>
    </row>
    <row r="133" spans="1:4" x14ac:dyDescent="0.25">
      <c r="A133" s="57" t="s">
        <v>137</v>
      </c>
      <c r="B133" s="58">
        <v>-955.34286999999995</v>
      </c>
      <c r="C133" s="58">
        <v>221.32142999999999</v>
      </c>
      <c r="D133" s="74" t="s">
        <v>22</v>
      </c>
    </row>
    <row r="134" spans="1:4" x14ac:dyDescent="0.25">
      <c r="A134" s="57" t="s">
        <v>96</v>
      </c>
      <c r="B134" s="58">
        <v>183.24437</v>
      </c>
      <c r="C134" s="58">
        <v>231.46487999999999</v>
      </c>
      <c r="D134" s="74">
        <f>IF(OR(183.24437="",231.46488="",183.24437=0),"-",231.46488/183.24437*100)</f>
        <v>126.31486577186519</v>
      </c>
    </row>
    <row r="135" spans="1:4" x14ac:dyDescent="0.25">
      <c r="A135" s="57" t="s">
        <v>157</v>
      </c>
      <c r="B135" s="58">
        <v>179.71680000000001</v>
      </c>
      <c r="C135" s="58">
        <v>299.39999999999998</v>
      </c>
      <c r="D135" s="74" t="s">
        <v>103</v>
      </c>
    </row>
    <row r="136" spans="1:4" x14ac:dyDescent="0.25">
      <c r="A136" s="57" t="s">
        <v>131</v>
      </c>
      <c r="B136" s="58">
        <v>743.78117999999995</v>
      </c>
      <c r="C136" s="58">
        <v>310.89701000000002</v>
      </c>
      <c r="D136" s="74">
        <f>IF(OR(743.78118="",310.89701="",743.78118=0),"-",310.89701/743.78118*100)</f>
        <v>41.799526306917315</v>
      </c>
    </row>
    <row r="137" spans="1:4" x14ac:dyDescent="0.25">
      <c r="A137" s="57" t="s">
        <v>152</v>
      </c>
      <c r="B137" s="58">
        <v>211.04956999999999</v>
      </c>
      <c r="C137" s="58">
        <v>323.42824999999999</v>
      </c>
      <c r="D137" s="74" t="s">
        <v>234</v>
      </c>
    </row>
    <row r="138" spans="1:4" x14ac:dyDescent="0.25">
      <c r="A138" s="57" t="s">
        <v>236</v>
      </c>
      <c r="B138" s="58">
        <v>82.906930000000003</v>
      </c>
      <c r="C138" s="58">
        <v>339.04277999999999</v>
      </c>
      <c r="D138" s="74" t="s">
        <v>409</v>
      </c>
    </row>
    <row r="139" spans="1:4" x14ac:dyDescent="0.25">
      <c r="A139" s="57" t="s">
        <v>62</v>
      </c>
      <c r="B139" s="58">
        <v>-3411.6813000000002</v>
      </c>
      <c r="C139" s="58">
        <v>416.99151999999998</v>
      </c>
      <c r="D139" s="74" t="s">
        <v>22</v>
      </c>
    </row>
    <row r="140" spans="1:4" x14ac:dyDescent="0.25">
      <c r="A140" s="57" t="s">
        <v>135</v>
      </c>
      <c r="B140" s="58">
        <v>288.19382999999999</v>
      </c>
      <c r="C140" s="58">
        <v>438.79532999999998</v>
      </c>
      <c r="D140" s="74" t="s">
        <v>234</v>
      </c>
    </row>
    <row r="141" spans="1:4" x14ac:dyDescent="0.25">
      <c r="A141" s="57" t="s">
        <v>37</v>
      </c>
      <c r="B141" s="58">
        <v>628.65909999999997</v>
      </c>
      <c r="C141" s="58">
        <v>463.30349999999999</v>
      </c>
      <c r="D141" s="74">
        <f>IF(OR(628.6591="",463.3035="",628.6591=0),"-",463.3035/628.6591*100)</f>
        <v>73.697095930051759</v>
      </c>
    </row>
    <row r="142" spans="1:4" x14ac:dyDescent="0.25">
      <c r="A142" s="57" t="s">
        <v>160</v>
      </c>
      <c r="B142" s="58">
        <v>137.69334000000001</v>
      </c>
      <c r="C142" s="58">
        <v>530.50984000000005</v>
      </c>
      <c r="D142" s="74" t="s">
        <v>410</v>
      </c>
    </row>
    <row r="143" spans="1:4" x14ac:dyDescent="0.25">
      <c r="A143" s="57" t="s">
        <v>68</v>
      </c>
      <c r="B143" s="58">
        <v>282.22660999999999</v>
      </c>
      <c r="C143" s="58">
        <v>715.86036000000001</v>
      </c>
      <c r="D143" s="74" t="s">
        <v>229</v>
      </c>
    </row>
    <row r="144" spans="1:4" x14ac:dyDescent="0.25">
      <c r="A144" s="57" t="s">
        <v>109</v>
      </c>
      <c r="B144" s="58">
        <v>524.99863000000005</v>
      </c>
      <c r="C144" s="58">
        <v>732.47401000000002</v>
      </c>
      <c r="D144" s="74">
        <f>IF(OR(524.99863="",732.47401="",524.99863=0),"-",732.47401/524.99863*100)</f>
        <v>139.51922312635367</v>
      </c>
    </row>
    <row r="145" spans="1:4" x14ac:dyDescent="0.25">
      <c r="A145" s="57" t="s">
        <v>77</v>
      </c>
      <c r="B145" s="58">
        <v>678.45387000000005</v>
      </c>
      <c r="C145" s="58">
        <v>1621.8823600000001</v>
      </c>
      <c r="D145" s="74" t="s">
        <v>320</v>
      </c>
    </row>
    <row r="146" spans="1:4" x14ac:dyDescent="0.25">
      <c r="A146" s="57" t="s">
        <v>231</v>
      </c>
      <c r="B146" s="58">
        <v>15.839320000000001</v>
      </c>
      <c r="C146" s="58">
        <v>2085.5038500000001</v>
      </c>
      <c r="D146" s="74" t="s">
        <v>330</v>
      </c>
    </row>
    <row r="147" spans="1:4" x14ac:dyDescent="0.25">
      <c r="A147" s="57" t="s">
        <v>57</v>
      </c>
      <c r="B147" s="58">
        <v>4399.6752200000001</v>
      </c>
      <c r="C147" s="58">
        <v>3607.0439200000001</v>
      </c>
      <c r="D147" s="74">
        <f>IF(OR(4399.67522="",3607.04392="",4399.67522=0),"-",3607.04392/4399.67522*100)</f>
        <v>81.984322470057236</v>
      </c>
    </row>
    <row r="148" spans="1:4" x14ac:dyDescent="0.25">
      <c r="A148" s="57" t="s">
        <v>127</v>
      </c>
      <c r="B148" s="58">
        <v>24913.04722</v>
      </c>
      <c r="C148" s="58">
        <v>4691.8136100000002</v>
      </c>
      <c r="D148" s="74">
        <f>IF(OR(24913.04722="",4691.81361="",24913.04722=0),"-",4691.81361/24913.04722*100)</f>
        <v>18.832756862570584</v>
      </c>
    </row>
    <row r="149" spans="1:4" x14ac:dyDescent="0.25">
      <c r="A149" s="57" t="s">
        <v>75</v>
      </c>
      <c r="B149" s="58">
        <v>-2702.7831999999999</v>
      </c>
      <c r="C149" s="58">
        <v>9474.7994999999992</v>
      </c>
      <c r="D149" s="74" t="s">
        <v>22</v>
      </c>
    </row>
    <row r="150" spans="1:4" x14ac:dyDescent="0.25">
      <c r="A150" s="57" t="s">
        <v>58</v>
      </c>
      <c r="B150" s="58">
        <v>7805.1700199999996</v>
      </c>
      <c r="C150" s="58">
        <v>9603.7021999999997</v>
      </c>
      <c r="D150" s="74">
        <f>IF(OR(7805.17002="",9603.7022="",7805.17002=0),"-",9603.7022/7805.17002*100)</f>
        <v>123.04283155128503</v>
      </c>
    </row>
    <row r="151" spans="1:4" x14ac:dyDescent="0.25">
      <c r="A151" s="59" t="s">
        <v>60</v>
      </c>
      <c r="B151" s="61">
        <v>9405.6778300000005</v>
      </c>
      <c r="C151" s="61">
        <v>14302.538839999999</v>
      </c>
      <c r="D151" s="96" t="s">
        <v>234</v>
      </c>
    </row>
    <row r="152" spans="1:4" x14ac:dyDescent="0.25">
      <c r="A152" s="97" t="s">
        <v>315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H37" sqref="H37"/>
    </sheetView>
  </sheetViews>
  <sheetFormatPr defaultRowHeight="15.75" x14ac:dyDescent="0.25"/>
  <cols>
    <col min="1" max="1" width="29.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99" t="s">
        <v>328</v>
      </c>
      <c r="B1" s="99"/>
      <c r="C1" s="99"/>
      <c r="D1" s="99"/>
      <c r="E1" s="99"/>
    </row>
    <row r="2" spans="1:6" x14ac:dyDescent="0.25">
      <c r="A2" s="7"/>
      <c r="B2" s="7"/>
      <c r="C2" s="7"/>
      <c r="D2" s="7"/>
      <c r="E2" s="7"/>
    </row>
    <row r="3" spans="1:6" ht="18.75" customHeight="1" x14ac:dyDescent="0.25">
      <c r="A3" s="100"/>
      <c r="B3" s="103" t="s">
        <v>349</v>
      </c>
      <c r="C3" s="104"/>
      <c r="D3" s="103" t="s">
        <v>108</v>
      </c>
      <c r="E3" s="119"/>
      <c r="F3" s="1"/>
    </row>
    <row r="4" spans="1:6" ht="18.75" customHeight="1" x14ac:dyDescent="0.25">
      <c r="A4" s="101"/>
      <c r="B4" s="107" t="s">
        <v>121</v>
      </c>
      <c r="C4" s="109" t="s">
        <v>350</v>
      </c>
      <c r="D4" s="111" t="s">
        <v>351</v>
      </c>
      <c r="E4" s="103"/>
      <c r="F4" s="1"/>
    </row>
    <row r="5" spans="1:6" ht="23.25" customHeight="1" x14ac:dyDescent="0.25">
      <c r="A5" s="102"/>
      <c r="B5" s="108"/>
      <c r="C5" s="110"/>
      <c r="D5" s="20">
        <v>2020</v>
      </c>
      <c r="E5" s="19">
        <v>2021</v>
      </c>
      <c r="F5" s="1"/>
    </row>
    <row r="6" spans="1:6" ht="15.75" customHeight="1" x14ac:dyDescent="0.25">
      <c r="A6" s="86" t="s">
        <v>144</v>
      </c>
      <c r="B6" s="76">
        <v>1572447.88026</v>
      </c>
      <c r="C6" s="52">
        <v>115.51017026677648</v>
      </c>
      <c r="D6" s="77">
        <v>100</v>
      </c>
      <c r="E6" s="77">
        <v>100</v>
      </c>
    </row>
    <row r="7" spans="1:6" ht="15.75" customHeight="1" x14ac:dyDescent="0.25">
      <c r="A7" s="87" t="s">
        <v>133</v>
      </c>
      <c r="B7" s="29"/>
      <c r="C7" s="78"/>
      <c r="D7" s="79"/>
      <c r="E7" s="79"/>
    </row>
    <row r="8" spans="1:6" x14ac:dyDescent="0.25">
      <c r="A8" s="88" t="s">
        <v>112</v>
      </c>
      <c r="B8" s="58">
        <v>95508.286770000006</v>
      </c>
      <c r="C8" s="80">
        <v>80.369040731266111</v>
      </c>
      <c r="D8" s="81">
        <f>IF(118837.16155="","-",118837.16155/1361306.86729*100)</f>
        <v>8.7296379975349137</v>
      </c>
      <c r="E8" s="81">
        <f>IF(95508.28677="","-",95508.28677/1572447.88026*100)</f>
        <v>6.0738602512032367</v>
      </c>
    </row>
    <row r="9" spans="1:6" x14ac:dyDescent="0.25">
      <c r="A9" s="88" t="s">
        <v>113</v>
      </c>
      <c r="B9" s="58">
        <v>20169.454229999999</v>
      </c>
      <c r="C9" s="80">
        <v>39.552246287028694</v>
      </c>
      <c r="D9" s="81">
        <f>IF(50994.45954="","-",50994.45954/1361306.86729*100)</f>
        <v>3.7459929693527823</v>
      </c>
      <c r="E9" s="81">
        <f>IF(20169.45423="","-",20169.45423/1572447.88026*100)</f>
        <v>1.282678712801917</v>
      </c>
    </row>
    <row r="10" spans="1:6" x14ac:dyDescent="0.25">
      <c r="A10" s="88" t="s">
        <v>114</v>
      </c>
      <c r="B10" s="58">
        <v>1437816.52477</v>
      </c>
      <c r="C10" s="80">
        <v>122.26366832623579</v>
      </c>
      <c r="D10" s="81">
        <f>IF(1175996.55274="","-",1175996.55274/1361306.86729*100)</f>
        <v>86.387322432384138</v>
      </c>
      <c r="E10" s="81">
        <f>IF(1437816.52477="","-",1437816.52477/1572447.88026*100)</f>
        <v>91.438103788359655</v>
      </c>
    </row>
    <row r="11" spans="1:6" x14ac:dyDescent="0.25">
      <c r="A11" s="88" t="s">
        <v>115</v>
      </c>
      <c r="B11" s="58">
        <v>18002.639439999999</v>
      </c>
      <c r="C11" s="80">
        <v>121.97517272367114</v>
      </c>
      <c r="D11" s="81">
        <f>IF(14759.26538="","-",14759.26538/1361306.86729*100)</f>
        <v>1.0841982608507497</v>
      </c>
      <c r="E11" s="81">
        <f>IF(18002.63944="","-",18002.63944/1572447.88026*100)</f>
        <v>1.1448798822523334</v>
      </c>
    </row>
    <row r="12" spans="1:6" x14ac:dyDescent="0.25">
      <c r="A12" s="88" t="s">
        <v>116</v>
      </c>
      <c r="B12" s="58">
        <v>870.78107999999997</v>
      </c>
      <c r="C12" s="80">
        <v>126.68063413560083</v>
      </c>
      <c r="D12" s="81">
        <f>IF(687.38295="","-",687.38295/1361306.86729*100)</f>
        <v>5.0494342349744904E-2</v>
      </c>
      <c r="E12" s="81">
        <f>IF(870.78108="","-",870.78108/1572447.88026*100)</f>
        <v>5.5377420831017862E-2</v>
      </c>
    </row>
    <row r="13" spans="1:6" x14ac:dyDescent="0.25">
      <c r="A13" s="88" t="s">
        <v>117</v>
      </c>
      <c r="B13" s="58">
        <v>3.3333300000000001</v>
      </c>
      <c r="C13" s="80">
        <v>74.727952616452427</v>
      </c>
      <c r="D13" s="81">
        <f>IF(4.46062="","-",4.46062/1361306.86729*100)</f>
        <v>3.2767189435251346E-4</v>
      </c>
      <c r="E13" s="81">
        <f>IF(3.33333="","-",3.33333/1572447.88026*100)</f>
        <v>2.1198349667709453E-4</v>
      </c>
    </row>
    <row r="14" spans="1:6" x14ac:dyDescent="0.25">
      <c r="A14" s="88" t="s">
        <v>118</v>
      </c>
      <c r="B14" s="58">
        <v>76.860640000000004</v>
      </c>
      <c r="C14" s="80" t="s">
        <v>348</v>
      </c>
      <c r="D14" s="81">
        <f>IF(27.58451="","-",27.58451/1361306.86729*100)</f>
        <v>2.0263256333168602E-3</v>
      </c>
      <c r="E14" s="81">
        <f>IF(76.86064="","-",76.86064/1572447.88026*100)</f>
        <v>4.8879610551728625E-3</v>
      </c>
    </row>
    <row r="15" spans="1:6" x14ac:dyDescent="0.25">
      <c r="A15" s="55" t="s">
        <v>224</v>
      </c>
      <c r="B15" s="56">
        <v>1009893.5901</v>
      </c>
      <c r="C15" s="82">
        <v>115.34755086236292</v>
      </c>
      <c r="D15" s="56">
        <f>IF(875522.35184="","-",875522.35184/1361306.86729*100)</f>
        <v>64.314841339405888</v>
      </c>
      <c r="E15" s="56">
        <f>IF(1009893.5901="","-",1009893.5901/1572447.88026*100)</f>
        <v>64.224296574651291</v>
      </c>
    </row>
    <row r="16" spans="1:6" x14ac:dyDescent="0.25">
      <c r="A16" s="87" t="s">
        <v>133</v>
      </c>
      <c r="B16" s="28"/>
      <c r="C16" s="82"/>
      <c r="D16" s="28"/>
      <c r="E16" s="28"/>
    </row>
    <row r="17" spans="1:11" x14ac:dyDescent="0.25">
      <c r="A17" s="88" t="s">
        <v>112</v>
      </c>
      <c r="B17" s="58">
        <v>37682.773410000002</v>
      </c>
      <c r="C17" s="83">
        <v>66.608792440728152</v>
      </c>
      <c r="D17" s="58">
        <f>IF(56573.27213="","-",56573.27213/1361306.86729*100)</f>
        <v>4.1558059750791045</v>
      </c>
      <c r="E17" s="58">
        <f>IF(37682.77341="","-",37682.77341/1572447.88026*100)</f>
        <v>2.39644021802295</v>
      </c>
      <c r="K17" s="22"/>
    </row>
    <row r="18" spans="1:11" x14ac:dyDescent="0.25">
      <c r="A18" s="88" t="s">
        <v>113</v>
      </c>
      <c r="B18" s="58">
        <v>5543.4355299999997</v>
      </c>
      <c r="C18" s="83">
        <v>49.965046368872926</v>
      </c>
      <c r="D18" s="58">
        <f>IF(11094.62701="","-",11094.62701/1361306.86729*100)</f>
        <v>0.81499824004314714</v>
      </c>
      <c r="E18" s="58">
        <f>IF(5543.43553="","-",5543.43553/1572447.88026*100)</f>
        <v>0.35253540671143946</v>
      </c>
    </row>
    <row r="19" spans="1:11" x14ac:dyDescent="0.25">
      <c r="A19" s="88" t="s">
        <v>114</v>
      </c>
      <c r="B19" s="58">
        <v>963105.58907999995</v>
      </c>
      <c r="C19" s="83">
        <v>119.71058766786126</v>
      </c>
      <c r="D19" s="58">
        <f>IF(804528.32773="","-",804528.32773/1361306.86729*100)</f>
        <v>59.099703899356804</v>
      </c>
      <c r="E19" s="58">
        <f>IF(963105.58908="","-",963105.58908/1572447.88026*100)</f>
        <v>61.248808381537778</v>
      </c>
    </row>
    <row r="20" spans="1:11" x14ac:dyDescent="0.25">
      <c r="A20" s="88" t="s">
        <v>115</v>
      </c>
      <c r="B20" s="58">
        <v>2738.66777</v>
      </c>
      <c r="C20" s="83">
        <v>90.644889196679799</v>
      </c>
      <c r="D20" s="58">
        <f>IF(3021.31515="","-",3021.31515/1361306.86729*100)</f>
        <v>0.22194225435846329</v>
      </c>
      <c r="E20" s="58">
        <f>IF(2738.66777="","-",2738.66777/1572447.88026*100)</f>
        <v>0.17416588520232343</v>
      </c>
    </row>
    <row r="21" spans="1:11" x14ac:dyDescent="0.25">
      <c r="A21" s="88" t="s">
        <v>116</v>
      </c>
      <c r="B21" s="58">
        <v>787.06015000000002</v>
      </c>
      <c r="C21" s="83" t="s">
        <v>319</v>
      </c>
      <c r="D21" s="58">
        <f>IF(292.65964="","-",292.65964/1361306.86729*100)</f>
        <v>2.1498432648224833E-2</v>
      </c>
      <c r="E21" s="58">
        <f>IF(787.06015="","-",787.06015/1572447.88026*100)</f>
        <v>5.0053178860838411E-2</v>
      </c>
    </row>
    <row r="22" spans="1:11" x14ac:dyDescent="0.25">
      <c r="A22" s="63" t="s">
        <v>118</v>
      </c>
      <c r="B22" s="58">
        <v>36.064160000000001</v>
      </c>
      <c r="C22" s="83" t="s">
        <v>336</v>
      </c>
      <c r="D22" s="58">
        <f>IF(12.15018="","-",12.15018/1361306.86729*100)</f>
        <v>8.9253792013756445E-4</v>
      </c>
      <c r="E22" s="58">
        <f>IF(36.06416="","-",36.06416/1572447.88026*100)</f>
        <v>2.2935043159609775E-3</v>
      </c>
    </row>
    <row r="23" spans="1:11" x14ac:dyDescent="0.25">
      <c r="A23" s="55" t="s">
        <v>225</v>
      </c>
      <c r="B23" s="56">
        <v>243411.14249999999</v>
      </c>
      <c r="C23" s="82">
        <v>110.21431267388979</v>
      </c>
      <c r="D23" s="56">
        <f>IF(220852.57041="","-",220852.57041/1361306.86729*100)</f>
        <v>16.223569844296659</v>
      </c>
      <c r="E23" s="56">
        <f>IF(243411.1425="","-",243411.1425/1572447.88026*100)</f>
        <v>15.479759014953972</v>
      </c>
    </row>
    <row r="24" spans="1:11" x14ac:dyDescent="0.25">
      <c r="A24" s="87" t="s">
        <v>133</v>
      </c>
      <c r="B24" s="28"/>
      <c r="C24" s="82"/>
      <c r="D24" s="28"/>
      <c r="E24" s="28"/>
    </row>
    <row r="25" spans="1:11" x14ac:dyDescent="0.25">
      <c r="A25" s="88" t="s">
        <v>112</v>
      </c>
      <c r="B25" s="58">
        <v>10270.452499999999</v>
      </c>
      <c r="C25" s="83" t="s">
        <v>341</v>
      </c>
      <c r="D25" s="58">
        <f>IF(1252.01706="","-",1252.01706/1361306.86729*100)</f>
        <v>9.1971699407675286E-2</v>
      </c>
      <c r="E25" s="58">
        <f>IF(10270.4525="","-",10270.4525/1572447.88026*100)</f>
        <v>0.65315058317238517</v>
      </c>
    </row>
    <row r="26" spans="1:11" x14ac:dyDescent="0.25">
      <c r="A26" s="88" t="s">
        <v>113</v>
      </c>
      <c r="B26" s="58">
        <v>3213.2970999999998</v>
      </c>
      <c r="C26" s="83">
        <v>81.921147664178491</v>
      </c>
      <c r="D26" s="58">
        <f>IF(3922.42686="","-",3922.42686/1361306.86729*100)</f>
        <v>0.28813685982562542</v>
      </c>
      <c r="E26" s="58">
        <f>IF(3213.2971="","-",3213.2971/1572447.88026*100)</f>
        <v>0.20434999088610109</v>
      </c>
      <c r="F26" s="1"/>
      <c r="G26" s="1"/>
    </row>
    <row r="27" spans="1:11" x14ac:dyDescent="0.25">
      <c r="A27" s="88" t="s">
        <v>114</v>
      </c>
      <c r="B27" s="58">
        <v>224516.67968</v>
      </c>
      <c r="C27" s="83">
        <v>106.34637682095925</v>
      </c>
      <c r="D27" s="58">
        <f>IF(211118.31582="","-",211118.31582/1361306.86729*100)</f>
        <v>15.50850296085558</v>
      </c>
      <c r="E27" s="58">
        <f>IF(224516.67968="","-",224516.67968/1572447.88026*100)</f>
        <v>14.278163524432797</v>
      </c>
      <c r="F27" s="10"/>
      <c r="G27" s="10"/>
    </row>
    <row r="28" spans="1:11" x14ac:dyDescent="0.25">
      <c r="A28" s="88" t="s">
        <v>115</v>
      </c>
      <c r="B28" s="58">
        <v>5356.4114300000001</v>
      </c>
      <c r="C28" s="83">
        <v>120.51647381690809</v>
      </c>
      <c r="D28" s="58">
        <f>IF(4444.54709="","-",4444.54709/1361306.86729*100)</f>
        <v>0.32649119730424275</v>
      </c>
      <c r="E28" s="58">
        <f>IF(5356.41143="","-",5356.41143/1572447.88026*100)</f>
        <v>0.34064158801335481</v>
      </c>
    </row>
    <row r="29" spans="1:11" x14ac:dyDescent="0.25">
      <c r="A29" s="88" t="s">
        <v>116</v>
      </c>
      <c r="B29" s="58">
        <v>15.78936</v>
      </c>
      <c r="C29" s="83">
        <v>16.556135911777282</v>
      </c>
      <c r="D29" s="58">
        <f>IF(95.36863="","-",95.36863/1361306.86729*100)</f>
        <v>7.0056672960045795E-3</v>
      </c>
      <c r="E29" s="58">
        <f>IF(15.78936="","-",15.78936/1572447.88026*100)</f>
        <v>1.0041261270541616E-3</v>
      </c>
    </row>
    <row r="30" spans="1:11" x14ac:dyDescent="0.25">
      <c r="A30" s="88" t="s">
        <v>117</v>
      </c>
      <c r="B30" s="58">
        <v>3.3333300000000001</v>
      </c>
      <c r="C30" s="83">
        <v>74.727952616452427</v>
      </c>
      <c r="D30" s="58">
        <f>IF(4.46062="","-",4.46062/1361306.86729*100)</f>
        <v>3.2767189435251346E-4</v>
      </c>
      <c r="E30" s="58">
        <f>IF(3.33333="","-",3.33333/1572447.88026*100)</f>
        <v>2.1198349667709453E-4</v>
      </c>
    </row>
    <row r="31" spans="1:11" x14ac:dyDescent="0.25">
      <c r="A31" s="88" t="s">
        <v>118</v>
      </c>
      <c r="B31" s="58">
        <v>35.179099999999998</v>
      </c>
      <c r="C31" s="83" t="s">
        <v>233</v>
      </c>
      <c r="D31" s="58">
        <f>IF(15.43433="","-",15.43433/1361306.86729*100)</f>
        <v>1.1337877131792956E-3</v>
      </c>
      <c r="E31" s="58">
        <f>IF(35.1791="","-",35.1791/1572447.88026*100)</f>
        <v>2.2372188256047781E-3</v>
      </c>
    </row>
    <row r="32" spans="1:11" x14ac:dyDescent="0.25">
      <c r="A32" s="55" t="s">
        <v>340</v>
      </c>
      <c r="B32" s="56">
        <v>319143.14766000002</v>
      </c>
      <c r="C32" s="82">
        <v>120.462312542874</v>
      </c>
      <c r="D32" s="56">
        <f>IF(264931.94504="","-",264931.94504/1361306.86729*100)</f>
        <v>19.461588816297464</v>
      </c>
      <c r="E32" s="56">
        <f>IF(319143.14766="","-",319143.14766/1572447.88026*100)</f>
        <v>20.295944410394739</v>
      </c>
    </row>
    <row r="33" spans="1:5" x14ac:dyDescent="0.25">
      <c r="A33" s="87" t="s">
        <v>133</v>
      </c>
      <c r="B33" s="28"/>
      <c r="C33" s="82"/>
      <c r="D33" s="28"/>
      <c r="E33" s="28"/>
    </row>
    <row r="34" spans="1:5" x14ac:dyDescent="0.25">
      <c r="A34" s="88" t="s">
        <v>112</v>
      </c>
      <c r="B34" s="58">
        <v>47555.060859999998</v>
      </c>
      <c r="C34" s="83">
        <v>77.943946023163804</v>
      </c>
      <c r="D34" s="58">
        <f>IF(61011.87236="","-",61011.87236/1361306.86729*100)</f>
        <v>4.4818603230481324</v>
      </c>
      <c r="E34" s="58">
        <f>IF(47555.06086="","-",47555.06086/1572447.88026*100)</f>
        <v>3.024269450007901</v>
      </c>
    </row>
    <row r="35" spans="1:5" x14ac:dyDescent="0.25">
      <c r="A35" s="88" t="s">
        <v>113</v>
      </c>
      <c r="B35" s="58">
        <v>11412.721600000001</v>
      </c>
      <c r="C35" s="83">
        <v>31.721913760770626</v>
      </c>
      <c r="D35" s="58">
        <f>IF(35977.40567="","-",35977.40567/1361306.86729*100)</f>
        <v>2.642857869484009</v>
      </c>
      <c r="E35" s="58">
        <f>IF(11412.7216="","-",11412.7216/1572447.88026*100)</f>
        <v>0.72579331520437662</v>
      </c>
    </row>
    <row r="36" spans="1:5" x14ac:dyDescent="0.25">
      <c r="A36" s="88" t="s">
        <v>114</v>
      </c>
      <c r="B36" s="58">
        <v>250194.25601000001</v>
      </c>
      <c r="C36" s="83" t="s">
        <v>104</v>
      </c>
      <c r="D36" s="58">
        <f>IF(160349.90919="","-",160349.90919/1361306.86729*100)</f>
        <v>11.779115572171765</v>
      </c>
      <c r="E36" s="58">
        <f>IF(250194.25601="","-",250194.25601/1572447.88026*100)</f>
        <v>15.911131882389073</v>
      </c>
    </row>
    <row r="37" spans="1:5" x14ac:dyDescent="0.25">
      <c r="A37" s="88" t="s">
        <v>115</v>
      </c>
      <c r="B37" s="58">
        <v>9907.5602400000007</v>
      </c>
      <c r="C37" s="83">
        <v>135.84276160003955</v>
      </c>
      <c r="D37" s="58">
        <f>IF(7293.40314="","-",7293.40314/1361306.86729*100)</f>
        <v>0.53576480918804348</v>
      </c>
      <c r="E37" s="58">
        <f>IF(9907.56024="","-",9907.56024/1572447.88026*100)</f>
        <v>0.63007240903665518</v>
      </c>
    </row>
    <row r="38" spans="1:5" x14ac:dyDescent="0.25">
      <c r="A38" s="63" t="s">
        <v>116</v>
      </c>
      <c r="B38" s="71">
        <v>67.931569999999994</v>
      </c>
      <c r="C38" s="84">
        <v>22.69267011292424</v>
      </c>
      <c r="D38" s="58">
        <f>IF(299.35468="","-",299.35468/1361306.86729*100)</f>
        <v>2.1990242405515486E-2</v>
      </c>
      <c r="E38" s="58">
        <f>IF(67.93157="","-",67.93157/1572447.88026*100)</f>
        <v>4.3201158431252868E-3</v>
      </c>
    </row>
    <row r="39" spans="1:5" x14ac:dyDescent="0.25">
      <c r="A39" s="89" t="s">
        <v>118</v>
      </c>
      <c r="B39" s="61">
        <v>5.6173799999999998</v>
      </c>
      <c r="C39" s="85" t="s">
        <v>22</v>
      </c>
      <c r="D39" s="61" t="s">
        <v>223</v>
      </c>
      <c r="E39" s="61">
        <f>IF(5.61738="","-",5.61738/1572447.88026*100)</f>
        <v>3.5723791360710674E-4</v>
      </c>
    </row>
    <row r="40" spans="1:5" x14ac:dyDescent="0.25">
      <c r="A40" s="43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C36" sqref="C36"/>
    </sheetView>
  </sheetViews>
  <sheetFormatPr defaultRowHeight="15.75" x14ac:dyDescent="0.25"/>
  <cols>
    <col min="1" max="1" width="30.875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99" t="s">
        <v>327</v>
      </c>
      <c r="B1" s="99"/>
      <c r="C1" s="99"/>
      <c r="D1" s="99"/>
      <c r="E1" s="99"/>
    </row>
    <row r="2" spans="1:6" x14ac:dyDescent="0.25">
      <c r="A2" s="7"/>
      <c r="B2" s="7"/>
      <c r="C2" s="7"/>
      <c r="D2" s="7"/>
      <c r="E2" s="7"/>
    </row>
    <row r="3" spans="1:6" ht="17.25" customHeight="1" x14ac:dyDescent="0.25">
      <c r="A3" s="100"/>
      <c r="B3" s="103" t="s">
        <v>349</v>
      </c>
      <c r="C3" s="104"/>
      <c r="D3" s="103" t="s">
        <v>108</v>
      </c>
      <c r="E3" s="119"/>
      <c r="F3" s="1"/>
    </row>
    <row r="4" spans="1:6" ht="20.25" customHeight="1" x14ac:dyDescent="0.25">
      <c r="A4" s="101"/>
      <c r="B4" s="107" t="s">
        <v>121</v>
      </c>
      <c r="C4" s="109" t="s">
        <v>350</v>
      </c>
      <c r="D4" s="111" t="s">
        <v>351</v>
      </c>
      <c r="E4" s="103"/>
      <c r="F4" s="1"/>
    </row>
    <row r="5" spans="1:6" ht="20.25" customHeight="1" x14ac:dyDescent="0.25">
      <c r="A5" s="102"/>
      <c r="B5" s="108"/>
      <c r="C5" s="110"/>
      <c r="D5" s="26">
        <v>2020</v>
      </c>
      <c r="E5" s="25">
        <v>2021</v>
      </c>
      <c r="F5" s="1"/>
    </row>
    <row r="6" spans="1:6" ht="15.75" customHeight="1" x14ac:dyDescent="0.25">
      <c r="A6" s="86" t="s">
        <v>134</v>
      </c>
      <c r="B6" s="76">
        <v>3828259.07614</v>
      </c>
      <c r="C6" s="90">
        <v>132.45398886555364</v>
      </c>
      <c r="D6" s="77">
        <v>100</v>
      </c>
      <c r="E6" s="77">
        <v>100</v>
      </c>
    </row>
    <row r="7" spans="1:6" ht="15.75" customHeight="1" x14ac:dyDescent="0.25">
      <c r="A7" s="87" t="s">
        <v>133</v>
      </c>
      <c r="B7" s="29"/>
      <c r="C7" s="78"/>
      <c r="D7" s="29"/>
      <c r="E7" s="29"/>
    </row>
    <row r="8" spans="1:6" x14ac:dyDescent="0.25">
      <c r="A8" s="88" t="s">
        <v>112</v>
      </c>
      <c r="B8" s="58">
        <v>86648.026459999994</v>
      </c>
      <c r="C8" s="80" t="s">
        <v>105</v>
      </c>
      <c r="D8" s="58">
        <f>IF(45318.28274="","-",45318.28274/2890255.78537*100)</f>
        <v>1.5679678929938903</v>
      </c>
      <c r="E8" s="58">
        <f>IF(86648.02646="","-",86648.02646/3828259.07614*100)</f>
        <v>2.2633793778493811</v>
      </c>
    </row>
    <row r="9" spans="1:6" x14ac:dyDescent="0.25">
      <c r="A9" s="88" t="s">
        <v>113</v>
      </c>
      <c r="B9" s="58">
        <v>179561.87638999999</v>
      </c>
      <c r="C9" s="80">
        <v>113.17149574011628</v>
      </c>
      <c r="D9" s="58">
        <f>IF(158663.51789="","-",158663.51789/2890255.78537*100)</f>
        <v>5.4896012558171714</v>
      </c>
      <c r="E9" s="58">
        <f>IF(179561.87639="","-",179561.87639/3828259.07614*100)</f>
        <v>4.6904316771332688</v>
      </c>
    </row>
    <row r="10" spans="1:6" x14ac:dyDescent="0.25">
      <c r="A10" s="88" t="s">
        <v>114</v>
      </c>
      <c r="B10" s="58">
        <v>3312285.4309</v>
      </c>
      <c r="C10" s="80">
        <v>133.3599050663147</v>
      </c>
      <c r="D10" s="58">
        <f>IF(2483719.09777="","-",2483719.09777/2890255.78537*100)</f>
        <v>85.934231507888597</v>
      </c>
      <c r="E10" s="58">
        <f>IF(3312285.4309="","-",3312285.4309/3828259.07614*100)</f>
        <v>86.52197683130025</v>
      </c>
    </row>
    <row r="11" spans="1:6" x14ac:dyDescent="0.25">
      <c r="A11" s="88" t="s">
        <v>115</v>
      </c>
      <c r="B11" s="58">
        <v>91196.836469999995</v>
      </c>
      <c r="C11" s="80">
        <v>139.90573111707155</v>
      </c>
      <c r="D11" s="58">
        <f>IF(65184.4894="","-",65184.4894/2890255.78537*100)</f>
        <v>2.2553190527272076</v>
      </c>
      <c r="E11" s="58">
        <f>IF(91196.83647="","-",91196.83647/3828259.07614*100)</f>
        <v>2.382201273638799</v>
      </c>
    </row>
    <row r="12" spans="1:6" x14ac:dyDescent="0.25">
      <c r="A12" s="88" t="s">
        <v>116</v>
      </c>
      <c r="B12" s="58">
        <v>7452.7589500000004</v>
      </c>
      <c r="C12" s="80">
        <v>89.906690460448289</v>
      </c>
      <c r="D12" s="58">
        <f>IF(8289.43754="","-",8289.43754/2890255.78537*100)</f>
        <v>0.28680636440413926</v>
      </c>
      <c r="E12" s="58">
        <f>IF(7452.75895="","-",7452.75895/3828259.07614*100)</f>
        <v>0.19467749704950879</v>
      </c>
    </row>
    <row r="13" spans="1:6" x14ac:dyDescent="0.25">
      <c r="A13" s="88" t="s">
        <v>117</v>
      </c>
      <c r="B13" s="58">
        <v>128877.81458999999</v>
      </c>
      <c r="C13" s="80">
        <v>111.27106686560484</v>
      </c>
      <c r="D13" s="58">
        <f>IF(115823.29371="","-",115823.29371/2890255.78537*100)</f>
        <v>4.0073717453063669</v>
      </c>
      <c r="E13" s="58">
        <f>IF(128877.81459="","-",128877.81459/3828259.07614*100)</f>
        <v>3.3664862285116386</v>
      </c>
    </row>
    <row r="14" spans="1:6" x14ac:dyDescent="0.25">
      <c r="A14" s="88" t="s">
        <v>118</v>
      </c>
      <c r="B14" s="58">
        <v>22236.33238</v>
      </c>
      <c r="C14" s="80" t="s">
        <v>103</v>
      </c>
      <c r="D14" s="58">
        <f>IF(13257.66632="","-",13257.66632/2890255.78537*100)</f>
        <v>0.45870218086261183</v>
      </c>
      <c r="E14" s="58">
        <f>IF(22236.33238="","-",22236.33238/3828259.07614*100)</f>
        <v>0.58084711451714754</v>
      </c>
    </row>
    <row r="15" spans="1:6" x14ac:dyDescent="0.25">
      <c r="A15" s="55" t="s">
        <v>224</v>
      </c>
      <c r="B15" s="56">
        <v>1807855.0048499999</v>
      </c>
      <c r="C15" s="82">
        <v>136.26832404842773</v>
      </c>
      <c r="D15" s="56">
        <f>IF(1326687.63447="","-",1326687.63447/2890255.78537*100)</f>
        <v>45.902083863493147</v>
      </c>
      <c r="E15" s="56">
        <f>IF(1807855.00485="","-",1807855.00485/3828259.07614*100)</f>
        <v>47.22394615656065</v>
      </c>
    </row>
    <row r="16" spans="1:6" x14ac:dyDescent="0.25">
      <c r="A16" s="87" t="s">
        <v>133</v>
      </c>
      <c r="B16" s="29"/>
      <c r="C16" s="82"/>
      <c r="D16" s="29"/>
      <c r="E16" s="29"/>
    </row>
    <row r="17" spans="1:7" x14ac:dyDescent="0.25">
      <c r="A17" s="88" t="s">
        <v>112</v>
      </c>
      <c r="B17" s="58">
        <v>29272.408309999999</v>
      </c>
      <c r="C17" s="83" t="s">
        <v>95</v>
      </c>
      <c r="D17" s="58">
        <f>IF(13780.43173="","-",13780.43173/2890255.78537*100)</f>
        <v>0.47678934853289734</v>
      </c>
      <c r="E17" s="58">
        <f>IF(29272.40831="","-",29272.40831/3828259.07614*100)</f>
        <v>0.76464021185094688</v>
      </c>
    </row>
    <row r="18" spans="1:7" x14ac:dyDescent="0.25">
      <c r="A18" s="88" t="s">
        <v>113</v>
      </c>
      <c r="B18" s="58">
        <v>64527.100700000003</v>
      </c>
      <c r="C18" s="83" t="s">
        <v>323</v>
      </c>
      <c r="D18" s="58">
        <f>IF(14908.40804="","-",14908.40804/2890255.78537*100)</f>
        <v>0.51581621652533016</v>
      </c>
      <c r="E18" s="58">
        <f>IF(64527.1007="","-",64527.1007/3828259.07614*100)</f>
        <v>1.6855468612918985</v>
      </c>
    </row>
    <row r="19" spans="1:7" x14ac:dyDescent="0.25">
      <c r="A19" s="88" t="s">
        <v>114</v>
      </c>
      <c r="B19" s="58">
        <v>1673294.5044199999</v>
      </c>
      <c r="C19" s="83">
        <v>131.97886051588983</v>
      </c>
      <c r="D19" s="58">
        <f>IF(1267850.39504="","-",1267850.39504/2890255.78537*100)</f>
        <v>43.866373400501452</v>
      </c>
      <c r="E19" s="58">
        <f>IF(1673294.50442="","-",1673294.50442/3828259.07614*100)</f>
        <v>43.709019456101387</v>
      </c>
    </row>
    <row r="20" spans="1:7" x14ac:dyDescent="0.25">
      <c r="A20" s="88" t="s">
        <v>115</v>
      </c>
      <c r="B20" s="58">
        <v>19972.406589999999</v>
      </c>
      <c r="C20" s="83">
        <v>123.51769715047925</v>
      </c>
      <c r="D20" s="58">
        <f>IF(16169.67208="","-",16169.67208/2890255.78537*100)</f>
        <v>0.55945470853646317</v>
      </c>
      <c r="E20" s="58">
        <f>IF(19972.40659="","-",19972.40659/3828259.07614*100)</f>
        <v>0.52170989979439952</v>
      </c>
    </row>
    <row r="21" spans="1:7" x14ac:dyDescent="0.25">
      <c r="A21" s="88" t="s">
        <v>116</v>
      </c>
      <c r="B21" s="58">
        <v>3495.4087800000002</v>
      </c>
      <c r="C21" s="83" t="s">
        <v>234</v>
      </c>
      <c r="D21" s="58">
        <f>IF(2287.52365="","-",2287.52365/2890255.78537*100)</f>
        <v>7.9146062489661606E-2</v>
      </c>
      <c r="E21" s="58">
        <f>IF(3495.40878="","-",3495.40878/3828259.07614*100)</f>
        <v>9.1305439639273053E-2</v>
      </c>
    </row>
    <row r="22" spans="1:7" x14ac:dyDescent="0.25">
      <c r="A22" s="88" t="s">
        <v>118</v>
      </c>
      <c r="B22" s="58">
        <v>17293.176049999998</v>
      </c>
      <c r="C22" s="83">
        <v>148.91534180630123</v>
      </c>
      <c r="D22" s="58">
        <f>IF(11612.75651="","-",11612.75651/2890255.78537*100)</f>
        <v>0.40178992353486026</v>
      </c>
      <c r="E22" s="58">
        <f>IF(17293.17605="","-",17293.17605/3828259.07614*100)</f>
        <v>0.45172428788274582</v>
      </c>
    </row>
    <row r="23" spans="1:7" x14ac:dyDescent="0.25">
      <c r="A23" s="55" t="s">
        <v>225</v>
      </c>
      <c r="B23" s="56">
        <v>885523.69950999995</v>
      </c>
      <c r="C23" s="91">
        <v>120.66481079933935</v>
      </c>
      <c r="D23" s="56">
        <f>IF(733870.7065="","-",733870.7065/2890255.78537*100)</f>
        <v>25.391202751491161</v>
      </c>
      <c r="E23" s="56">
        <f>IF(885523.69951="","-",885523.69951/3828259.07614*100)</f>
        <v>23.131237512871405</v>
      </c>
    </row>
    <row r="24" spans="1:7" x14ac:dyDescent="0.25">
      <c r="A24" s="88" t="s">
        <v>133</v>
      </c>
      <c r="B24" s="29"/>
      <c r="C24" s="92"/>
      <c r="D24" s="29"/>
      <c r="E24" s="29"/>
    </row>
    <row r="25" spans="1:7" x14ac:dyDescent="0.25">
      <c r="A25" s="88" t="s">
        <v>112</v>
      </c>
      <c r="B25" s="58">
        <v>45165.363530000002</v>
      </c>
      <c r="C25" s="80" t="s">
        <v>105</v>
      </c>
      <c r="D25" s="58">
        <f>IF(23636.67408="","-",23636.67408/2890255.78537*100)</f>
        <v>0.81780561428663034</v>
      </c>
      <c r="E25" s="58">
        <f>IF(45165.36353="","-",45165.36353/3828259.07614*100)</f>
        <v>1.1797885835756927</v>
      </c>
    </row>
    <row r="26" spans="1:7" x14ac:dyDescent="0.25">
      <c r="A26" s="88" t="s">
        <v>113</v>
      </c>
      <c r="B26" s="58">
        <v>115034.77568999999</v>
      </c>
      <c r="C26" s="80">
        <v>80.10933259604144</v>
      </c>
      <c r="D26" s="58">
        <f>IF(143597.2214="","-",143597.2214/2890255.78537*100)</f>
        <v>4.9683222546207002</v>
      </c>
      <c r="E26" s="58">
        <f>IF(115034.77569="","-",115034.77569/3828259.07614*100)</f>
        <v>3.0048848158413706</v>
      </c>
      <c r="F26" s="1"/>
      <c r="G26" s="1"/>
    </row>
    <row r="27" spans="1:7" x14ac:dyDescent="0.25">
      <c r="A27" s="88" t="s">
        <v>114</v>
      </c>
      <c r="B27" s="58">
        <v>579280.65055000002</v>
      </c>
      <c r="C27" s="80">
        <v>130.83990111477044</v>
      </c>
      <c r="D27" s="58">
        <f>IF(442740.0553="","-",442740.0553/2890255.78537*100)</f>
        <v>15.318369313230939</v>
      </c>
      <c r="E27" s="58">
        <f>IF(579280.65055="","-",579280.65055/3828259.07614*100)</f>
        <v>15.131699266656835</v>
      </c>
      <c r="F27" s="1"/>
      <c r="G27" s="1"/>
    </row>
    <row r="28" spans="1:7" x14ac:dyDescent="0.25">
      <c r="A28" s="88" t="s">
        <v>115</v>
      </c>
      <c r="B28" s="58">
        <v>15580.75542</v>
      </c>
      <c r="C28" s="80" t="s">
        <v>20</v>
      </c>
      <c r="D28" s="58">
        <f>IF(7703.75391="","-",7703.75391/2890255.78537*100)</f>
        <v>0.26654228836752569</v>
      </c>
      <c r="E28" s="58">
        <f>IF(15580.75542="","-",15580.75542/3828259.07614*100)</f>
        <v>0.40699323400311604</v>
      </c>
      <c r="F28" s="10"/>
      <c r="G28" s="10"/>
    </row>
    <row r="29" spans="1:7" x14ac:dyDescent="0.25">
      <c r="A29" s="88" t="s">
        <v>116</v>
      </c>
      <c r="B29" s="58">
        <v>194.86986999999999</v>
      </c>
      <c r="C29" s="80">
        <v>81.05036131008282</v>
      </c>
      <c r="D29" s="58">
        <f>IF(240.4306="","-",240.4306/2890255.78537*100)</f>
        <v>8.3186616636845845E-3</v>
      </c>
      <c r="E29" s="58">
        <f>IF(194.86987="","-",194.86987/3828259.07614*100)</f>
        <v>5.090299954215366E-3</v>
      </c>
    </row>
    <row r="30" spans="1:7" x14ac:dyDescent="0.25">
      <c r="A30" s="88" t="s">
        <v>117</v>
      </c>
      <c r="B30" s="58">
        <v>128877.81458999999</v>
      </c>
      <c r="C30" s="80">
        <v>111.34648212940314</v>
      </c>
      <c r="D30" s="58">
        <f>IF(115744.84629="","-",115744.84629/2890255.78537*100)</f>
        <v>4.0046575419338799</v>
      </c>
      <c r="E30" s="58">
        <f>IF(128877.81459="","-",128877.81459/3828259.07614*100)</f>
        <v>3.3664862285116386</v>
      </c>
    </row>
    <row r="31" spans="1:7" x14ac:dyDescent="0.25">
      <c r="A31" s="88" t="s">
        <v>118</v>
      </c>
      <c r="B31" s="58">
        <v>1389.4698599999999</v>
      </c>
      <c r="C31" s="80" t="s">
        <v>223</v>
      </c>
      <c r="D31" s="58">
        <f>IF(207.72492="","-",207.72492/2890255.78537*100)</f>
        <v>7.1870773878031629E-3</v>
      </c>
      <c r="E31" s="58">
        <f>IF(1389.46986="","-",1389.46986/3828259.07614*100)</f>
        <v>3.629508432854002E-2</v>
      </c>
    </row>
    <row r="32" spans="1:7" x14ac:dyDescent="0.25">
      <c r="A32" s="55" t="s">
        <v>226</v>
      </c>
      <c r="B32" s="56">
        <v>1134880.3717799999</v>
      </c>
      <c r="C32" s="82">
        <v>136.78243550583605</v>
      </c>
      <c r="D32" s="56">
        <f>IF(829697.4444="","-",829697.4444/2890255.78537*100)</f>
        <v>28.706713385015686</v>
      </c>
      <c r="E32" s="56">
        <f>IF(1134880.37178="","-",1134880.37178/3828259.07614*100)</f>
        <v>29.644816330567934</v>
      </c>
    </row>
    <row r="33" spans="1:5" x14ac:dyDescent="0.25">
      <c r="A33" s="88" t="s">
        <v>133</v>
      </c>
      <c r="B33" s="29"/>
      <c r="C33" s="82"/>
      <c r="D33" s="30"/>
      <c r="E33" s="30"/>
    </row>
    <row r="34" spans="1:5" x14ac:dyDescent="0.25">
      <c r="A34" s="88" t="s">
        <v>112</v>
      </c>
      <c r="B34" s="71">
        <v>12210.25462</v>
      </c>
      <c r="C34" s="83" t="s">
        <v>234</v>
      </c>
      <c r="D34" s="58">
        <f>IF(7901.17693="","-",7901.17693/2890255.78537*100)</f>
        <v>0.27337293017436237</v>
      </c>
      <c r="E34" s="58">
        <f>IF(12210.25462="","-",12210.25462/3828259.07614*100)</f>
        <v>0.31895058242274166</v>
      </c>
    </row>
    <row r="35" spans="1:5" x14ac:dyDescent="0.25">
      <c r="A35" s="88" t="s">
        <v>113</v>
      </c>
      <c r="B35" s="71" t="s">
        <v>223</v>
      </c>
      <c r="C35" s="83" t="s">
        <v>22</v>
      </c>
      <c r="D35" s="58">
        <f>IF(157.88845="","-",157.88845/2890255.78537*100)</f>
        <v>5.4627846711424437E-3</v>
      </c>
      <c r="E35" s="71" t="s">
        <v>223</v>
      </c>
    </row>
    <row r="36" spans="1:5" x14ac:dyDescent="0.25">
      <c r="A36" s="88" t="s">
        <v>114</v>
      </c>
      <c r="B36" s="71">
        <v>1059710.27593</v>
      </c>
      <c r="C36" s="83">
        <v>137.06778030443471</v>
      </c>
      <c r="D36" s="58">
        <f>IF(773128.64743="","-",773128.64743/2890255.78537*100)</f>
        <v>26.749488794156218</v>
      </c>
      <c r="E36" s="58">
        <f>IF(1059710.27593="","-",1059710.27593/3828259.07614*100)</f>
        <v>27.681258108542028</v>
      </c>
    </row>
    <row r="37" spans="1:5" x14ac:dyDescent="0.25">
      <c r="A37" s="88" t="s">
        <v>115</v>
      </c>
      <c r="B37" s="71">
        <v>55643.674460000002</v>
      </c>
      <c r="C37" s="83">
        <v>134.6943648188213</v>
      </c>
      <c r="D37" s="58">
        <f>IF(41311.06341="","-",41311.06341/2890255.78537*100)</f>
        <v>1.4293220558232187</v>
      </c>
      <c r="E37" s="58">
        <f>IF(55643.67446="","-",55643.67446/3828259.07614*100)</f>
        <v>1.4534981398412834</v>
      </c>
    </row>
    <row r="38" spans="1:5" x14ac:dyDescent="0.25">
      <c r="A38" s="88" t="s">
        <v>116</v>
      </c>
      <c r="B38" s="71">
        <v>3762.4803000000002</v>
      </c>
      <c r="C38" s="84">
        <v>65.304021735694391</v>
      </c>
      <c r="D38" s="58">
        <f>IF(5761.48329="","-",5761.48329/2890255.78537*100)</f>
        <v>0.19934164025079307</v>
      </c>
      <c r="E38" s="58">
        <f>IF(3762.4803="","-",3762.4803/3828259.07614*100)</f>
        <v>9.8281757456020344E-2</v>
      </c>
    </row>
    <row r="39" spans="1:5" x14ac:dyDescent="0.25">
      <c r="A39" s="89" t="s">
        <v>118</v>
      </c>
      <c r="B39" s="61">
        <v>3553.6864700000001</v>
      </c>
      <c r="C39" s="93" t="s">
        <v>229</v>
      </c>
      <c r="D39" s="61">
        <f>IF(1437.18489="","-",1437.18489/2890255.78537*100)</f>
        <v>4.9725179939948357E-2</v>
      </c>
      <c r="E39" s="61">
        <f>IF(3553.68647="","-",3553.68647/3828259.07614*100)</f>
        <v>9.2827742305861674E-2</v>
      </c>
    </row>
    <row r="40" spans="1:5" x14ac:dyDescent="0.25">
      <c r="A40" s="43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1"/>
  <sheetViews>
    <sheetView topLeftCell="A34" zoomScaleNormal="100" workbookViewId="0">
      <selection activeCell="D32" sqref="D32"/>
    </sheetView>
  </sheetViews>
  <sheetFormatPr defaultRowHeight="15.75" x14ac:dyDescent="0.25"/>
  <cols>
    <col min="1" max="1" width="5.625" customWidth="1"/>
    <col min="2" max="2" width="26.75" customWidth="1"/>
    <col min="3" max="3" width="11.5" customWidth="1"/>
    <col min="4" max="4" width="10.375" customWidth="1"/>
    <col min="5" max="5" width="7.75" customWidth="1"/>
    <col min="6" max="6" width="7.875" customWidth="1"/>
    <col min="7" max="8" width="8.625" customWidth="1"/>
    <col min="10" max="10" width="9.125" customWidth="1"/>
  </cols>
  <sheetData>
    <row r="1" spans="1:11" x14ac:dyDescent="0.25">
      <c r="B1" s="112" t="s">
        <v>148</v>
      </c>
      <c r="C1" s="112"/>
      <c r="D1" s="112"/>
      <c r="E1" s="112"/>
      <c r="F1" s="112"/>
      <c r="G1" s="112"/>
      <c r="H1" s="112"/>
    </row>
    <row r="2" spans="1:11" x14ac:dyDescent="0.25">
      <c r="B2" s="112" t="s">
        <v>314</v>
      </c>
      <c r="C2" s="112"/>
      <c r="D2" s="112"/>
      <c r="E2" s="112"/>
      <c r="F2" s="112"/>
      <c r="G2" s="112"/>
      <c r="H2" s="112"/>
    </row>
    <row r="3" spans="1:11" x14ac:dyDescent="0.25">
      <c r="B3" s="6"/>
    </row>
    <row r="4" spans="1:11" ht="57" customHeight="1" x14ac:dyDescent="0.25">
      <c r="A4" s="120" t="s">
        <v>239</v>
      </c>
      <c r="B4" s="123"/>
      <c r="C4" s="126" t="s">
        <v>349</v>
      </c>
      <c r="D4" s="118"/>
      <c r="E4" s="126" t="s">
        <v>0</v>
      </c>
      <c r="F4" s="118"/>
      <c r="G4" s="115" t="s">
        <v>106</v>
      </c>
      <c r="H4" s="127"/>
    </row>
    <row r="5" spans="1:11" ht="19.5" customHeight="1" x14ac:dyDescent="0.25">
      <c r="A5" s="121"/>
      <c r="B5" s="124"/>
      <c r="C5" s="128" t="s">
        <v>110</v>
      </c>
      <c r="D5" s="113" t="s">
        <v>350</v>
      </c>
      <c r="E5" s="130" t="s">
        <v>351</v>
      </c>
      <c r="F5" s="130"/>
      <c r="G5" s="130" t="s">
        <v>356</v>
      </c>
      <c r="H5" s="126"/>
    </row>
    <row r="6" spans="1:11" ht="22.5" customHeight="1" x14ac:dyDescent="0.25">
      <c r="A6" s="122"/>
      <c r="B6" s="125"/>
      <c r="C6" s="129"/>
      <c r="D6" s="114"/>
      <c r="E6" s="21">
        <v>2020</v>
      </c>
      <c r="F6" s="21">
        <v>2021</v>
      </c>
      <c r="G6" s="21">
        <v>2020</v>
      </c>
      <c r="H6" s="17">
        <v>2021</v>
      </c>
    </row>
    <row r="7" spans="1:11" ht="16.5" customHeight="1" x14ac:dyDescent="0.25">
      <c r="A7" s="47"/>
      <c r="B7" s="64" t="s">
        <v>100</v>
      </c>
      <c r="C7" s="51">
        <v>1572447.88026</v>
      </c>
      <c r="D7" s="52">
        <f>IF(1361306.86729="","-",1572447.88026/1361306.86729*100)</f>
        <v>115.51017026677648</v>
      </c>
      <c r="E7" s="52">
        <v>100</v>
      </c>
      <c r="F7" s="52">
        <v>100</v>
      </c>
      <c r="G7" s="52">
        <f>IF(1581380.128="","-",(1361306.86729-1581380.128)/1581380.128*100)</f>
        <v>-13.916531314221753</v>
      </c>
      <c r="H7" s="52">
        <f>IF(1361306.86729="","-",(1572447.88026-1361306.86729)/1361306.86729*100)</f>
        <v>15.510170266776488</v>
      </c>
    </row>
    <row r="8" spans="1:11" ht="16.5" customHeight="1" x14ac:dyDescent="0.25">
      <c r="A8" s="37" t="s">
        <v>240</v>
      </c>
      <c r="B8" s="38" t="s">
        <v>198</v>
      </c>
      <c r="C8" s="35">
        <v>288529.22681000002</v>
      </c>
      <c r="D8" s="56">
        <f>IF(350635.58431="","-",288529.22681/350635.58431*100)</f>
        <v>82.287491549890376</v>
      </c>
      <c r="E8" s="56">
        <f>IF(350635.58431="","-",350635.58431/1361306.86729*100)</f>
        <v>25.757277270482167</v>
      </c>
      <c r="F8" s="56">
        <f>IF(288529.22681="","-",288529.22681/1572447.88026*100)</f>
        <v>18.349048666865354</v>
      </c>
      <c r="G8" s="56">
        <f>IF(1581380.128="","-",(350635.58431-342973.06495)/1581380.128*100)</f>
        <v>0.4845463291416785</v>
      </c>
      <c r="H8" s="56">
        <f>IF(1361306.86729="","-",(288529.22681-350635.58431)/1361306.86729*100)</f>
        <v>-4.5622599130523174</v>
      </c>
    </row>
    <row r="9" spans="1:11" ht="13.5" customHeight="1" x14ac:dyDescent="0.25">
      <c r="A9" s="39" t="s">
        <v>241</v>
      </c>
      <c r="B9" s="40" t="s">
        <v>23</v>
      </c>
      <c r="C9" s="36">
        <v>6461.9565400000001</v>
      </c>
      <c r="D9" s="58">
        <f>IF(OR(7626.76778="",6461.95654=""),"-",6461.95654/7626.76778*100)</f>
        <v>84.72732783270871</v>
      </c>
      <c r="E9" s="58">
        <f>IF(7626.76778="","-",7626.76778/1361306.86729*100)</f>
        <v>0.56025338322011597</v>
      </c>
      <c r="F9" s="58">
        <f>IF(6461.95654="","-",6461.95654/1572447.88026*100)</f>
        <v>0.41094885376623952</v>
      </c>
      <c r="G9" s="58">
        <f>IF(OR(1581380.128="",6740.30453="",7626.76778=""),"-",(7626.76778-6740.30453)/1581380.128*100)</f>
        <v>5.6056303876862668E-2</v>
      </c>
      <c r="H9" s="58">
        <f>IF(OR(1361306.86729="",6461.95654="",7626.76778=""),"-",(6461.95654-7626.76778)/1361306.86729*100)</f>
        <v>-8.5565662525366487E-2</v>
      </c>
      <c r="I9" s="37"/>
      <c r="J9" s="38"/>
      <c r="K9" s="35"/>
    </row>
    <row r="10" spans="1:11" x14ac:dyDescent="0.25">
      <c r="A10" s="39" t="s">
        <v>242</v>
      </c>
      <c r="B10" s="40" t="s">
        <v>199</v>
      </c>
      <c r="C10" s="36">
        <v>4079.4605000000001</v>
      </c>
      <c r="D10" s="58" t="s">
        <v>20</v>
      </c>
      <c r="E10" s="58">
        <f>IF(2084.75787="","-",2084.75787/1361306.86729*100)</f>
        <v>0.15314385904408157</v>
      </c>
      <c r="F10" s="58">
        <f>IF(4079.4605="","-",4079.4605/1572447.88026*100)</f>
        <v>0.25943374983757633</v>
      </c>
      <c r="G10" s="58">
        <f>IF(OR(1581380.128="",3512.08292="",2084.75787=""),"-",(2084.75787-3512.08292)/1581380.128*100)</f>
        <v>-9.0258188067986134E-2</v>
      </c>
      <c r="H10" s="58">
        <f>IF(OR(1361306.86729="",4079.4605="",2084.75787=""),"-",(4079.4605-2084.75787)/1361306.86729*100)</f>
        <v>0.14652850712278581</v>
      </c>
      <c r="I10" s="39"/>
      <c r="J10" s="40"/>
      <c r="K10" s="36"/>
    </row>
    <row r="11" spans="1:11" s="7" customFormat="1" x14ac:dyDescent="0.25">
      <c r="A11" s="39" t="s">
        <v>243</v>
      </c>
      <c r="B11" s="40" t="s">
        <v>200</v>
      </c>
      <c r="C11" s="36">
        <v>6298.6647700000003</v>
      </c>
      <c r="D11" s="58">
        <f>IF(OR(6013.07989="",6298.66477=""),"-",6298.66477/6013.07989*100)</f>
        <v>104.7493944072644</v>
      </c>
      <c r="E11" s="58">
        <f>IF(6013.07989="","-",6013.07989/1361306.86729*100)</f>
        <v>0.44171377038378151</v>
      </c>
      <c r="F11" s="58">
        <f>IF(6298.66477="","-",6298.66477/1572447.88026*100)</f>
        <v>0.40056429526672344</v>
      </c>
      <c r="G11" s="58">
        <f>IF(OR(1581380.128="",9966.95342="",6013.07989=""),"-",(6013.07989-9966.95342)/1581380.128*100)</f>
        <v>-0.25002676206640684</v>
      </c>
      <c r="H11" s="58">
        <f>IF(OR(1361306.86729="",6298.66477="",6013.07989=""),"-",(6298.66477-6013.07989)/1361306.86729*100)</f>
        <v>2.0978729106724034E-2</v>
      </c>
      <c r="I11" s="39"/>
      <c r="J11" s="40"/>
      <c r="K11" s="36"/>
    </row>
    <row r="12" spans="1:11" s="7" customFormat="1" x14ac:dyDescent="0.25">
      <c r="A12" s="39" t="s">
        <v>244</v>
      </c>
      <c r="B12" s="40" t="s">
        <v>201</v>
      </c>
      <c r="C12" s="36">
        <v>39.491880000000002</v>
      </c>
      <c r="D12" s="58" t="s">
        <v>384</v>
      </c>
      <c r="E12" s="58">
        <f>IF(2.95359="","-",2.95359/1361306.86729*100)</f>
        <v>2.1696724456255869E-4</v>
      </c>
      <c r="F12" s="58">
        <f>IF(39.49188="","-",39.49188/1572447.88026*100)</f>
        <v>2.5114905553162196E-3</v>
      </c>
      <c r="G12" s="58">
        <f>IF(OR(1581380.128="",19.48475="",2.95359=""),"-",(2.95359-19.48475)/1581380.128*100)</f>
        <v>-1.0453628262615932E-3</v>
      </c>
      <c r="H12" s="58">
        <f>IF(OR(1361306.86729="",39.49188="",2.95359=""),"-",(39.49188-2.95359)/1361306.86729*100)</f>
        <v>2.6840597721172173E-3</v>
      </c>
      <c r="I12" s="39"/>
      <c r="J12" s="40"/>
      <c r="K12" s="36"/>
    </row>
    <row r="13" spans="1:11" s="7" customFormat="1" x14ac:dyDescent="0.25">
      <c r="A13" s="39" t="s">
        <v>245</v>
      </c>
      <c r="B13" s="40" t="s">
        <v>202</v>
      </c>
      <c r="C13" s="36">
        <v>90802.52721</v>
      </c>
      <c r="D13" s="58">
        <f>IF(OR(120020.9477="",90802.52721=""),"-",90802.52721/120020.9477*100)</f>
        <v>75.655565924180749</v>
      </c>
      <c r="E13" s="58">
        <f>IF(120020.9477="","-",120020.9477/1361306.86729*100)</f>
        <v>8.8165975346124412</v>
      </c>
      <c r="F13" s="58">
        <f>IF(90802.52721="","-",90802.52721/1572447.88026*100)</f>
        <v>5.7745969421247878</v>
      </c>
      <c r="G13" s="58">
        <f>IF(OR(1581380.128="",143626.11159="",120020.9477=""),"-",(120020.9477-143626.11159)/1581380.128*100)</f>
        <v>-1.4926938483698957</v>
      </c>
      <c r="H13" s="58">
        <f>IF(OR(1361306.86729="",90802.52721="",120020.9477=""),"-",(90802.52721-120020.9477)/1361306.86729*100)</f>
        <v>-2.1463507745440316</v>
      </c>
      <c r="I13" s="39"/>
      <c r="J13" s="40"/>
      <c r="K13" s="36"/>
    </row>
    <row r="14" spans="1:11" s="7" customFormat="1" ht="15.75" customHeight="1" x14ac:dyDescent="0.25">
      <c r="A14" s="39" t="s">
        <v>246</v>
      </c>
      <c r="B14" s="40" t="s">
        <v>203</v>
      </c>
      <c r="C14" s="36">
        <v>153448.84495</v>
      </c>
      <c r="D14" s="58">
        <f>IF(OR(180542.78979="",153448.84495=""),"-",153448.84495/180542.78979*100)</f>
        <v>84.993061826775488</v>
      </c>
      <c r="E14" s="58">
        <f>IF(180542.78979="","-",180542.78979/1361306.86729*100)</f>
        <v>13.262460810868653</v>
      </c>
      <c r="F14" s="58">
        <f>IF(153448.84495="","-",153448.84495/1572447.88026*100)</f>
        <v>9.758596572665267</v>
      </c>
      <c r="G14" s="58">
        <f>IF(OR(1581380.128="",152193.17846="",180542.78979=""),"-",(180542.78979-152193.17846)/1581380.128*100)</f>
        <v>1.7927132653332554</v>
      </c>
      <c r="H14" s="58">
        <f>IF(OR(1361306.86729="",153448.84495="",180542.78979=""),"-",(153448.84495-180542.78979)/1361306.86729*100)</f>
        <v>-1.9902892941351902</v>
      </c>
      <c r="I14" s="39"/>
      <c r="J14" s="40"/>
      <c r="K14" s="36"/>
    </row>
    <row r="15" spans="1:11" s="7" customFormat="1" ht="25.5" x14ac:dyDescent="0.25">
      <c r="A15" s="39" t="s">
        <v>247</v>
      </c>
      <c r="B15" s="40" t="s">
        <v>161</v>
      </c>
      <c r="C15" s="36">
        <v>8199.9906699999992</v>
      </c>
      <c r="D15" s="58">
        <f>IF(OR(11237.20836="",8199.99067=""),"-",8199.99067/11237.20836*100)</f>
        <v>72.971777396143239</v>
      </c>
      <c r="E15" s="58">
        <f>IF(11237.20836="","-",11237.20836/1361306.86729*100)</f>
        <v>0.82547209817359513</v>
      </c>
      <c r="F15" s="58">
        <f>IF(8199.99067="","-",8199.99067/1572447.88026*100)</f>
        <v>0.52147932996317525</v>
      </c>
      <c r="G15" s="58">
        <f>IF(OR(1581380.128="",7923.70619="",11237.20836=""),"-",(11237.20836-7923.70619)/1581380.128*100)</f>
        <v>0.20953230101548367</v>
      </c>
      <c r="H15" s="58">
        <f>IF(OR(1361306.86729="",8199.99067="",11237.20836=""),"-",(8199.99067-11237.20836)/1361306.86729*100)</f>
        <v>-0.22311043622708629</v>
      </c>
      <c r="I15" s="39"/>
      <c r="J15" s="40"/>
      <c r="K15" s="36"/>
    </row>
    <row r="16" spans="1:11" s="7" customFormat="1" ht="25.5" x14ac:dyDescent="0.25">
      <c r="A16" s="39" t="s">
        <v>248</v>
      </c>
      <c r="B16" s="40" t="s">
        <v>204</v>
      </c>
      <c r="C16" s="36">
        <v>5289.7204099999999</v>
      </c>
      <c r="D16" s="58">
        <f>IF(OR(4235.95436="",5289.72041=""),"-",5289.72041/4235.95436*100)</f>
        <v>124.87670924764167</v>
      </c>
      <c r="E16" s="58">
        <f>IF(4235.95436="","-",4235.95436/1361306.86729*100)</f>
        <v>0.3111682209047148</v>
      </c>
      <c r="F16" s="58">
        <f>IF(5289.72041="","-",5289.72041/1572447.88026*100)</f>
        <v>0.33640036508716326</v>
      </c>
      <c r="G16" s="58">
        <f>IF(OR(1581380.128="",5398.24957="",4235.95436=""),"-",(4235.95436-5398.24957)/1581380.128*100)</f>
        <v>-7.3498786877382594E-2</v>
      </c>
      <c r="H16" s="58">
        <f>IF(OR(1361306.86729="",5289.72041="",4235.95436=""),"-",(5289.72041-4235.95436)/1361306.86729*100)</f>
        <v>7.7408413585525221E-2</v>
      </c>
      <c r="I16" s="39"/>
      <c r="J16" s="40"/>
      <c r="K16" s="36"/>
    </row>
    <row r="17" spans="1:11" s="7" customFormat="1" ht="25.5" x14ac:dyDescent="0.25">
      <c r="A17" s="39" t="s">
        <v>249</v>
      </c>
      <c r="B17" s="40" t="s">
        <v>162</v>
      </c>
      <c r="C17" s="36">
        <v>10800.61406</v>
      </c>
      <c r="D17" s="58">
        <f>IF(OR(16989.03091="",10800.61406=""),"-",10800.61406/16989.03091*100)</f>
        <v>63.574044436181431</v>
      </c>
      <c r="E17" s="58">
        <f>IF(16989.03091="","-",16989.03091/1361306.86729*100)</f>
        <v>1.2479942119017327</v>
      </c>
      <c r="F17" s="58">
        <f>IF(10800.61406="","-",10800.61406/1572447.88026*100)</f>
        <v>0.68686626727584432</v>
      </c>
      <c r="G17" s="58">
        <f>IF(OR(1581380.128="",11863.79031="",16989.03091=""),"-",(16989.03091-11863.79031)/1581380.128*100)</f>
        <v>0.32409921620059723</v>
      </c>
      <c r="H17" s="58">
        <f>IF(OR(1361306.86729="",10800.61406="",16989.03091=""),"-",(10800.61406-16989.03091)/1361306.86729*100)</f>
        <v>-0.45459381706635288</v>
      </c>
      <c r="I17" s="39"/>
      <c r="J17" s="40"/>
      <c r="K17" s="36"/>
    </row>
    <row r="18" spans="1:11" s="7" customFormat="1" ht="16.5" customHeight="1" x14ac:dyDescent="0.25">
      <c r="A18" s="39" t="s">
        <v>250</v>
      </c>
      <c r="B18" s="40" t="s">
        <v>205</v>
      </c>
      <c r="C18" s="36">
        <v>3107.9558200000001</v>
      </c>
      <c r="D18" s="58" t="s">
        <v>103</v>
      </c>
      <c r="E18" s="58">
        <f>IF(1882.09406="","-",1882.09406/1361306.86729*100)</f>
        <v>0.13825641412848733</v>
      </c>
      <c r="F18" s="58">
        <f>IF(3107.95582="","-",3107.95582/1572447.88026*100)</f>
        <v>0.19765080032325827</v>
      </c>
      <c r="G18" s="58">
        <f>IF(OR(1581380.128="",1729.20321="",1882.09406=""),"-",(1882.09406-1729.20321)/1581380.128*100)</f>
        <v>9.6681909234159792E-3</v>
      </c>
      <c r="H18" s="58">
        <f>IF(OR(1361306.86729="",3107.95582="",1882.09406=""),"-",(3107.95582-1882.09406)/1361306.86729*100)</f>
        <v>9.0050361858554723E-2</v>
      </c>
      <c r="I18" s="39"/>
      <c r="J18" s="40"/>
      <c r="K18" s="36"/>
    </row>
    <row r="19" spans="1:11" s="7" customFormat="1" ht="17.25" customHeight="1" x14ac:dyDescent="0.25">
      <c r="A19" s="37" t="s">
        <v>251</v>
      </c>
      <c r="B19" s="38" t="s">
        <v>206</v>
      </c>
      <c r="C19" s="35">
        <v>116009.50652</v>
      </c>
      <c r="D19" s="56">
        <f>IF(99641.24217="","-",116009.50652/99641.24217*100)</f>
        <v>116.42719820982737</v>
      </c>
      <c r="E19" s="56">
        <f>IF(99641.24217="","-",99641.24217/1361306.86729*100)</f>
        <v>7.3195283564799176</v>
      </c>
      <c r="F19" s="56">
        <f>IF(116009.50652="","-",116009.50652/1572447.88026*100)</f>
        <v>7.3776376296057666</v>
      </c>
      <c r="G19" s="56">
        <f>IF(1581380.128="","-",(99641.24217-122617.1839)/1581380.128*100)</f>
        <v>-1.4529044170460201</v>
      </c>
      <c r="H19" s="56">
        <f>IF(1361306.86729="","-",(116009.50652-99641.24217)/1361306.86729*100)</f>
        <v>1.2023934311434761</v>
      </c>
      <c r="I19" s="39"/>
      <c r="J19" s="40"/>
      <c r="K19" s="36"/>
    </row>
    <row r="20" spans="1:11" s="7" customFormat="1" x14ac:dyDescent="0.25">
      <c r="A20" s="39" t="s">
        <v>252</v>
      </c>
      <c r="B20" s="40" t="s">
        <v>207</v>
      </c>
      <c r="C20" s="36">
        <v>109241.54586</v>
      </c>
      <c r="D20" s="58">
        <f>IF(OR(94501.71456="",109241.54586=""),"-",109241.54586/94501.71456*100)</f>
        <v>115.59742208766122</v>
      </c>
      <c r="E20" s="58">
        <f>IF(94501.71456="","-",94501.71456/1361306.86729*100)</f>
        <v>6.9419847082772588</v>
      </c>
      <c r="F20" s="58">
        <f>IF(109241.54586="","-",109241.54586/1572447.88026*100)</f>
        <v>6.9472284093726024</v>
      </c>
      <c r="G20" s="58">
        <f>IF(OR(1581380.128="",106919.22689="",94501.71456=""),"-",(94501.71456-106919.22689)/1581380.128*100)</f>
        <v>-0.78523260221466573</v>
      </c>
      <c r="H20" s="58">
        <f>IF(OR(1361306.86729="",109241.54586="",94501.71456=""),"-",(109241.54586-94501.71456)/1361306.86729*100)</f>
        <v>1.0827706562109021</v>
      </c>
      <c r="I20" s="37"/>
      <c r="J20" s="38"/>
      <c r="K20" s="35"/>
    </row>
    <row r="21" spans="1:11" s="7" customFormat="1" x14ac:dyDescent="0.25">
      <c r="A21" s="39" t="s">
        <v>253</v>
      </c>
      <c r="B21" s="40" t="s">
        <v>208</v>
      </c>
      <c r="C21" s="36">
        <v>6767.9606599999997</v>
      </c>
      <c r="D21" s="58">
        <f>IF(OR(5139.52761="",6767.96066=""),"-",6767.96066/5139.52761*100)</f>
        <v>131.68448880071296</v>
      </c>
      <c r="E21" s="58">
        <f>IF(5139.52761="","-",5139.52761/1361306.86729*100)</f>
        <v>0.37754364820265934</v>
      </c>
      <c r="F21" s="58">
        <f>IF(6767.96066="","-",6767.96066/1572447.88026*100)</f>
        <v>0.43040922023316514</v>
      </c>
      <c r="G21" s="58">
        <f>IF(OR(1581380.128="",15697.95701="",5139.52761=""),"-",(5139.52761-15697.95701)/1581380.128*100)</f>
        <v>-0.66767181483135474</v>
      </c>
      <c r="H21" s="58">
        <f>IF(OR(1361306.86729="",6767.96066="",5139.52761=""),"-",(6767.96066-5139.52761)/1361306.86729*100)</f>
        <v>0.11962277493257467</v>
      </c>
      <c r="I21" s="39"/>
      <c r="J21" s="40"/>
      <c r="K21" s="36"/>
    </row>
    <row r="22" spans="1:11" s="7" customFormat="1" ht="25.5" x14ac:dyDescent="0.25">
      <c r="A22" s="37" t="s">
        <v>254</v>
      </c>
      <c r="B22" s="38" t="s">
        <v>24</v>
      </c>
      <c r="C22" s="35">
        <v>152118.49853000001</v>
      </c>
      <c r="D22" s="56">
        <f>IF(120920.851="","-",152118.49853/120920.851*100)</f>
        <v>125.80005621197623</v>
      </c>
      <c r="E22" s="56">
        <f>IF(120920.851="","-",120920.851/1361306.86729*100)</f>
        <v>8.8827033717034922</v>
      </c>
      <c r="F22" s="56">
        <f>IF(152118.49853="","-",152118.49853/1572447.88026*100)</f>
        <v>9.6739930422907001</v>
      </c>
      <c r="G22" s="56">
        <f>IF(1581380.128="","-",(120920.851-165068.42601)/1581380.128*100)</f>
        <v>-2.7917117603997106</v>
      </c>
      <c r="H22" s="56">
        <f>IF(1361306.86729="","-",(152118.49853-120920.851)/1361306.86729*100)</f>
        <v>2.291742463042608</v>
      </c>
      <c r="I22" s="39"/>
      <c r="J22" s="40"/>
      <c r="K22" s="36"/>
    </row>
    <row r="23" spans="1:11" s="7" customFormat="1" ht="15" customHeight="1" x14ac:dyDescent="0.25">
      <c r="A23" s="39" t="s">
        <v>255</v>
      </c>
      <c r="B23" s="40" t="s">
        <v>215</v>
      </c>
      <c r="C23" s="36">
        <v>836.96131000000003</v>
      </c>
      <c r="D23" s="58">
        <f>IF(OR(795.9297="",836.96131=""),"-",836.96131/795.9297*100)</f>
        <v>105.1551801622681</v>
      </c>
      <c r="E23" s="58">
        <f>IF(795.9297="","-",795.9297/1361306.86729*100)</f>
        <v>5.8468058828240868E-2</v>
      </c>
      <c r="F23" s="58">
        <f>IF(836.96131="","-",836.96131/1572447.88026*100)</f>
        <v>5.3226648749821248E-2</v>
      </c>
      <c r="G23" s="58">
        <f>IF(OR(1581380.128="",1010.06232="",795.9297=""),"-",(795.9297-1010.06232)/1581380.128*100)</f>
        <v>-1.3540869535955114E-2</v>
      </c>
      <c r="H23" s="58">
        <f>IF(OR(1361306.86729="",836.96131="",795.9297=""),"-",(836.96131-795.9297)/1361306.86729*100)</f>
        <v>3.0141337699767156E-3</v>
      </c>
      <c r="I23" s="37"/>
      <c r="J23" s="38"/>
      <c r="K23" s="35"/>
    </row>
    <row r="24" spans="1:11" s="7" customFormat="1" ht="15" customHeight="1" x14ac:dyDescent="0.25">
      <c r="A24" s="39" t="s">
        <v>256</v>
      </c>
      <c r="B24" s="40" t="s">
        <v>209</v>
      </c>
      <c r="C24" s="36">
        <v>91973.327149999997</v>
      </c>
      <c r="D24" s="58">
        <f>IF(OR(100590.02753="",91973.32715=""),"-",91973.32715/100590.02753*100)</f>
        <v>91.433842308642213</v>
      </c>
      <c r="E24" s="58">
        <f>IF(100590.02753="","-",100590.02753/1361306.86729*100)</f>
        <v>7.3892250121567375</v>
      </c>
      <c r="F24" s="58">
        <f>IF(91973.32715="","-",91973.32715/1572447.88026*100)</f>
        <v>5.8490540961391009</v>
      </c>
      <c r="G24" s="58">
        <f>IF(OR(1581380.128="",143924.12076="",100590.02753=""),"-",(100590.02753-143924.12076)/1581380.128*100)</f>
        <v>-2.7402705056630117</v>
      </c>
      <c r="H24" s="58">
        <f>IF(OR(1361306.86729="",91973.32715="",100590.02753=""),"-",(91973.32715-100590.02753)/1361306.86729*100)</f>
        <v>-0.6329726667105976</v>
      </c>
      <c r="I24" s="39"/>
      <c r="J24" s="40"/>
      <c r="K24" s="36"/>
    </row>
    <row r="25" spans="1:11" s="7" customFormat="1" ht="25.5" x14ac:dyDescent="0.25">
      <c r="A25" s="39" t="s">
        <v>310</v>
      </c>
      <c r="B25" s="40" t="s">
        <v>210</v>
      </c>
      <c r="C25" s="36">
        <v>0.54017999999999999</v>
      </c>
      <c r="D25" s="58" t="s">
        <v>385</v>
      </c>
      <c r="E25" s="58">
        <f>IF(0.14712="","-",0.14712/1361306.86729*100)</f>
        <v>1.0807262016746953E-5</v>
      </c>
      <c r="F25" s="58">
        <f>IF(0.54018="","-",0.54018/1572447.88026*100)</f>
        <v>3.4352807923317792E-5</v>
      </c>
      <c r="G25" s="58">
        <f>IF(OR(1581380.128="",0.52541="",0.14712=""),"-",(0.14712-0.52541)/1581380.128*100)</f>
        <v>-2.3921509654887988E-5</v>
      </c>
      <c r="H25" s="58">
        <f>IF(OR(1361306.86729="",0.54018="",0.14712=""),"-",(0.54018-0.14712)/1361306.86729*100)</f>
        <v>2.8873724906896113E-5</v>
      </c>
      <c r="I25" s="39"/>
      <c r="J25" s="40"/>
      <c r="K25" s="36"/>
    </row>
    <row r="26" spans="1:11" s="7" customFormat="1" x14ac:dyDescent="0.25">
      <c r="A26" s="39" t="s">
        <v>257</v>
      </c>
      <c r="B26" s="40" t="s">
        <v>211</v>
      </c>
      <c r="C26" s="36">
        <v>1166.1160400000001</v>
      </c>
      <c r="D26" s="58">
        <f>IF(OR(950.80928="",1166.11604=""),"-",1166.11604/950.80928*100)</f>
        <v>122.64457915261409</v>
      </c>
      <c r="E26" s="58">
        <f>IF(950.80928="","-",950.80928/1361306.86729*100)</f>
        <v>6.9845330457548371E-2</v>
      </c>
      <c r="F26" s="58">
        <f>IF(1166.11604="","-",1166.11604/1572447.88026*100)</f>
        <v>7.4159280866414851E-2</v>
      </c>
      <c r="G26" s="58">
        <f>IF(OR(1581380.128="",490.14121="",950.80928=""),"-",(950.80928-490.14121)/1581380.128*100)</f>
        <v>2.9130761278922553E-2</v>
      </c>
      <c r="H26" s="58">
        <f>IF(OR(1361306.86729="",1166.11604="",950.80928=""),"-",(1166.11604-950.80928)/1361306.86729*100)</f>
        <v>1.5816181139864421E-2</v>
      </c>
      <c r="I26" s="39"/>
      <c r="J26" s="40"/>
      <c r="K26" s="36"/>
    </row>
    <row r="27" spans="1:11" s="7" customFormat="1" ht="14.25" customHeight="1" x14ac:dyDescent="0.25">
      <c r="A27" s="39" t="s">
        <v>258</v>
      </c>
      <c r="B27" s="40" t="s">
        <v>163</v>
      </c>
      <c r="C27" s="36">
        <v>2888.0278400000002</v>
      </c>
      <c r="D27" s="58" t="s">
        <v>319</v>
      </c>
      <c r="E27" s="58">
        <f>IF(1055.0354="","-",1055.0354/1361306.86729*100)</f>
        <v>7.7501658542301705E-2</v>
      </c>
      <c r="F27" s="58">
        <f>IF(2888.02784="","-",2888.02784/1572447.88026*100)</f>
        <v>0.1836644556716546</v>
      </c>
      <c r="G27" s="58">
        <f>IF(OR(1581380.128="",1538.12397="",1055.0354=""),"-",(1055.0354-1538.12397)/1581380.128*100)</f>
        <v>-3.054854183674174E-2</v>
      </c>
      <c r="H27" s="58">
        <f>IF(OR(1361306.86729="",2888.02784="",1055.0354=""),"-",(2888.02784-1055.0354)/1361306.86729*100)</f>
        <v>0.13464946692357474</v>
      </c>
      <c r="I27" s="39"/>
      <c r="J27" s="40"/>
      <c r="K27" s="36"/>
    </row>
    <row r="28" spans="1:11" s="7" customFormat="1" ht="38.25" x14ac:dyDescent="0.25">
      <c r="A28" s="39" t="s">
        <v>259</v>
      </c>
      <c r="B28" s="40" t="s">
        <v>164</v>
      </c>
      <c r="C28" s="36">
        <v>151.45474999999999</v>
      </c>
      <c r="D28" s="58" t="s">
        <v>105</v>
      </c>
      <c r="E28" s="58">
        <f>IF(79.42829="","-",79.42829/1361306.86729*100)</f>
        <v>5.8347086838782068E-3</v>
      </c>
      <c r="F28" s="58">
        <f>IF(151.45475="","-",151.45475/1572447.88026*100)</f>
        <v>9.6317818797884338E-3</v>
      </c>
      <c r="G28" s="58">
        <f>IF(OR(1581380.128="",219.24078="",79.42829=""),"-",(79.42829-219.24078)/1581380.128*100)</f>
        <v>-8.8411690222023592E-3</v>
      </c>
      <c r="H28" s="58">
        <f>IF(OR(1361306.86729="",151.45475="",79.42829=""),"-",(151.45475-79.42829)/1361306.86729*100)</f>
        <v>5.2909789651899367E-3</v>
      </c>
      <c r="I28" s="39"/>
      <c r="J28" s="40"/>
      <c r="K28" s="36"/>
    </row>
    <row r="29" spans="1:11" s="7" customFormat="1" ht="38.25" x14ac:dyDescent="0.25">
      <c r="A29" s="39" t="s">
        <v>260</v>
      </c>
      <c r="B29" s="40" t="s">
        <v>165</v>
      </c>
      <c r="C29" s="36">
        <v>4565.1589899999999</v>
      </c>
      <c r="D29" s="58">
        <f>IF(OR(4920.45396="",4565.15899=""),"-",4565.15899/4920.45396*100)</f>
        <v>92.779223769019879</v>
      </c>
      <c r="E29" s="58">
        <f>IF(4920.45396="","-",4920.45396/1361306.86729*100)</f>
        <v>0.36145075575761365</v>
      </c>
      <c r="F29" s="58">
        <f>IF(4565.15899="","-",4565.15899/1572447.88026*100)</f>
        <v>0.2903217999979219</v>
      </c>
      <c r="G29" s="58">
        <f>IF(OR(1581380.128="",5710.44612="",4920.45396=""),"-",(4920.45396-5710.44612)/1581380.128*100)</f>
        <v>-4.9955867410520521E-2</v>
      </c>
      <c r="H29" s="58">
        <f>IF(OR(1361306.86729="",4565.15899="",4920.45396=""),"-",(4565.15899-4920.45396)/1361306.86729*100)</f>
        <v>-2.6099550258443766E-2</v>
      </c>
      <c r="I29" s="39"/>
      <c r="J29" s="40"/>
      <c r="K29" s="36"/>
    </row>
    <row r="30" spans="1:11" s="7" customFormat="1" ht="25.5" x14ac:dyDescent="0.25">
      <c r="A30" s="39" t="s">
        <v>261</v>
      </c>
      <c r="B30" s="40" t="s">
        <v>166</v>
      </c>
      <c r="C30" s="36">
        <v>48461.09173</v>
      </c>
      <c r="D30" s="58" t="s">
        <v>386</v>
      </c>
      <c r="E30" s="58">
        <f>IF(9814.84916="","-",9814.84916/1361306.86729*100)</f>
        <v>0.72098726568086402</v>
      </c>
      <c r="F30" s="58">
        <f>IF(48461.09173="","-",48461.09173/1572447.88026*100)</f>
        <v>3.0818885852030333</v>
      </c>
      <c r="G30" s="58">
        <f>IF(OR(1581380.128="",9834.49189="",9814.84916=""),"-",(9814.84916-9834.49189)/1581380.128*100)</f>
        <v>-1.2421257642109167E-3</v>
      </c>
      <c r="H30" s="58">
        <f>IF(OR(1361306.86729="",48461.09173="",9814.84916=""),"-",(48461.09173-9814.84916)/1361306.86729*100)</f>
        <v>2.8389074865195085</v>
      </c>
      <c r="I30" s="39"/>
      <c r="J30" s="40"/>
      <c r="K30" s="36"/>
    </row>
    <row r="31" spans="1:11" s="7" customFormat="1" ht="25.5" x14ac:dyDescent="0.25">
      <c r="A31" s="39" t="s">
        <v>262</v>
      </c>
      <c r="B31" s="40" t="s">
        <v>167</v>
      </c>
      <c r="C31" s="36">
        <v>2075.8205400000002</v>
      </c>
      <c r="D31" s="58">
        <f>IF(OR(2714.17056="",2075.82054=""),"-",2075.82054/2714.17056*100)</f>
        <v>76.480843562019928</v>
      </c>
      <c r="E31" s="58">
        <f>IF(2714.17056="","-",2714.17056/1361306.86729*100)</f>
        <v>0.19937977433429041</v>
      </c>
      <c r="F31" s="58">
        <f>IF(2075.82054="","-",2075.82054/1572447.88026*100)</f>
        <v>0.13201204097504135</v>
      </c>
      <c r="G31" s="58">
        <f>IF(OR(1581380.128="",2341.27355="",2714.17056=""),"-",(2714.17056-2341.27355)/1581380.128*100)</f>
        <v>2.3580479063665085E-2</v>
      </c>
      <c r="H31" s="58">
        <f>IF(OR(1361306.86729="",2075.82054="",2714.17056=""),"-",(2075.82054-2714.17056)/1361306.86729*100)</f>
        <v>-4.6892441031373404E-2</v>
      </c>
      <c r="I31" s="39"/>
      <c r="J31" s="40"/>
      <c r="K31" s="36"/>
    </row>
    <row r="32" spans="1:11" s="7" customFormat="1" ht="25.5" x14ac:dyDescent="0.25">
      <c r="A32" s="37" t="s">
        <v>263</v>
      </c>
      <c r="B32" s="38" t="s">
        <v>168</v>
      </c>
      <c r="C32" s="35">
        <v>13740.39546</v>
      </c>
      <c r="D32" s="56" t="s">
        <v>386</v>
      </c>
      <c r="E32" s="56">
        <f>IF(2812.24645="","-",2812.24645/1361306.86729*100)</f>
        <v>0.20658431376302647</v>
      </c>
      <c r="F32" s="56">
        <f>IF(13740.39546="","-",13740.39546/1572447.88026*100)</f>
        <v>0.8738219964230588</v>
      </c>
      <c r="G32" s="56">
        <f>IF(1581380.128="","-",(2812.24645-7910.41613)/1581380.128*100)</f>
        <v>-0.32238736213586711</v>
      </c>
      <c r="H32" s="56">
        <f>IF(1361306.86729="","-",(13740.39546-2812.24645)/1361306.86729*100)</f>
        <v>0.80276896213379423</v>
      </c>
      <c r="I32" s="39"/>
      <c r="J32" s="40"/>
      <c r="K32" s="36"/>
    </row>
    <row r="33" spans="1:11" s="7" customFormat="1" x14ac:dyDescent="0.25">
      <c r="A33" s="39" t="s">
        <v>264</v>
      </c>
      <c r="B33" s="40" t="s">
        <v>212</v>
      </c>
      <c r="C33" s="36">
        <v>379.90658000000002</v>
      </c>
      <c r="D33" s="58" t="s">
        <v>387</v>
      </c>
      <c r="E33" s="58">
        <f>IF(56.85568="","-",56.85568/1361306.86729*100)</f>
        <v>4.1765513247710665E-3</v>
      </c>
      <c r="F33" s="58">
        <f>IF(379.90658="","-",379.90658/1572447.88026*100)</f>
        <v>2.4160201731912634E-2</v>
      </c>
      <c r="G33" s="58">
        <f>IF(OR(1581380.128="",0.09731="",56.85568=""),"-",(56.85568-0.09731)/1581380.128*100)</f>
        <v>3.5891667661072314E-3</v>
      </c>
      <c r="H33" s="58">
        <f>IF(OR(1361306.86729="",379.90658="",56.85568=""),"-",(379.90658-56.85568)/1361306.86729*100)</f>
        <v>2.3730938832557898E-2</v>
      </c>
      <c r="I33" s="37"/>
      <c r="J33" s="38"/>
      <c r="K33" s="35"/>
    </row>
    <row r="34" spans="1:11" s="7" customFormat="1" ht="25.5" x14ac:dyDescent="0.25">
      <c r="A34" s="39" t="s">
        <v>265</v>
      </c>
      <c r="B34" s="40" t="s">
        <v>169</v>
      </c>
      <c r="C34" s="36">
        <v>13357.155549999999</v>
      </c>
      <c r="D34" s="58" t="s">
        <v>339</v>
      </c>
      <c r="E34" s="58">
        <f>IF(2300.91647="","-",2300.91647/1361306.86729*100)</f>
        <v>0.16902261534759705</v>
      </c>
      <c r="F34" s="58">
        <f>IF(13357.15555="","-",13357.15555/1572447.88026*100)</f>
        <v>0.84944981119446894</v>
      </c>
      <c r="G34" s="58">
        <f>IF(OR(1581380.128="",7906.0721="",2300.91647=""),"-",(2300.91647-7906.0721)/1581380.128*100)</f>
        <v>-0.35444707637049555</v>
      </c>
      <c r="H34" s="58">
        <f>IF(OR(1361306.86729="",13357.15555="",2300.91647=""),"-",(13357.15555-2300.91647)/1361306.86729*100)</f>
        <v>0.81217830789394541</v>
      </c>
      <c r="I34" s="39"/>
      <c r="J34" s="40"/>
      <c r="K34" s="36"/>
    </row>
    <row r="35" spans="1:11" s="7" customFormat="1" x14ac:dyDescent="0.25">
      <c r="A35" s="39" t="s">
        <v>321</v>
      </c>
      <c r="B35" s="40" t="s">
        <v>322</v>
      </c>
      <c r="C35" s="36">
        <v>3.3333300000000001</v>
      </c>
      <c r="D35" s="58">
        <f>IF(OR(4.46062="",3.33333=""),"-",3.33333/4.46062*100)</f>
        <v>74.727952616452427</v>
      </c>
      <c r="E35" s="58">
        <f>IF(4.46062="","-",4.46062/1361306.86729*100)</f>
        <v>3.2767189435251346E-4</v>
      </c>
      <c r="F35" s="58">
        <f>IF(3.33333="","-",3.33333/1572447.88026*100)</f>
        <v>2.1198349667709453E-4</v>
      </c>
      <c r="G35" s="58">
        <f>IF(OR(1581380.128="",4.24672="",4.46062=""),"-",(4.46062-4.24672)/1581380.128*100)</f>
        <v>1.3526159600255187E-5</v>
      </c>
      <c r="H35" s="58">
        <f>IF(OR(1361306.86729="",3.33333="",4.46062=""),"-",(3.33333-4.46062)/1361306.86729*100)</f>
        <v>-8.2809396403335137E-5</v>
      </c>
      <c r="I35" s="39"/>
      <c r="J35" s="40"/>
      <c r="K35" s="36"/>
    </row>
    <row r="36" spans="1:11" s="7" customFormat="1" ht="25.5" x14ac:dyDescent="0.25">
      <c r="A36" s="37" t="s">
        <v>266</v>
      </c>
      <c r="B36" s="38" t="s">
        <v>170</v>
      </c>
      <c r="C36" s="35">
        <v>44315.015789999998</v>
      </c>
      <c r="D36" s="56">
        <f>IF(68414.48046="","-",44315.01579/68414.48046*100)</f>
        <v>64.774321886299674</v>
      </c>
      <c r="E36" s="56">
        <f>IF(68414.48046="","-",68414.48046/1361306.86729*100)</f>
        <v>5.0256472000464552</v>
      </c>
      <c r="F36" s="56">
        <f>IF(44315.01579="","-",44315.01579/1572447.88026*100)</f>
        <v>2.8182184189578754</v>
      </c>
      <c r="G36" s="56">
        <f>IF(1581380.128="","-",(68414.48046-34819.82109)/1581380.128*100)</f>
        <v>2.1243886131595557</v>
      </c>
      <c r="H36" s="56">
        <f>IF(1361306.86729="","-",(44315.01579-68414.48046)/1361306.86729*100)</f>
        <v>-1.7703183058185574</v>
      </c>
      <c r="I36" s="39"/>
      <c r="J36" s="40"/>
      <c r="K36" s="36"/>
    </row>
    <row r="37" spans="1:11" s="7" customFormat="1" x14ac:dyDescent="0.25">
      <c r="A37" s="39" t="s">
        <v>267</v>
      </c>
      <c r="B37" s="40" t="s">
        <v>216</v>
      </c>
      <c r="C37" s="36">
        <v>4.8150199999999996</v>
      </c>
      <c r="D37" s="58" t="s">
        <v>103</v>
      </c>
      <c r="E37" s="58">
        <f>IF(2.8399="","-",2.8399/1361306.86729*100)</f>
        <v>2.0861571099347248E-4</v>
      </c>
      <c r="F37" s="58">
        <f>IF(4.81502="","-",4.81502/1572447.88026*100)</f>
        <v>3.0621173906278208E-4</v>
      </c>
      <c r="G37" s="58" t="str">
        <f>IF(OR(1581380.128="",""="",2.8399=""),"-",(2.8399-"")/1581380.128*100)</f>
        <v>-</v>
      </c>
      <c r="H37" s="58">
        <f>IF(OR(1361306.86729="",4.81502="",2.8399=""),"-",(4.81502-2.8399)/1361306.86729*100)</f>
        <v>1.4508999017480447E-4</v>
      </c>
      <c r="I37" s="37"/>
      <c r="J37" s="38"/>
      <c r="K37" s="35"/>
    </row>
    <row r="38" spans="1:11" s="7" customFormat="1" ht="25.5" x14ac:dyDescent="0.25">
      <c r="A38" s="39" t="s">
        <v>268</v>
      </c>
      <c r="B38" s="40" t="s">
        <v>171</v>
      </c>
      <c r="C38" s="36">
        <v>44306.638440000002</v>
      </c>
      <c r="D38" s="58">
        <f>IF(OR(68386.69222="",44306.63844=""),"-",44306.63844/68386.69222*100)</f>
        <v>64.788392305136711</v>
      </c>
      <c r="E38" s="58">
        <f>IF(68386.69222="","-",68386.69222/1361306.86729*100)</f>
        <v>5.0236059086471609</v>
      </c>
      <c r="F38" s="58">
        <f>IF(44306.63844="","-",44306.63844/1572447.88026*100)</f>
        <v>2.8176856604413509</v>
      </c>
      <c r="G38" s="58">
        <f>IF(OR(1581380.128="",34816.78596="",68386.69222=""),"-",(68386.69222-34816.78596)/1581380.128*100)</f>
        <v>2.1228233279026001</v>
      </c>
      <c r="H38" s="58">
        <f>IF(OR(1361306.86729="",44306.63844="",68386.69222=""),"-",(44306.63844-68386.69222)/1361306.86729*100)</f>
        <v>-1.7688924046888106</v>
      </c>
      <c r="I38" s="39"/>
      <c r="J38" s="40"/>
      <c r="K38" s="36"/>
    </row>
    <row r="39" spans="1:11" s="7" customFormat="1" ht="63.75" x14ac:dyDescent="0.25">
      <c r="A39" s="39" t="s">
        <v>269</v>
      </c>
      <c r="B39" s="40" t="s">
        <v>214</v>
      </c>
      <c r="C39" s="36">
        <v>3.5623300000000002</v>
      </c>
      <c r="D39" s="58">
        <f>IF(OR(24.94834="",3.56233=""),"-",3.56233/24.94834*100)</f>
        <v>14.278825765561956</v>
      </c>
      <c r="E39" s="58">
        <f>IF(24.94834="","-",24.94834/1361306.86729*100)</f>
        <v>1.8326756883013096E-3</v>
      </c>
      <c r="F39" s="58">
        <f>IF(3.56233="","-",3.56233/1572447.88026*100)</f>
        <v>2.2654677746209169E-4</v>
      </c>
      <c r="G39" s="58">
        <f>IF(OR(1581380.128="",3.03513="",24.94834=""),"-",(24.94834-3.03513)/1581380.128*100)</f>
        <v>1.3857016167083138E-3</v>
      </c>
      <c r="H39" s="58">
        <f>IF(OR(1361306.86729="",3.56233="",24.94834=""),"-",(3.56233-24.94834)/1361306.86729*100)</f>
        <v>-1.5709911199209522E-3</v>
      </c>
      <c r="I39" s="39"/>
      <c r="J39" s="40"/>
      <c r="K39" s="36"/>
    </row>
    <row r="40" spans="1:11" s="7" customFormat="1" ht="25.5" x14ac:dyDescent="0.25">
      <c r="A40" s="37" t="s">
        <v>270</v>
      </c>
      <c r="B40" s="38" t="s">
        <v>172</v>
      </c>
      <c r="C40" s="35">
        <v>77843.498439999996</v>
      </c>
      <c r="D40" s="56">
        <f>IF(71492.3567="","-",77843.49844/71492.3567*100)</f>
        <v>108.88366537789625</v>
      </c>
      <c r="E40" s="56">
        <f>IF(71492.3567="","-",71492.3567/1361306.86729*100)</f>
        <v>5.2517443654950684</v>
      </c>
      <c r="F40" s="56">
        <f>IF(77843.49844="","-",77843.49844/1572447.88026*100)</f>
        <v>4.9504660483327934</v>
      </c>
      <c r="G40" s="56">
        <f>IF(1581380.128="","-",(71492.3567-71968.15578)/1581380.128*100)</f>
        <v>-3.0087584355935261E-2</v>
      </c>
      <c r="H40" s="56">
        <f>IF(1361306.86729="","-",(77843.49844-71492.3567)/1361306.86729*100)</f>
        <v>0.46654739593310257</v>
      </c>
      <c r="I40" s="39"/>
      <c r="J40" s="40"/>
      <c r="K40" s="36"/>
    </row>
    <row r="41" spans="1:11" s="7" customFormat="1" x14ac:dyDescent="0.25">
      <c r="A41" s="39" t="s">
        <v>271</v>
      </c>
      <c r="B41" s="40" t="s">
        <v>25</v>
      </c>
      <c r="C41" s="36">
        <v>18439.832839999999</v>
      </c>
      <c r="D41" s="58">
        <f>IF(OR(28693.34155="",18439.83284=""),"-",18439.83284/28693.34155*100)</f>
        <v>64.265198279076003</v>
      </c>
      <c r="E41" s="58">
        <f>IF(28693.34155="","-",28693.34155/1361306.86729*100)</f>
        <v>2.1077790937116783</v>
      </c>
      <c r="F41" s="58">
        <f>IF(18439.83284="","-",18439.83284/1572447.88026*100)</f>
        <v>1.1726832457525411</v>
      </c>
      <c r="G41" s="58">
        <f>IF(OR(1581380.128="",10698.16709="",28693.34155=""),"-",(28693.34155-10698.16709)/1581380.128*100)</f>
        <v>1.1379411022926424</v>
      </c>
      <c r="H41" s="58">
        <f>IF(OR(1361306.86729="",18439.83284="",28693.34155=""),"-",(18439.83284-28693.34155)/1361306.86729*100)</f>
        <v>-0.7532106798529572</v>
      </c>
      <c r="I41" s="37"/>
      <c r="J41" s="38"/>
      <c r="K41" s="35"/>
    </row>
    <row r="42" spans="1:11" s="7" customFormat="1" x14ac:dyDescent="0.25">
      <c r="A42" s="39" t="s">
        <v>272</v>
      </c>
      <c r="B42" s="40" t="s">
        <v>26</v>
      </c>
      <c r="C42" s="36">
        <v>569.92830000000004</v>
      </c>
      <c r="D42" s="58">
        <f>IF(OR(844.22438="",569.9283=""),"-",569.9283/844.22438*100)</f>
        <v>67.509102260230875</v>
      </c>
      <c r="E42" s="58">
        <f>IF(844.22438="","-",844.22438/1361306.86729*100)</f>
        <v>6.2015729170648078E-2</v>
      </c>
      <c r="F42" s="58">
        <f>IF(569.9283="","-",569.9283/1572447.88026*100)</f>
        <v>3.6244654411424049E-2</v>
      </c>
      <c r="G42" s="58">
        <f>IF(OR(1581380.128="",671.723="",844.22438=""),"-",(844.22438-671.723)/1581380.128*100)</f>
        <v>1.090828049155807E-2</v>
      </c>
      <c r="H42" s="58">
        <f>IF(OR(1361306.86729="",569.9283="",844.22438=""),"-",(569.9283-844.22438)/1361306.86729*100)</f>
        <v>-2.0149467147407441E-2</v>
      </c>
      <c r="I42" s="39"/>
      <c r="J42" s="40"/>
      <c r="K42" s="36"/>
    </row>
    <row r="43" spans="1:11" s="7" customFormat="1" x14ac:dyDescent="0.25">
      <c r="A43" s="39" t="s">
        <v>273</v>
      </c>
      <c r="B43" s="40" t="s">
        <v>173</v>
      </c>
      <c r="C43" s="36">
        <v>1434.25559</v>
      </c>
      <c r="D43" s="58" t="s">
        <v>348</v>
      </c>
      <c r="E43" s="58">
        <f>IF(505.95622="","-",505.95622/1361306.86729*100)</f>
        <v>3.7166948331585535E-2</v>
      </c>
      <c r="F43" s="58">
        <f>IF(1434.25559="","-",1434.25559/1572447.88026*100)</f>
        <v>9.1211645740706504E-2</v>
      </c>
      <c r="G43" s="58">
        <f>IF(OR(1581380.128="",556.73996="",505.95622=""),"-",(505.95622-556.73996)/1581380.128*100)</f>
        <v>-3.2113556444032928E-3</v>
      </c>
      <c r="H43" s="58">
        <f>IF(OR(1361306.86729="",1434.25559="",505.95622=""),"-",(1434.25559-505.95622)/1361306.86729*100)</f>
        <v>6.8191778966633518E-2</v>
      </c>
      <c r="I43" s="39"/>
      <c r="J43" s="40"/>
      <c r="K43" s="36"/>
    </row>
    <row r="44" spans="1:11" s="7" customFormat="1" x14ac:dyDescent="0.25">
      <c r="A44" s="39" t="s">
        <v>274</v>
      </c>
      <c r="B44" s="40" t="s">
        <v>174</v>
      </c>
      <c r="C44" s="36">
        <v>44229.56035</v>
      </c>
      <c r="D44" s="58">
        <f>IF(OR(32062.85357="",44229.56035=""),"-",44229.56035/32062.85357*100)</f>
        <v>137.94642530315494</v>
      </c>
      <c r="E44" s="58">
        <f>IF(32062.85357="","-",32062.85357/1361306.86729*100)</f>
        <v>2.3552994802581591</v>
      </c>
      <c r="F44" s="58">
        <f>IF(44229.56035="","-",44229.56035/1572447.88026*100)</f>
        <v>2.8127838706289432</v>
      </c>
      <c r="G44" s="58">
        <f>IF(OR(1581380.128="",48403.15174="",32062.85357=""),"-",(32062.85357-48403.15174)/1581380.128*100)</f>
        <v>-1.0332935061392148</v>
      </c>
      <c r="H44" s="58">
        <f>IF(OR(1361306.86729="",44229.56035="",32062.85357=""),"-",(44229.56035-32062.85357)/1361306.86729*100)</f>
        <v>0.89375195794175921</v>
      </c>
      <c r="I44" s="39"/>
      <c r="J44" s="40"/>
      <c r="K44" s="36"/>
    </row>
    <row r="45" spans="1:11" s="7" customFormat="1" ht="38.25" x14ac:dyDescent="0.25">
      <c r="A45" s="39" t="s">
        <v>275</v>
      </c>
      <c r="B45" s="40" t="s">
        <v>175</v>
      </c>
      <c r="C45" s="36">
        <v>5473.2945</v>
      </c>
      <c r="D45" s="58">
        <f>IF(OR(5613.95799="",5473.2945=""),"-",5473.2945/5613.95799*100)</f>
        <v>97.494397174853106</v>
      </c>
      <c r="E45" s="58">
        <f>IF(5613.95799="","-",5613.95799/1361306.86729*100)</f>
        <v>0.41239474543868992</v>
      </c>
      <c r="F45" s="58">
        <f>IF(5473.2945="","-",5473.2945/1572447.88026*100)</f>
        <v>0.34807478001083286</v>
      </c>
      <c r="G45" s="58">
        <f>IF(OR(1581380.128="",7613.20998="",5613.95799=""),"-",(5613.95799-7613.20998)/1581380.128*100)</f>
        <v>-0.12642450443135958</v>
      </c>
      <c r="H45" s="58">
        <f>IF(OR(1361306.86729="",5473.2945="",5613.95799=""),"-",(5473.2945-5613.95799)/1361306.86729*100)</f>
        <v>-1.0332974392469167E-2</v>
      </c>
      <c r="I45" s="39"/>
      <c r="J45" s="40"/>
      <c r="K45" s="36"/>
    </row>
    <row r="46" spans="1:11" s="7" customFormat="1" x14ac:dyDescent="0.25">
      <c r="A46" s="39" t="s">
        <v>276</v>
      </c>
      <c r="B46" s="40" t="s">
        <v>176</v>
      </c>
      <c r="C46" s="36">
        <v>146.43214</v>
      </c>
      <c r="D46" s="58" t="s">
        <v>388</v>
      </c>
      <c r="E46" s="58">
        <f>IF(0.31069="","-",0.31069/1361306.86729*100)</f>
        <v>2.2822921669270736E-5</v>
      </c>
      <c r="F46" s="58">
        <f>IF(146.43214="","-",146.43214/1572447.88026*100)</f>
        <v>9.3123684313013832E-3</v>
      </c>
      <c r="G46" s="58">
        <f>IF(OR(1581380.128="",24.24707="",0.31069=""),"-",(0.31069-24.24707)/1581380.128*100)</f>
        <v>-1.5136385980942337E-3</v>
      </c>
      <c r="H46" s="58">
        <f>IF(OR(1361306.86729="",146.43214="",0.31069=""),"-",(146.43214-0.31069)/1361306.86729*100)</f>
        <v>1.07339097091965E-2</v>
      </c>
      <c r="I46" s="39"/>
      <c r="J46" s="40"/>
      <c r="K46" s="36"/>
    </row>
    <row r="47" spans="1:11" x14ac:dyDescent="0.25">
      <c r="A47" s="39" t="s">
        <v>277</v>
      </c>
      <c r="B47" s="40" t="s">
        <v>27</v>
      </c>
      <c r="C47" s="36">
        <v>1285.88698</v>
      </c>
      <c r="D47" s="58">
        <f>IF(OR(1190.18841="",1285.88698=""),"-",1285.88698/1190.18841*100)</f>
        <v>108.04062358496668</v>
      </c>
      <c r="E47" s="58">
        <f>IF(1190.18841="","-",1190.18841/1361306.86729*100)</f>
        <v>8.7429839560667813E-2</v>
      </c>
      <c r="F47" s="58">
        <f>IF(1285.88698="","-",1285.88698/1572447.88026*100)</f>
        <v>8.1776127281712005E-2</v>
      </c>
      <c r="G47" s="58">
        <f>IF(OR(1581380.128="",1223.39145="",1190.18841=""),"-",(1190.18841-1223.39145)/1581380.128*100)</f>
        <v>-2.0996242087595084E-3</v>
      </c>
      <c r="H47" s="58">
        <f>IF(OR(1361306.86729="",1285.88698="",1190.18841=""),"-",(1285.88698-1190.18841)/1361306.86729*100)</f>
        <v>7.0299043000135904E-3</v>
      </c>
      <c r="I47" s="39"/>
      <c r="J47" s="40"/>
      <c r="K47" s="36"/>
    </row>
    <row r="48" spans="1:11" x14ac:dyDescent="0.25">
      <c r="A48" s="39" t="s">
        <v>278</v>
      </c>
      <c r="B48" s="40" t="s">
        <v>28</v>
      </c>
      <c r="C48" s="36">
        <v>2509.7926400000001</v>
      </c>
      <c r="D48" s="58" t="s">
        <v>20</v>
      </c>
      <c r="E48" s="58">
        <f>IF(1234.36432="","-",1234.36432/1361306.86729*100)</f>
        <v>9.0674949907311578E-2</v>
      </c>
      <c r="F48" s="58">
        <f>IF(2509.79264="","-",2509.79264/1572447.88026*100)</f>
        <v>0.15961054553903642</v>
      </c>
      <c r="G48" s="58">
        <f>IF(OR(1581380.128="",1513.07389="",1234.36432=""),"-",(1234.36432-1513.07389)/1581380.128*100)</f>
        <v>-1.7624451266659649E-2</v>
      </c>
      <c r="H48" s="58">
        <f>IF(OR(1361306.86729="",2509.79264="",1234.36432=""),"-",(2509.79264-1234.36432)/1361306.86729*100)</f>
        <v>9.3691463008560211E-2</v>
      </c>
      <c r="I48" s="39"/>
      <c r="J48" s="40"/>
      <c r="K48" s="36"/>
    </row>
    <row r="49" spans="1:11" x14ac:dyDescent="0.25">
      <c r="A49" s="39" t="s">
        <v>279</v>
      </c>
      <c r="B49" s="40" t="s">
        <v>177</v>
      </c>
      <c r="C49" s="36">
        <v>3754.5151000000001</v>
      </c>
      <c r="D49" s="58" t="s">
        <v>348</v>
      </c>
      <c r="E49" s="58">
        <f>IF(1347.15957="","-",1347.15957/1361306.86729*100)</f>
        <v>9.8960756194658495E-2</v>
      </c>
      <c r="F49" s="58">
        <f>IF(3754.5151="","-",3754.5151/1572447.88026*100)</f>
        <v>0.23876881053629587</v>
      </c>
      <c r="G49" s="58">
        <f>IF(OR(1581380.128="",1264.4516="",1347.15957=""),"-",(1347.15957-1264.4516)/1581380.128*100)</f>
        <v>5.2301131483549236E-3</v>
      </c>
      <c r="H49" s="58">
        <f>IF(OR(1361306.86729="",3754.5151="",1347.15957=""),"-",(3754.5151-1347.15957)/1361306.86729*100)</f>
        <v>0.17684150339977381</v>
      </c>
      <c r="I49" s="39"/>
      <c r="J49" s="40"/>
      <c r="K49" s="36"/>
    </row>
    <row r="50" spans="1:11" ht="25.5" x14ac:dyDescent="0.25">
      <c r="A50" s="37" t="s">
        <v>280</v>
      </c>
      <c r="B50" s="38" t="s">
        <v>355</v>
      </c>
      <c r="C50" s="35">
        <v>138476.79324</v>
      </c>
      <c r="D50" s="56" t="s">
        <v>234</v>
      </c>
      <c r="E50" s="56">
        <f>IF(90671.42156="","-",90671.42156/1361306.86729*100)</f>
        <v>6.6606158933512685</v>
      </c>
      <c r="F50" s="56">
        <f>IF(138476.79324="","-",138476.79324/1572447.88026*100)</f>
        <v>8.8064472583411302</v>
      </c>
      <c r="G50" s="56">
        <f>IF(1581380.128="","-",(90671.42156-101388.40458)/1581380.128*100)</f>
        <v>-0.67769809612784004</v>
      </c>
      <c r="H50" s="56">
        <f>IF(1361306.86729="","-",(138476.79324-90671.42156)/1361306.86729*100)</f>
        <v>3.5117263292124412</v>
      </c>
      <c r="I50" s="39"/>
      <c r="J50" s="40"/>
      <c r="K50" s="36"/>
    </row>
    <row r="51" spans="1:11" x14ac:dyDescent="0.25">
      <c r="A51" s="39" t="s">
        <v>281</v>
      </c>
      <c r="B51" s="40" t="s">
        <v>178</v>
      </c>
      <c r="C51" s="36">
        <v>658.21113000000003</v>
      </c>
      <c r="D51" s="58" t="s">
        <v>104</v>
      </c>
      <c r="E51" s="58">
        <f>IF(410.14933="","-",410.14933/1361306.86729*100)</f>
        <v>3.0129086971881533E-2</v>
      </c>
      <c r="F51" s="58">
        <f>IF(658.21113="","-",658.21113/1572447.88026*100)</f>
        <v>4.1859010925765411E-2</v>
      </c>
      <c r="G51" s="58">
        <f>IF(OR(1581380.128="",301.93687="",410.14933=""),"-",(410.14933-301.93687)/1581380.128*100)</f>
        <v>6.8429125979253495E-3</v>
      </c>
      <c r="H51" s="58">
        <f>IF(OR(1361306.86729="",658.21113="",410.14933=""),"-",(658.21113-410.14933)/1361306.86729*100)</f>
        <v>1.8222327820458666E-2</v>
      </c>
      <c r="I51" s="37"/>
      <c r="J51" s="38"/>
      <c r="K51" s="35"/>
    </row>
    <row r="52" spans="1:11" x14ac:dyDescent="0.25">
      <c r="A52" s="39" t="s">
        <v>282</v>
      </c>
      <c r="B52" s="40" t="s">
        <v>29</v>
      </c>
      <c r="C52" s="36">
        <v>842.89547000000005</v>
      </c>
      <c r="D52" s="58">
        <f>IF(OR(628.57471="",842.89547=""),"-",842.89547/628.57471*100)</f>
        <v>134.09630654723605</v>
      </c>
      <c r="E52" s="58">
        <f>IF(628.57471="","-",628.57471/1361306.86729*100)</f>
        <v>4.6174358265842375E-2</v>
      </c>
      <c r="F52" s="58">
        <f>IF(842.89547="","-",842.89547/1572447.88026*100)</f>
        <v>5.3604032323197236E-2</v>
      </c>
      <c r="G52" s="58">
        <f>IF(OR(1581380.128="",897.96929="",628.57471=""),"-",(628.57471-897.96929)/1581380.128*100)</f>
        <v>-1.7035409464814015E-2</v>
      </c>
      <c r="H52" s="58">
        <f>IF(OR(1361306.86729="",842.89547="",628.57471=""),"-",(842.89547-628.57471)/1361306.86729*100)</f>
        <v>1.5743750740540647E-2</v>
      </c>
      <c r="I52" s="39"/>
      <c r="J52" s="40"/>
      <c r="K52" s="36"/>
    </row>
    <row r="53" spans="1:11" x14ac:dyDescent="0.25">
      <c r="A53" s="39" t="s">
        <v>283</v>
      </c>
      <c r="B53" s="40" t="s">
        <v>179</v>
      </c>
      <c r="C53" s="36">
        <v>14783.49109</v>
      </c>
      <c r="D53" s="58">
        <f>IF(OR(10365.81717="",14783.49109=""),"-",14783.49109/10365.81717*100)</f>
        <v>142.61771018675992</v>
      </c>
      <c r="E53" s="58">
        <f>IF(10365.81717="","-",10365.81717/1361306.86729*100)</f>
        <v>0.76146072711993185</v>
      </c>
      <c r="F53" s="58">
        <f>IF(14783.49109="","-",14783.49109/1572447.88026*100)</f>
        <v>0.94015778046364173</v>
      </c>
      <c r="G53" s="58">
        <f>IF(OR(1581380.128="",11910.84677="",10365.81717=""),"-",(10365.81717-11910.84677)/1581380.128*100)</f>
        <v>-9.7701341546135814E-2</v>
      </c>
      <c r="H53" s="58">
        <f>IF(OR(1361306.86729="",14783.49109="",10365.81717=""),"-",(14783.49109-10365.81717)/1361306.86729*100)</f>
        <v>0.32451712586996739</v>
      </c>
      <c r="I53" s="39"/>
      <c r="J53" s="40"/>
      <c r="K53" s="36"/>
    </row>
    <row r="54" spans="1:11" ht="25.5" x14ac:dyDescent="0.25">
      <c r="A54" s="39" t="s">
        <v>284</v>
      </c>
      <c r="B54" s="40" t="s">
        <v>180</v>
      </c>
      <c r="C54" s="36">
        <v>6090.5473099999999</v>
      </c>
      <c r="D54" s="58">
        <f>IF(OR(5074.08364="",6090.54731=""),"-",6090.54731/5074.08364*100)</f>
        <v>120.03245791983043</v>
      </c>
      <c r="E54" s="58">
        <f>IF(5074.08364="","-",5074.08364/1361306.86729*100)</f>
        <v>0.37273621120424899</v>
      </c>
      <c r="F54" s="58">
        <f>IF(6090.54731="","-",6090.54731/1572447.88026*100)</f>
        <v>0.38732904196436352</v>
      </c>
      <c r="G54" s="58">
        <f>IF(OR(1581380.128="",6161.97912="",5074.08364=""),"-",(5074.08364-6161.97912)/1581380.128*100)</f>
        <v>-6.8794052785770179E-2</v>
      </c>
      <c r="H54" s="58">
        <f>IF(OR(1361306.86729="",6090.54731="",5074.08364=""),"-",(6090.54731-5074.08364)/1361306.86729*100)</f>
        <v>7.4668224661461446E-2</v>
      </c>
      <c r="I54" s="39"/>
      <c r="J54" s="40"/>
      <c r="K54" s="36"/>
    </row>
    <row r="55" spans="1:11" ht="26.25" customHeight="1" x14ac:dyDescent="0.25">
      <c r="A55" s="39" t="s">
        <v>285</v>
      </c>
      <c r="B55" s="40" t="s">
        <v>181</v>
      </c>
      <c r="C55" s="36">
        <v>47803.039989999997</v>
      </c>
      <c r="D55" s="58" t="s">
        <v>234</v>
      </c>
      <c r="E55" s="58">
        <f>IF(31721.24013="","-",31721.24013/1361306.86729*100)</f>
        <v>2.3302049590882143</v>
      </c>
      <c r="F55" s="58">
        <f>IF(47803.03999="","-",47803.03999/1572447.88026*100)</f>
        <v>3.0400397107022648</v>
      </c>
      <c r="G55" s="58">
        <f>IF(OR(1581380.128="",37459.4278="",31721.24013=""),"-",(31721.24013-37459.4278)/1581380.128*100)</f>
        <v>-0.36285947751583225</v>
      </c>
      <c r="H55" s="58">
        <f>IF(OR(1361306.86729="",47803.03999="",31721.24013=""),"-",(47803.03999-31721.24013)/1361306.86729*100)</f>
        <v>1.1813500869215909</v>
      </c>
      <c r="I55" s="39"/>
      <c r="J55" s="40"/>
      <c r="K55" s="36"/>
    </row>
    <row r="56" spans="1:11" ht="14.25" customHeight="1" x14ac:dyDescent="0.25">
      <c r="A56" s="39" t="s">
        <v>286</v>
      </c>
      <c r="B56" s="40" t="s">
        <v>30</v>
      </c>
      <c r="C56" s="36">
        <v>35994.885159999998</v>
      </c>
      <c r="D56" s="58">
        <f>IF(OR(26210.65428="",35994.88516=""),"-",35994.88516/26210.65428*100)</f>
        <v>137.32921267618198</v>
      </c>
      <c r="E56" s="58">
        <f>IF(26210.65428="","-",26210.65428/1361306.86729*100)</f>
        <v>1.9254038093687458</v>
      </c>
      <c r="F56" s="58">
        <f>IF(35994.88516="","-",35994.88516/1572447.88026*100)</f>
        <v>2.2890987747109524</v>
      </c>
      <c r="G56" s="58">
        <f>IF(OR(1581380.128="",28424.89589="",26210.65428=""),"-",(26210.65428-28424.89589)/1581380.128*100)</f>
        <v>-0.14001956713597966</v>
      </c>
      <c r="H56" s="58">
        <f>IF(OR(1361306.86729="",35994.88516="",26210.65428=""),"-",(35994.88516-26210.65428)/1361306.86729*100)</f>
        <v>0.71873808287456908</v>
      </c>
      <c r="I56" s="39"/>
      <c r="J56" s="40"/>
      <c r="K56" s="36"/>
    </row>
    <row r="57" spans="1:11" ht="15.75" customHeight="1" x14ac:dyDescent="0.25">
      <c r="A57" s="39" t="s">
        <v>287</v>
      </c>
      <c r="B57" s="40" t="s">
        <v>182</v>
      </c>
      <c r="C57" s="36">
        <v>6711.5374300000003</v>
      </c>
      <c r="D57" s="58" t="s">
        <v>389</v>
      </c>
      <c r="E57" s="58">
        <f>IF(929.97616="","-",929.97616/1361306.86729*100)</f>
        <v>6.8314953986189406E-2</v>
      </c>
      <c r="F57" s="58">
        <f>IF(6711.53743="","-",6711.53743/1572447.88026*100)</f>
        <v>0.4268209785681587</v>
      </c>
      <c r="G57" s="58">
        <f>IF(OR(1581380.128="",1958.87386="",929.97616=""),"-",(929.97616-1958.87386)/1581380.128*100)</f>
        <v>-6.5063274906664303E-2</v>
      </c>
      <c r="H57" s="58">
        <f>IF(OR(1361306.86729="",6711.53743="",929.97616=""),"-",(6711.53743-929.97616)/1361306.86729*100)</f>
        <v>0.42470668509221227</v>
      </c>
      <c r="I57" s="39"/>
      <c r="J57" s="40"/>
      <c r="K57" s="36"/>
    </row>
    <row r="58" spans="1:11" x14ac:dyDescent="0.25">
      <c r="A58" s="39" t="s">
        <v>288</v>
      </c>
      <c r="B58" s="40" t="s">
        <v>31</v>
      </c>
      <c r="C58" s="36">
        <v>998.39770999999996</v>
      </c>
      <c r="D58" s="58">
        <f>IF(OR(1082.26928="",998.39771=""),"-",998.39771/1082.26928*100)</f>
        <v>92.250397239400527</v>
      </c>
      <c r="E58" s="58">
        <f>IF(1082.26928="","-",1082.26928/1361306.86729*100)</f>
        <v>7.9502227308564918E-2</v>
      </c>
      <c r="F58" s="58">
        <f>IF(998.39771="","-",998.39771/1572447.88026*100)</f>
        <v>6.3493214785275906E-2</v>
      </c>
      <c r="G58" s="58">
        <f>IF(OR(1581380.128="",563.79218="",1082.26928=""),"-",(1082.26928-563.79218)/1581380.128*100)</f>
        <v>3.2786367478623075E-2</v>
      </c>
      <c r="H58" s="58">
        <f>IF(OR(1361306.86729="",998.39771="",1082.26928=""),"-",(998.39771-1082.26928)/1361306.86729*100)</f>
        <v>-6.1611068022426139E-3</v>
      </c>
      <c r="I58" s="39"/>
      <c r="J58" s="40"/>
      <c r="K58" s="36"/>
    </row>
    <row r="59" spans="1:11" x14ac:dyDescent="0.25">
      <c r="A59" s="39" t="s">
        <v>289</v>
      </c>
      <c r="B59" s="40" t="s">
        <v>32</v>
      </c>
      <c r="C59" s="36">
        <v>24593.787950000002</v>
      </c>
      <c r="D59" s="58" t="s">
        <v>103</v>
      </c>
      <c r="E59" s="58">
        <f>IF(14248.65686="","-",14248.65686/1361306.86729*100)</f>
        <v>1.0466895600376487</v>
      </c>
      <c r="F59" s="58">
        <f>IF(24593.78795="","-",24593.78795/1572447.88026*100)</f>
        <v>1.5640447138975115</v>
      </c>
      <c r="G59" s="58">
        <f>IF(OR(1581380.128="",13708.6828="",14248.65686=""),"-",(14248.65686-13708.6828)/1581380.128*100)</f>
        <v>3.4145747150807662E-2</v>
      </c>
      <c r="H59" s="58">
        <f>IF(OR(1361306.86729="",24593.78795="",14248.65686=""),"-",(24593.78795-14248.65686)/1361306.86729*100)</f>
        <v>0.75994115203388402</v>
      </c>
      <c r="I59" s="39"/>
      <c r="J59" s="40"/>
      <c r="K59" s="36"/>
    </row>
    <row r="60" spans="1:11" ht="25.5" x14ac:dyDescent="0.25">
      <c r="A60" s="37" t="s">
        <v>290</v>
      </c>
      <c r="B60" s="38" t="s">
        <v>183</v>
      </c>
      <c r="C60" s="35">
        <v>396874.36945</v>
      </c>
      <c r="D60" s="56">
        <f>IF(282629.10205="","-",396874.36945/282629.10205*100)</f>
        <v>140.4223296791952</v>
      </c>
      <c r="E60" s="56">
        <f>IF(282629.10205="","-",282629.10205/1361306.86729*100)</f>
        <v>20.761601137930008</v>
      </c>
      <c r="F60" s="56">
        <f>IF(396874.36945="","-",396874.36945/1572447.88026*100)</f>
        <v>25.239270212528623</v>
      </c>
      <c r="G60" s="56">
        <f>IF(1581380.128="","-",(282629.10205-395451.59281)/1581380.128*100)</f>
        <v>-7.1344320547829732</v>
      </c>
      <c r="H60" s="56">
        <f>IF(1361306.86729="","-",(396874.36945-282629.10205)/1361306.86729*100)</f>
        <v>8.3923228586536087</v>
      </c>
      <c r="I60" s="39"/>
      <c r="J60" s="40"/>
      <c r="K60" s="36"/>
    </row>
    <row r="61" spans="1:11" ht="25.5" x14ac:dyDescent="0.25">
      <c r="A61" s="39" t="s">
        <v>291</v>
      </c>
      <c r="B61" s="40" t="s">
        <v>184</v>
      </c>
      <c r="C61" s="36">
        <v>1255.62625</v>
      </c>
      <c r="D61" s="58">
        <f>IF(OR(1148.09732="",1255.62625=""),"-",1255.62625/1148.09732*100)</f>
        <v>109.36583755809133</v>
      </c>
      <c r="E61" s="58">
        <f>IF(1148.09732="","-",1148.09732/1361306.86729*100)</f>
        <v>8.4337877637064781E-2</v>
      </c>
      <c r="F61" s="58">
        <f>IF(1255.62625="","-",1255.62625/1572447.88026*100)</f>
        <v>7.9851692750057032E-2</v>
      </c>
      <c r="G61" s="58">
        <f>IF(OR(1581380.128="",1933.97303="",1148.09732=""),"-",(1148.09732-1933.97303)/1581380.128*100)</f>
        <v>-4.9695559978606224E-2</v>
      </c>
      <c r="H61" s="58">
        <f>IF(OR(1361306.86729="",1255.62625="",1148.09732=""),"-",(1255.62625-1148.09732)/1361306.86729*100)</f>
        <v>7.8989486194293163E-3</v>
      </c>
      <c r="I61" s="37"/>
      <c r="J61" s="38"/>
      <c r="K61" s="35"/>
    </row>
    <row r="62" spans="1:11" ht="25.5" x14ac:dyDescent="0.25">
      <c r="A62" s="39" t="s">
        <v>292</v>
      </c>
      <c r="B62" s="40" t="s">
        <v>185</v>
      </c>
      <c r="C62" s="36">
        <v>8584.0289300000004</v>
      </c>
      <c r="D62" s="58">
        <f>IF(OR(6442.16993="",8584.02893=""),"-",8584.02893/6442.16993*100)</f>
        <v>133.24747753122372</v>
      </c>
      <c r="E62" s="58">
        <f>IF(6442.16993="","-",6442.16993/1361306.86729*100)</f>
        <v>0.47323421961608458</v>
      </c>
      <c r="F62" s="58">
        <f>IF(8584.02893="","-",8584.02893/1572447.88026*100)</f>
        <v>0.54590228634990778</v>
      </c>
      <c r="G62" s="58">
        <f>IF(OR(1581380.128="",8421.43998="",6442.16993=""),"-",(6442.16993-8421.43998)/1581380.128*100)</f>
        <v>-0.12516092841657356</v>
      </c>
      <c r="H62" s="58">
        <f>IF(OR(1361306.86729="",8584.02893="",6442.16993=""),"-",(8584.02893-6442.16993)/1361306.86729*100)</f>
        <v>0.15733844083691961</v>
      </c>
      <c r="I62" s="39"/>
      <c r="J62" s="40"/>
      <c r="K62" s="36"/>
    </row>
    <row r="63" spans="1:11" ht="25.5" x14ac:dyDescent="0.25">
      <c r="A63" s="39" t="s">
        <v>293</v>
      </c>
      <c r="B63" s="40" t="s">
        <v>186</v>
      </c>
      <c r="C63" s="36">
        <v>2754.7890000000002</v>
      </c>
      <c r="D63" s="58">
        <f>IF(OR(1870.86968="",2754.789=""),"-",2754.789/1870.86968*100)</f>
        <v>147.24643995513361</v>
      </c>
      <c r="E63" s="58">
        <f>IF(1870.86968="","-",1870.86968/1361306.86729*100)</f>
        <v>0.13743188438653836</v>
      </c>
      <c r="F63" s="58">
        <f>IF(2754.789="","-",2754.789/1572447.88026*100)</f>
        <v>0.1751911166393956</v>
      </c>
      <c r="G63" s="58">
        <f>IF(OR(1581380.128="",1372.33064="",1870.86968=""),"-",(1870.86968-1372.33064)/1581380.128*100)</f>
        <v>3.152556625525018E-2</v>
      </c>
      <c r="H63" s="58">
        <f>IF(OR(1361306.86729="",2754.789="",1870.86968=""),"-",(2754.789-1870.86968)/1361306.86729*100)</f>
        <v>6.493167273589448E-2</v>
      </c>
      <c r="I63" s="39"/>
      <c r="J63" s="40"/>
      <c r="K63" s="36"/>
    </row>
    <row r="64" spans="1:11" ht="38.25" x14ac:dyDescent="0.25">
      <c r="A64" s="39" t="s">
        <v>294</v>
      </c>
      <c r="B64" s="40" t="s">
        <v>187</v>
      </c>
      <c r="C64" s="36">
        <v>14626.1615</v>
      </c>
      <c r="D64" s="58">
        <f>IF(OR(12162.70358="",14626.1615=""),"-",14626.1615/12162.70358*100)</f>
        <v>120.25419680580592</v>
      </c>
      <c r="E64" s="58">
        <f>IF(12162.70358="","-",12162.70358/1361306.86729*100)</f>
        <v>0.89345788758215183</v>
      </c>
      <c r="F64" s="58">
        <f>IF(14626.1615="","-",14626.1615/1572447.88026*100)</f>
        <v>0.93015238747255669</v>
      </c>
      <c r="G64" s="58">
        <f>IF(OR(1581380.128="",13519.75386="",12162.70358=""),"-",(12162.70358-13519.75386)/1581380.128*100)</f>
        <v>-8.5814299545820594E-2</v>
      </c>
      <c r="H64" s="58">
        <f>IF(OR(1361306.86729="",14626.1615="",12162.70358=""),"-",(14626.1615-12162.70358)/1361306.86729*100)</f>
        <v>0.18096271892788512</v>
      </c>
      <c r="I64" s="39"/>
      <c r="J64" s="40"/>
      <c r="K64" s="36"/>
    </row>
    <row r="65" spans="1:11" ht="26.25" customHeight="1" x14ac:dyDescent="0.25">
      <c r="A65" s="39" t="s">
        <v>295</v>
      </c>
      <c r="B65" s="40" t="s">
        <v>188</v>
      </c>
      <c r="C65" s="36">
        <v>1163.49891</v>
      </c>
      <c r="D65" s="58">
        <f>IF(OR(1088.74501="",1163.49891=""),"-",1163.49891/1088.74501*100)</f>
        <v>106.86606131953707</v>
      </c>
      <c r="E65" s="58">
        <f>IF(1088.74501="","-",1088.74501/1361306.86729*100)</f>
        <v>7.9977926811417757E-2</v>
      </c>
      <c r="F65" s="58">
        <f>IF(1163.49891="","-",1163.49891/1572447.88026*100)</f>
        <v>7.399284418938061E-2</v>
      </c>
      <c r="G65" s="58">
        <f>IF(OR(1581380.128="",689.13139="",1088.74501=""),"-",(1088.74501-689.13139)/1581380.128*100)</f>
        <v>2.5269928015688337E-2</v>
      </c>
      <c r="H65" s="58">
        <f>IF(OR(1361306.86729="",1163.49891="",1088.74501=""),"-",(1163.49891-1088.74501)/1361306.86729*100)</f>
        <v>5.4913334969664161E-3</v>
      </c>
      <c r="I65" s="39"/>
      <c r="J65" s="40"/>
      <c r="K65" s="36"/>
    </row>
    <row r="66" spans="1:11" ht="38.25" x14ac:dyDescent="0.25">
      <c r="A66" s="39" t="s">
        <v>296</v>
      </c>
      <c r="B66" s="40" t="s">
        <v>189</v>
      </c>
      <c r="C66" s="36">
        <v>1804.9390800000001</v>
      </c>
      <c r="D66" s="58">
        <f>IF(OR(1460.28394="",1804.93908=""),"-",1804.93908/1460.28394*100)</f>
        <v>123.60192634865244</v>
      </c>
      <c r="E66" s="58">
        <f>IF(1460.28394="","-",1460.28394/1361306.86729*100)</f>
        <v>0.10727073924977966</v>
      </c>
      <c r="F66" s="58">
        <f>IF(1804.93908="","-",1804.93908/1572447.88026*100)</f>
        <v>0.11478530402556544</v>
      </c>
      <c r="G66" s="58">
        <f>IF(OR(1581380.128="",2137.01579="",1460.28394=""),"-",(1460.28394-2137.01579)/1581380.128*100)</f>
        <v>-4.2793749460850683E-2</v>
      </c>
      <c r="H66" s="58">
        <f>IF(OR(1361306.86729="",1804.93908="",1460.28394=""),"-",(1804.93908-1460.28394)/1361306.86729*100)</f>
        <v>2.5317960871388011E-2</v>
      </c>
      <c r="I66" s="39"/>
      <c r="J66" s="40"/>
      <c r="K66" s="36"/>
    </row>
    <row r="67" spans="1:11" ht="51" x14ac:dyDescent="0.25">
      <c r="A67" s="39" t="s">
        <v>297</v>
      </c>
      <c r="B67" s="40" t="s">
        <v>190</v>
      </c>
      <c r="C67" s="36">
        <v>332649.66162999999</v>
      </c>
      <c r="D67" s="58">
        <f>IF(OR(245071.24381="",332649.66163=""),"-",332649.66163/245071.24381*100)</f>
        <v>135.73590130709019</v>
      </c>
      <c r="E67" s="58">
        <f>IF(245071.24381="","-",245071.24381/1361306.86729*100)</f>
        <v>18.002645083093697</v>
      </c>
      <c r="F67" s="58">
        <f>IF(332649.66163="","-",332649.66163/1572447.88026*100)</f>
        <v>21.154892687126601</v>
      </c>
      <c r="G67" s="58">
        <f>IF(OR(1581380.128="",349561.34416="",245071.24381=""),"-",(245071.24381-349561.34416)/1581380.128*100)</f>
        <v>-6.6075258250620914</v>
      </c>
      <c r="H67" s="58">
        <f>IF(OR(1361306.86729="",332649.66163="",245071.24381=""),"-",(332649.66163-245071.24381)/1361306.86729*100)</f>
        <v>6.4334074795600884</v>
      </c>
      <c r="I67" s="39"/>
      <c r="J67" s="40"/>
      <c r="K67" s="36"/>
    </row>
    <row r="68" spans="1:11" ht="25.5" x14ac:dyDescent="0.25">
      <c r="A68" s="39" t="s">
        <v>298</v>
      </c>
      <c r="B68" s="40" t="s">
        <v>191</v>
      </c>
      <c r="C68" s="36">
        <v>33208.343370000002</v>
      </c>
      <c r="D68" s="58" t="s">
        <v>229</v>
      </c>
      <c r="E68" s="58">
        <f>IF(13094.89165="","-",13094.89165/1361306.86729*100)</f>
        <v>0.96193532587317709</v>
      </c>
      <c r="F68" s="58">
        <f>IF(33208.34337="","-",33208.34337/1572447.88026*100)</f>
        <v>2.1118883358161984</v>
      </c>
      <c r="G68" s="58">
        <f>IF(OR(1581380.128="",15014.00939="",13094.89165=""),"-",(13094.89165-15014.00939)/1581380.128*100)</f>
        <v>-0.12135714279065479</v>
      </c>
      <c r="H68" s="58">
        <f>IF(OR(1361306.86729="",33208.34337="",13094.89165=""),"-",(33208.34337-13094.89165)/1361306.86729*100)</f>
        <v>1.4775104866723061</v>
      </c>
      <c r="I68" s="39"/>
      <c r="J68" s="40"/>
      <c r="K68" s="36"/>
    </row>
    <row r="69" spans="1:11" x14ac:dyDescent="0.25">
      <c r="A69" s="39" t="s">
        <v>299</v>
      </c>
      <c r="B69" s="40" t="s">
        <v>33</v>
      </c>
      <c r="C69" s="36">
        <v>827.32078000000001</v>
      </c>
      <c r="D69" s="58" t="s">
        <v>317</v>
      </c>
      <c r="E69" s="58">
        <f>IF(290.09713="","-",290.09713/1361306.86729*100)</f>
        <v>2.1310193680099936E-2</v>
      </c>
      <c r="F69" s="58">
        <f>IF(827.32078="","-",827.32078/1572447.88026*100)</f>
        <v>5.2613558158964534E-2</v>
      </c>
      <c r="G69" s="58">
        <f>IF(OR(1581380.128="",2802.59457="",290.09713=""),"-",(290.09713-2802.59457)/1581380.128*100)</f>
        <v>-0.15888004379931098</v>
      </c>
      <c r="H69" s="58">
        <f>IF(OR(1361306.86729="",827.32078="",290.09713=""),"-",(827.32078-290.09713)/1361306.86729*100)</f>
        <v>3.9463816932729462E-2</v>
      </c>
      <c r="I69" s="39"/>
      <c r="J69" s="40"/>
      <c r="K69" s="36"/>
    </row>
    <row r="70" spans="1:11" x14ac:dyDescent="0.25">
      <c r="A70" s="37" t="s">
        <v>300</v>
      </c>
      <c r="B70" s="38" t="s">
        <v>34</v>
      </c>
      <c r="C70" s="35">
        <v>344151.39827000001</v>
      </c>
      <c r="D70" s="56">
        <f>IF(273681.18679="","-",344151.39827/273681.18679*100)</f>
        <v>125.74901559969956</v>
      </c>
      <c r="E70" s="56">
        <f>IF(273681.18679="","-",273681.18679/1361306.86729*100)</f>
        <v>20.104297816026335</v>
      </c>
      <c r="F70" s="56">
        <f>IF(344151.39827="","-",344151.39827/1572447.88026*100)</f>
        <v>21.886346923822718</v>
      </c>
      <c r="G70" s="56">
        <f>IF(1581380.128="","-",(273681.18679-338720.07534)/1581380.128*100)</f>
        <v>-4.1127928319331941</v>
      </c>
      <c r="H70" s="56">
        <f>IF(1361306.86729="","-",(344151.39827-273681.18679)/1361306.86729*100)</f>
        <v>5.1766587808586797</v>
      </c>
      <c r="I70" s="39"/>
      <c r="J70" s="40"/>
      <c r="K70" s="36"/>
    </row>
    <row r="71" spans="1:11" ht="38.25" x14ac:dyDescent="0.25">
      <c r="A71" s="39" t="s">
        <v>301</v>
      </c>
      <c r="B71" s="40" t="s">
        <v>217</v>
      </c>
      <c r="C71" s="36">
        <v>9779.2656399999996</v>
      </c>
      <c r="D71" s="58" t="s">
        <v>104</v>
      </c>
      <c r="E71" s="58">
        <f>IF(5945.37446="","-",5945.37446/1361306.86729*100)</f>
        <v>0.43674020919586337</v>
      </c>
      <c r="F71" s="58">
        <f>IF(9779.26564="","-",9779.26564/1572447.88026*100)</f>
        <v>0.62191349950390884</v>
      </c>
      <c r="G71" s="58">
        <f>IF(OR(1581380.128="",4860.72856="",5945.37446=""),"-",(5945.37446-4860.72856)/1581380.128*100)</f>
        <v>6.8588562660881022E-2</v>
      </c>
      <c r="H71" s="58">
        <f>IF(OR(1361306.86729="",9779.26564="",5945.37446=""),"-",(9779.26564-5945.37446)/1361306.86729*100)</f>
        <v>0.28163313299316983</v>
      </c>
      <c r="I71" s="37"/>
      <c r="J71" s="38"/>
      <c r="K71" s="35"/>
    </row>
    <row r="72" spans="1:11" x14ac:dyDescent="0.25">
      <c r="A72" s="39" t="s">
        <v>302</v>
      </c>
      <c r="B72" s="40" t="s">
        <v>192</v>
      </c>
      <c r="C72" s="36">
        <v>93508.71544</v>
      </c>
      <c r="D72" s="58">
        <f>IF(OR(67353.80185="",93508.71544=""),"-",93508.71544/67353.80185*100)</f>
        <v>138.83212657876118</v>
      </c>
      <c r="E72" s="58">
        <f>IF(67353.80185="","-",67353.80185/1361306.86729*100)</f>
        <v>4.9477309979404946</v>
      </c>
      <c r="F72" s="58">
        <f>IF(93508.71544="","-",93508.71544/1572447.88026*100)</f>
        <v>5.9466972873236719</v>
      </c>
      <c r="G72" s="58">
        <f>IF(OR(1581380.128="",84656.4346="",67353.80185=""),"-",(67353.80185-84656.4346)/1581380.128*100)</f>
        <v>-1.0941476020621899</v>
      </c>
      <c r="H72" s="58">
        <f>IF(OR(1361306.86729="",93508.71544="",67353.80185=""),"-",(93508.71544-67353.80185)/1361306.86729*100)</f>
        <v>1.9213091638968571</v>
      </c>
      <c r="I72" s="39"/>
      <c r="J72" s="40"/>
      <c r="K72" s="36"/>
    </row>
    <row r="73" spans="1:11" x14ac:dyDescent="0.25">
      <c r="A73" s="39" t="s">
        <v>303</v>
      </c>
      <c r="B73" s="40" t="s">
        <v>193</v>
      </c>
      <c r="C73" s="36">
        <v>9010.2982300000003</v>
      </c>
      <c r="D73" s="58">
        <f>IF(OR(7347.53538="",9010.29823=""),"-",9010.29823/7347.53538*100)</f>
        <v>122.63021222770894</v>
      </c>
      <c r="E73" s="58">
        <f>IF(7347.53538="","-",7347.53538/1361306.86729*100)</f>
        <v>0.53974129981632946</v>
      </c>
      <c r="F73" s="58">
        <f>IF(9010.29823="","-",9010.29823/1572447.88026*100)</f>
        <v>0.57301093048058116</v>
      </c>
      <c r="G73" s="58">
        <f>IF(OR(1581380.128="",7796.68844="",7347.53538=""),"-",(7347.53538-7796.68844)/1581380.128*100)</f>
        <v>-2.8402599226287965E-2</v>
      </c>
      <c r="H73" s="58">
        <f>IF(OR(1361306.86729="",9010.29823="",7347.53538=""),"-",(9010.29823-7347.53538)/1361306.86729*100)</f>
        <v>0.12214460162903011</v>
      </c>
      <c r="I73" s="39"/>
      <c r="J73" s="40"/>
      <c r="K73" s="36"/>
    </row>
    <row r="74" spans="1:11" x14ac:dyDescent="0.25">
      <c r="A74" s="39" t="s">
        <v>304</v>
      </c>
      <c r="B74" s="40" t="s">
        <v>194</v>
      </c>
      <c r="C74" s="36">
        <v>158939.06499000001</v>
      </c>
      <c r="D74" s="58">
        <f>IF(OR(130945.27992="",158939.06499=""),"-",158939.06499/130945.27992*100)</f>
        <v>121.37823149265297</v>
      </c>
      <c r="E74" s="58">
        <f>IF(130945.27992="","-",130945.27992/1361306.86729*100)</f>
        <v>9.6190861198457949</v>
      </c>
      <c r="F74" s="58">
        <f>IF(158939.06499="","-",158939.06499/1572447.88026*100)</f>
        <v>10.107747734298187</v>
      </c>
      <c r="G74" s="58">
        <f>IF(OR(1581380.128="",167761.00379="",130945.27992=""),"-",(130945.27992-167761.00379)/1581380.128*100)</f>
        <v>-2.3280755346636042</v>
      </c>
      <c r="H74" s="58">
        <f>IF(OR(1361306.86729="",158939.06499="",130945.27992=""),"-",(158939.06499-130945.27992)/1361306.86729*100)</f>
        <v>2.0563904981782835</v>
      </c>
      <c r="I74" s="39"/>
      <c r="J74" s="40"/>
      <c r="K74" s="36"/>
    </row>
    <row r="75" spans="1:11" x14ac:dyDescent="0.25">
      <c r="A75" s="39" t="s">
        <v>305</v>
      </c>
      <c r="B75" s="40" t="s">
        <v>195</v>
      </c>
      <c r="C75" s="36">
        <v>22978.276979999999</v>
      </c>
      <c r="D75" s="58">
        <f>IF(OR(18992.44162="",22978.27698=""),"-",22978.27698/18992.44162*100)</f>
        <v>120.98642944255631</v>
      </c>
      <c r="E75" s="58">
        <f>IF(18992.44162="","-",18992.44162/1361306.86729*100)</f>
        <v>1.3951624043305462</v>
      </c>
      <c r="F75" s="58">
        <f>IF(22978.27698="","-",22978.27698/1572447.88026*100)</f>
        <v>1.4613061118566679</v>
      </c>
      <c r="G75" s="58">
        <f>IF(OR(1581380.128="",20876.23869="",18992.44162=""),"-",(18992.44162-20876.23869)/1581380.128*100)</f>
        <v>-0.11912360833713455</v>
      </c>
      <c r="H75" s="58">
        <f>IF(OR(1361306.86729="",22978.27698="",18992.44162=""),"-",(22978.27698-18992.44162)/1361306.86729*100)</f>
        <v>0.2927947735939021</v>
      </c>
      <c r="I75" s="39"/>
      <c r="J75" s="40"/>
      <c r="K75" s="36"/>
    </row>
    <row r="76" spans="1:11" ht="25.5" x14ac:dyDescent="0.25">
      <c r="A76" s="39" t="s">
        <v>306</v>
      </c>
      <c r="B76" s="40" t="s">
        <v>218</v>
      </c>
      <c r="C76" s="36">
        <v>13407.14754</v>
      </c>
      <c r="D76" s="58">
        <f>IF(OR(10595.30078="",13407.14754=""),"-",13407.14754/10595.30078*100)</f>
        <v>126.53862139815534</v>
      </c>
      <c r="E76" s="58">
        <f>IF(10595.30078="","-",10595.30078/1361306.86729*100)</f>
        <v>0.7783183229724262</v>
      </c>
      <c r="F76" s="58">
        <f>IF(13407.14754="","-",13407.14754/1572447.88026*100)</f>
        <v>0.85262905742752915</v>
      </c>
      <c r="G76" s="58">
        <f>IF(OR(1581380.128="",13273.30428="",10595.30078=""),"-",(10595.30078-13273.30428)/1581380.128*100)</f>
        <v>-0.16934596891557757</v>
      </c>
      <c r="H76" s="58">
        <f>IF(OR(1361306.86729="",13407.14754="",10595.30078=""),"-",(13407.14754-10595.30078)/1361306.86729*100)</f>
        <v>0.20655495300612417</v>
      </c>
      <c r="I76" s="39"/>
      <c r="J76" s="40"/>
      <c r="K76" s="36"/>
    </row>
    <row r="77" spans="1:11" ht="25.5" x14ac:dyDescent="0.25">
      <c r="A77" s="39" t="s">
        <v>307</v>
      </c>
      <c r="B77" s="40" t="s">
        <v>196</v>
      </c>
      <c r="C77" s="36">
        <v>2018.7582299999999</v>
      </c>
      <c r="D77" s="58">
        <f>IF(OR(1704.02535="",2018.75823=""),"-",2018.75823/1704.02535*100)</f>
        <v>118.46996466337781</v>
      </c>
      <c r="E77" s="58">
        <f>IF(1704.02535="","-",1704.02535/1361306.86729*100)</f>
        <v>0.12517569630661318</v>
      </c>
      <c r="F77" s="58">
        <f>IF(2018.75823="","-",2018.75823/1572447.88026*100)</f>
        <v>0.12838315694547558</v>
      </c>
      <c r="G77" s="58">
        <f>IF(OR(1581380.128="",2317.21672="",1704.02535=""),"-",(1704.02535-2317.21672)/1581380.128*100)</f>
        <v>-3.8775709846279288E-2</v>
      </c>
      <c r="H77" s="58">
        <f>IF(OR(1361306.86729="",2018.75823="",1704.02535=""),"-",(2018.75823-1704.02535)/1361306.86729*100)</f>
        <v>2.3119906874968572E-2</v>
      </c>
      <c r="I77" s="39"/>
      <c r="J77" s="40"/>
      <c r="K77" s="36"/>
    </row>
    <row r="78" spans="1:11" ht="15.75" customHeight="1" x14ac:dyDescent="0.25">
      <c r="A78" s="39" t="s">
        <v>308</v>
      </c>
      <c r="B78" s="40" t="s">
        <v>35</v>
      </c>
      <c r="C78" s="36">
        <v>34509.871220000001</v>
      </c>
      <c r="D78" s="58">
        <f>IF(OR(30797.42743="",34509.87122=""),"-",34509.87122/30797.42743*100)</f>
        <v>112.05439577197829</v>
      </c>
      <c r="E78" s="58">
        <f>IF(30797.42743="","-",30797.42743/1361306.86729*100)</f>
        <v>2.2623427656182686</v>
      </c>
      <c r="F78" s="58">
        <f>IF(34509.87122="","-",34509.87122/1572447.88026*100)</f>
        <v>2.1946591459866949</v>
      </c>
      <c r="G78" s="58">
        <f>IF(OR(1581380.128="",37178.46026="",30797.42743=""),"-",(30797.42743-37178.46026)/1581380.128*100)</f>
        <v>-0.40351037154300201</v>
      </c>
      <c r="H78" s="58">
        <f>IF(OR(1361306.86729="",34509.87122="",30797.42743=""),"-",(34509.87122-30797.42743)/1361306.86729*100)</f>
        <v>0.27271175068634523</v>
      </c>
      <c r="I78" s="39"/>
      <c r="J78" s="40"/>
      <c r="K78" s="36"/>
    </row>
    <row r="79" spans="1:11" ht="25.5" x14ac:dyDescent="0.25">
      <c r="A79" s="48" t="s">
        <v>312</v>
      </c>
      <c r="B79" s="65" t="s">
        <v>197</v>
      </c>
      <c r="C79" s="66">
        <v>389.17775</v>
      </c>
      <c r="D79" s="67">
        <f>IF(408.3958="","-",389.17775/408.3958*100)</f>
        <v>95.294258657900016</v>
      </c>
      <c r="E79" s="67">
        <f>IF(408.3958="","-",408.3958/1361306.86729*100)</f>
        <v>3.0000274722260637E-2</v>
      </c>
      <c r="F79" s="67">
        <f>IF(389.17775="","-",389.17775/1572447.88026*100)</f>
        <v>2.4749802831980069E-2</v>
      </c>
      <c r="G79" s="67">
        <f>IF(1581380.128="","-",(408.3958-462.98741)/1581380.128*100)</f>
        <v>-3.4521497414440761E-3</v>
      </c>
      <c r="H79" s="67">
        <f>IF(1361306.86729="","-",(389.17775-408.3958)/1361306.86729*100)</f>
        <v>-1.4117353303489929E-3</v>
      </c>
      <c r="I79" s="39"/>
      <c r="J79" s="40"/>
      <c r="K79" s="36"/>
    </row>
    <row r="80" spans="1:11" x14ac:dyDescent="0.25">
      <c r="A80" s="44" t="s">
        <v>315</v>
      </c>
      <c r="B80" s="42"/>
      <c r="C80" s="42"/>
      <c r="D80" s="42"/>
      <c r="E80" s="42"/>
      <c r="I80" s="1"/>
      <c r="J80" s="1"/>
      <c r="K80" s="1"/>
    </row>
    <row r="81" spans="1:5" x14ac:dyDescent="0.25">
      <c r="A81" s="98" t="s">
        <v>329</v>
      </c>
      <c r="B81" s="98"/>
      <c r="C81" s="98"/>
      <c r="D81" s="98"/>
      <c r="E81" s="98"/>
    </row>
  </sheetData>
  <mergeCells count="12">
    <mergeCell ref="A81:E81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2"/>
  <sheetViews>
    <sheetView zoomScaleNormal="100" workbookViewId="0">
      <selection activeCell="C56" sqref="C56"/>
    </sheetView>
  </sheetViews>
  <sheetFormatPr defaultRowHeight="15.75" x14ac:dyDescent="0.25"/>
  <cols>
    <col min="1" max="1" width="5.75" customWidth="1"/>
    <col min="2" max="2" width="26" customWidth="1"/>
    <col min="3" max="3" width="11.25" customWidth="1"/>
    <col min="4" max="4" width="11.125" customWidth="1"/>
    <col min="5" max="5" width="7.625" customWidth="1"/>
    <col min="6" max="6" width="7.75" customWidth="1"/>
    <col min="7" max="7" width="8.625" customWidth="1"/>
    <col min="8" max="8" width="8.375" customWidth="1"/>
  </cols>
  <sheetData>
    <row r="1" spans="1:8" x14ac:dyDescent="0.25">
      <c r="B1" s="112" t="s">
        <v>149</v>
      </c>
      <c r="C1" s="112"/>
      <c r="D1" s="112"/>
      <c r="E1" s="112"/>
      <c r="F1" s="112"/>
      <c r="G1" s="112"/>
      <c r="H1" s="112"/>
    </row>
    <row r="2" spans="1:8" x14ac:dyDescent="0.25">
      <c r="B2" s="112" t="s">
        <v>314</v>
      </c>
      <c r="C2" s="112"/>
      <c r="D2" s="112"/>
      <c r="E2" s="112"/>
      <c r="F2" s="112"/>
      <c r="G2" s="112"/>
      <c r="H2" s="112"/>
    </row>
    <row r="3" spans="1:8" x14ac:dyDescent="0.25">
      <c r="B3" s="5"/>
    </row>
    <row r="4" spans="1:8" ht="57" customHeight="1" x14ac:dyDescent="0.25">
      <c r="A4" s="120" t="s">
        <v>239</v>
      </c>
      <c r="B4" s="123"/>
      <c r="C4" s="126" t="s">
        <v>349</v>
      </c>
      <c r="D4" s="118"/>
      <c r="E4" s="126" t="s">
        <v>0</v>
      </c>
      <c r="F4" s="118"/>
      <c r="G4" s="115" t="s">
        <v>119</v>
      </c>
      <c r="H4" s="127"/>
    </row>
    <row r="5" spans="1:8" ht="19.5" customHeight="1" x14ac:dyDescent="0.25">
      <c r="A5" s="121"/>
      <c r="B5" s="124"/>
      <c r="C5" s="128" t="s">
        <v>110</v>
      </c>
      <c r="D5" s="113" t="s">
        <v>350</v>
      </c>
      <c r="E5" s="130" t="s">
        <v>351</v>
      </c>
      <c r="F5" s="130"/>
      <c r="G5" s="130" t="s">
        <v>356</v>
      </c>
      <c r="H5" s="126"/>
    </row>
    <row r="6" spans="1:8" ht="25.5" customHeight="1" x14ac:dyDescent="0.25">
      <c r="A6" s="122"/>
      <c r="B6" s="125"/>
      <c r="C6" s="129"/>
      <c r="D6" s="114"/>
      <c r="E6" s="21">
        <v>2020</v>
      </c>
      <c r="F6" s="21">
        <v>2021</v>
      </c>
      <c r="G6" s="21">
        <v>2020</v>
      </c>
      <c r="H6" s="17">
        <v>2021</v>
      </c>
    </row>
    <row r="7" spans="1:8" x14ac:dyDescent="0.25">
      <c r="A7" s="47"/>
      <c r="B7" s="64" t="s">
        <v>129</v>
      </c>
      <c r="C7" s="51">
        <v>3828259.07614</v>
      </c>
      <c r="D7" s="52">
        <f>IF(2890255.78537="","-",3828259.07614/2890255.78537*100)</f>
        <v>132.45398886555364</v>
      </c>
      <c r="E7" s="52">
        <v>100</v>
      </c>
      <c r="F7" s="52">
        <v>100</v>
      </c>
      <c r="G7" s="52">
        <f>IF(3307388.5187="","-",(2890255.78537-3307388.5187)/3307388.5187*100)</f>
        <v>-12.6121479521238</v>
      </c>
      <c r="H7" s="52">
        <f>IF(2890255.78537="","-",(3828259.07614-2890255.78537)/2890255.78537*100)</f>
        <v>32.45398886555364</v>
      </c>
    </row>
    <row r="8" spans="1:8" ht="12" customHeight="1" x14ac:dyDescent="0.25">
      <c r="A8" s="68" t="s">
        <v>240</v>
      </c>
      <c r="B8" s="38" t="s">
        <v>198</v>
      </c>
      <c r="C8" s="35">
        <v>428822.14299000002</v>
      </c>
      <c r="D8" s="56">
        <f>IF(361606.14201="","-",428822.14299/361606.14201*100)</f>
        <v>118.58818011397085</v>
      </c>
      <c r="E8" s="56">
        <f>IF(361606.14201="","-",361606.14201/2890255.78537*100)</f>
        <v>12.511215922147475</v>
      </c>
      <c r="F8" s="56">
        <f>IF(428822.14299="","-",428822.14299/3828259.07614*100)</f>
        <v>11.201492230833489</v>
      </c>
      <c r="G8" s="56">
        <f>IF(3307388.5187="","-",(361606.14201-340770.71381)/3307388.5187*100)</f>
        <v>0.62996615251568877</v>
      </c>
      <c r="H8" s="56">
        <f>IF(2890255.78537="","-",(428822.14299-361606.14201)/2890255.78537*100)</f>
        <v>2.3256073500565715</v>
      </c>
    </row>
    <row r="9" spans="1:8" x14ac:dyDescent="0.25">
      <c r="A9" s="69" t="s">
        <v>241</v>
      </c>
      <c r="B9" s="40" t="s">
        <v>23</v>
      </c>
      <c r="C9" s="36">
        <v>3119.7747300000001</v>
      </c>
      <c r="D9" s="58">
        <f>IF(OR(4254.22893="",3119.77473=""),"-",3119.77473/4254.22893*100)</f>
        <v>73.333494302573882</v>
      </c>
      <c r="E9" s="58">
        <f>IF(4254.22893="","-",4254.22893/2890255.78537*100)</f>
        <v>0.14719212574659338</v>
      </c>
      <c r="F9" s="58">
        <f>IF(3119.77473="","-",3119.77473/3828259.07614*100)</f>
        <v>8.1493301993177572E-2</v>
      </c>
      <c r="G9" s="58">
        <f>IF(OR(3307388.5187="",3230.92568="",4254.22893=""),"-",(4254.22893-3230.92568)/3307388.5187*100)</f>
        <v>3.0939916620446494E-2</v>
      </c>
      <c r="H9" s="58">
        <f>IF(OR(2890255.78537="",3119.77473="",4254.22893=""),"-",(3119.77473-4254.22893)/2890255.78537*100)</f>
        <v>-3.9250996598377934E-2</v>
      </c>
    </row>
    <row r="10" spans="1:8" ht="14.25" customHeight="1" x14ac:dyDescent="0.25">
      <c r="A10" s="69" t="s">
        <v>242</v>
      </c>
      <c r="B10" s="40" t="s">
        <v>199</v>
      </c>
      <c r="C10" s="36">
        <v>31565.02205</v>
      </c>
      <c r="D10" s="58">
        <f>IF(OR(21093.79281="",31565.02205=""),"-",31565.02205/21093.79281*100)</f>
        <v>149.64128231616968</v>
      </c>
      <c r="E10" s="58">
        <f>IF(21093.79281="","-",21093.79281/2890255.78537*100)</f>
        <v>0.72982442996129659</v>
      </c>
      <c r="F10" s="58">
        <f>IF(31565.02205="","-",31565.02205/3828259.07614*100)</f>
        <v>0.82452679983787136</v>
      </c>
      <c r="G10" s="58">
        <f>IF(OR(3307388.5187="",27155.73984="",21093.79281=""),"-",(21093.79281-27155.73984)/3307388.5187*100)</f>
        <v>-0.18328499950113827</v>
      </c>
      <c r="H10" s="58">
        <f>IF(OR(2890255.78537="",31565.02205="",21093.79281=""),"-",(31565.02205-21093.79281)/2890255.78537*100)</f>
        <v>0.3622942056894633</v>
      </c>
    </row>
    <row r="11" spans="1:8" s="7" customFormat="1" x14ac:dyDescent="0.25">
      <c r="A11" s="69" t="s">
        <v>243</v>
      </c>
      <c r="B11" s="40" t="s">
        <v>200</v>
      </c>
      <c r="C11" s="36">
        <v>51654.360860000001</v>
      </c>
      <c r="D11" s="58">
        <f>IF(OR(46145.55089="",51654.36086=""),"-",51654.36086/46145.55089*100)</f>
        <v>111.93790054241998</v>
      </c>
      <c r="E11" s="58">
        <f>IF(46145.55089="","-",46145.55089/2890255.78537*100)</f>
        <v>1.5965905551882704</v>
      </c>
      <c r="F11" s="58">
        <f>IF(51654.36086="","-",51654.36086/3828259.07614*100)</f>
        <v>1.3492911486043582</v>
      </c>
      <c r="G11" s="58">
        <f>IF(OR(3307388.5187="",34964.35937="",46145.55089=""),"-",(46145.55089-34964.35937)/3307388.5187*100)</f>
        <v>0.3380670718538647</v>
      </c>
      <c r="H11" s="58">
        <f>IF(OR(2890255.78537="",51654.36086="",46145.55089=""),"-",(51654.36086-46145.55089)/2890255.78537*100)</f>
        <v>0.19059939254804689</v>
      </c>
    </row>
    <row r="12" spans="1:8" s="7" customFormat="1" x14ac:dyDescent="0.25">
      <c r="A12" s="69" t="s">
        <v>244</v>
      </c>
      <c r="B12" s="40" t="s">
        <v>201</v>
      </c>
      <c r="C12" s="36">
        <v>39166.174059999998</v>
      </c>
      <c r="D12" s="58">
        <f>IF(OR(30030.16836="",39166.17406=""),"-",39166.17406/30030.16836*100)</f>
        <v>130.42275884196874</v>
      </c>
      <c r="E12" s="58">
        <f>IF(30030.16836="","-",30030.16836/2890255.78537*100)</f>
        <v>1.0390142115451435</v>
      </c>
      <c r="F12" s="58">
        <f>IF(39166.17406="","-",39166.17406/3828259.07614*100)</f>
        <v>1.0230805512643337</v>
      </c>
      <c r="G12" s="58">
        <f>IF(OR(3307388.5187="",29773.77106="",30030.16836=""),"-",(30030.16836-29773.77106)/3307388.5187*100)</f>
        <v>7.7522582711504326E-3</v>
      </c>
      <c r="H12" s="58">
        <f>IF(OR(2890255.78537="",39166.17406="",30030.16836=""),"-",(39166.17406-30030.16836)/2890255.78537*100)</f>
        <v>0.31609678791216184</v>
      </c>
    </row>
    <row r="13" spans="1:8" s="7" customFormat="1" ht="15" customHeight="1" x14ac:dyDescent="0.25">
      <c r="A13" s="69" t="s">
        <v>245</v>
      </c>
      <c r="B13" s="40" t="s">
        <v>202</v>
      </c>
      <c r="C13" s="36">
        <v>61000.630770000003</v>
      </c>
      <c r="D13" s="58">
        <f>IF(OR(55676.72545="",61000.63077=""),"-",61000.63077/55676.72545*100)</f>
        <v>109.56217391912011</v>
      </c>
      <c r="E13" s="58">
        <f>IF(55676.72545="","-",55676.72545/2890255.78537*100)</f>
        <v>1.926359795967763</v>
      </c>
      <c r="F13" s="58">
        <f>IF(61000.63077="","-",61000.63077/3828259.07614*100)</f>
        <v>1.5934300567637238</v>
      </c>
      <c r="G13" s="58">
        <f>IF(OR(3307388.5187="",49369.26741="",55676.72545=""),"-",(55676.72545-49369.26741)/3307388.5187*100)</f>
        <v>0.19070810714669842</v>
      </c>
      <c r="H13" s="58">
        <f>IF(OR(2890255.78537="",61000.63077="",55676.72545=""),"-",(61000.63077-55676.72545)/2890255.78537*100)</f>
        <v>0.18420187399844468</v>
      </c>
    </row>
    <row r="14" spans="1:8" s="7" customFormat="1" ht="14.25" customHeight="1" x14ac:dyDescent="0.25">
      <c r="A14" s="69" t="s">
        <v>246</v>
      </c>
      <c r="B14" s="40" t="s">
        <v>203</v>
      </c>
      <c r="C14" s="36">
        <v>111599.00799</v>
      </c>
      <c r="D14" s="58">
        <f>IF(OR(101051.94938="",111599.00799=""),"-",111599.00799/101051.94938*100)</f>
        <v>110.43726387735322</v>
      </c>
      <c r="E14" s="58">
        <f>IF(101051.94938="","-",101051.94938/2890255.78537*100)</f>
        <v>3.4962977979841221</v>
      </c>
      <c r="F14" s="58">
        <f>IF(111599.00799="","-",111599.00799/3828259.07614*100)</f>
        <v>2.9151372927070622</v>
      </c>
      <c r="G14" s="58">
        <f>IF(OR(3307388.5187="",100426.03991="",101051.94938=""),"-",(101051.94938-100426.03991)/3307388.5187*100)</f>
        <v>1.8924582535771103E-2</v>
      </c>
      <c r="H14" s="58">
        <f>IF(OR(2890255.78537="",111599.00799="",101051.94938=""),"-",(111599.00799-101051.94938)/2890255.78537*100)</f>
        <v>0.36491782711369247</v>
      </c>
    </row>
    <row r="15" spans="1:8" s="7" customFormat="1" ht="25.5" x14ac:dyDescent="0.25">
      <c r="A15" s="69" t="s">
        <v>247</v>
      </c>
      <c r="B15" s="40" t="s">
        <v>161</v>
      </c>
      <c r="C15" s="36">
        <v>10713.6664</v>
      </c>
      <c r="D15" s="58">
        <f>IF(OR(9252.04907="",10713.6664=""),"-",10713.6664/9252.04907*100)</f>
        <v>115.79776889358845</v>
      </c>
      <c r="E15" s="58">
        <f>IF(9252.04907="","-",9252.04907/2890255.78537*100)</f>
        <v>0.32011177408007802</v>
      </c>
      <c r="F15" s="58">
        <f>IF(10713.6664="","-",10713.6664/3828259.07614*100)</f>
        <v>0.27985740220075428</v>
      </c>
      <c r="G15" s="58">
        <f>IF(OR(3307388.5187="",8416.29264="",9252.04907=""),"-",(9252.04907-8416.29264)/3307388.5187*100)</f>
        <v>2.5269375680378226E-2</v>
      </c>
      <c r="H15" s="58">
        <f>IF(OR(2890255.78537="",10713.6664="",9252.04907=""),"-",(10713.6664-9252.04907)/2890255.78537*100)</f>
        <v>5.0570518270336762E-2</v>
      </c>
    </row>
    <row r="16" spans="1:8" s="7" customFormat="1" ht="25.5" x14ac:dyDescent="0.25">
      <c r="A16" s="69" t="s">
        <v>248</v>
      </c>
      <c r="B16" s="40" t="s">
        <v>204</v>
      </c>
      <c r="C16" s="36">
        <v>34698.243240000003</v>
      </c>
      <c r="D16" s="58">
        <f>IF(OR(28245.1107="",34698.24324=""),"-",34698.24324/28245.1107*100)</f>
        <v>122.84690121607491</v>
      </c>
      <c r="E16" s="58">
        <f>IF(28245.1107="","-",28245.1107/2890255.78537*100)</f>
        <v>0.97725297681167567</v>
      </c>
      <c r="F16" s="58">
        <f>IF(34698.24324="","-",34698.24324/3828259.07614*100)</f>
        <v>0.90637134399445973</v>
      </c>
      <c r="G16" s="58">
        <f>IF(OR(3307388.5187="",27701.90246="",28245.1107=""),"-",(28245.1107-27701.90246)/3307388.5187*100)</f>
        <v>1.6424083137759487E-2</v>
      </c>
      <c r="H16" s="58">
        <f>IF(OR(2890255.78537="",34698.24324="",28245.1107=""),"-",(34698.24324-28245.1107)/2890255.78537*100)</f>
        <v>0.22327202224331488</v>
      </c>
    </row>
    <row r="17" spans="1:8" s="7" customFormat="1" ht="25.5" x14ac:dyDescent="0.25">
      <c r="A17" s="69" t="s">
        <v>249</v>
      </c>
      <c r="B17" s="40" t="s">
        <v>162</v>
      </c>
      <c r="C17" s="36">
        <v>27948.86607</v>
      </c>
      <c r="D17" s="58">
        <f>IF(OR(22097.67061="",27948.86607=""),"-",27948.86607/22097.67061*100)</f>
        <v>126.47878848077372</v>
      </c>
      <c r="E17" s="58">
        <f>IF(22097.67061="","-",22097.67061/2890255.78537*100)</f>
        <v>0.76455761188524485</v>
      </c>
      <c r="F17" s="58">
        <f>IF(27948.86607="","-",27948.86607/3828259.07614*100)</f>
        <v>0.73006725809635109</v>
      </c>
      <c r="G17" s="58">
        <f>IF(OR(3307388.5187="",19205.18326="",22097.67061=""),"-",(22097.67061-19205.18326)/3307388.5187*100)</f>
        <v>8.7455324152147643E-2</v>
      </c>
      <c r="H17" s="58">
        <f>IF(OR(2890255.78537="",27948.86607="",22097.67061=""),"-",(27948.86607-22097.67061)/2890255.78537*100)</f>
        <v>0.20244559286474881</v>
      </c>
    </row>
    <row r="18" spans="1:8" s="7" customFormat="1" ht="25.5" x14ac:dyDescent="0.25">
      <c r="A18" s="69" t="s">
        <v>250</v>
      </c>
      <c r="B18" s="40" t="s">
        <v>205</v>
      </c>
      <c r="C18" s="36">
        <v>57356.396820000002</v>
      </c>
      <c r="D18" s="58">
        <f>IF(OR(43758.89581="",57356.39682=""),"-",57356.39682/43758.89581*100)</f>
        <v>131.07368400939546</v>
      </c>
      <c r="E18" s="58">
        <f>IF(43758.89581="","-",43758.89581/2890255.78537*100)</f>
        <v>1.5140146429772874</v>
      </c>
      <c r="F18" s="58">
        <f>IF(57356.39682="","-",57356.39682/3828259.07614*100)</f>
        <v>1.4982370753713972</v>
      </c>
      <c r="G18" s="58">
        <f>IF(OR(3307388.5187="",40527.23218="",43758.89581=""),"-",(43758.89581-40527.23218)/3307388.5187*100)</f>
        <v>9.7710432618609885E-2</v>
      </c>
      <c r="H18" s="58">
        <f>IF(OR(2890255.78537="",57356.39682="",43758.89581=""),"-",(57356.39682-43758.89581)/2890255.78537*100)</f>
        <v>0.47046012601473941</v>
      </c>
    </row>
    <row r="19" spans="1:8" s="7" customFormat="1" x14ac:dyDescent="0.25">
      <c r="A19" s="68" t="s">
        <v>251</v>
      </c>
      <c r="B19" s="38" t="s">
        <v>206</v>
      </c>
      <c r="C19" s="35">
        <v>70527.906900000002</v>
      </c>
      <c r="D19" s="56">
        <f>IF(56542.21405="","-",70527.9069/56542.21405*100)</f>
        <v>124.73495791592548</v>
      </c>
      <c r="E19" s="56">
        <f>IF(56542.21405="","-",56542.21405/2890255.78537*100)</f>
        <v>1.9563048480417338</v>
      </c>
      <c r="F19" s="56">
        <f>IF(70527.9069="","-",70527.9069/3828259.07614*100)</f>
        <v>1.8422971250710822</v>
      </c>
      <c r="G19" s="56">
        <f>IF(3307388.5187="","-",(56542.21405-70008.83342)/3307388.5187*100)</f>
        <v>-0.40716774862885396</v>
      </c>
      <c r="H19" s="56">
        <f>IF(2890255.78537="","-",(70527.9069-56542.21405)/2890255.78537*100)</f>
        <v>0.48389118087033262</v>
      </c>
    </row>
    <row r="20" spans="1:8" s="7" customFormat="1" x14ac:dyDescent="0.25">
      <c r="A20" s="69" t="s">
        <v>252</v>
      </c>
      <c r="B20" s="40" t="s">
        <v>207</v>
      </c>
      <c r="C20" s="36">
        <v>43985.595130000002</v>
      </c>
      <c r="D20" s="58">
        <f>IF(OR(29560.66836="",43985.59513=""),"-",43985.59513/29560.66836*100)</f>
        <v>148.79770171069299</v>
      </c>
      <c r="E20" s="58">
        <f>IF(29560.66836="","-",29560.66836/2890255.78537*100)</f>
        <v>1.0227699745341312</v>
      </c>
      <c r="F20" s="58">
        <f>IF(43985.59513="","-",43985.59513/3828259.07614*100)</f>
        <v>1.1489712230853062</v>
      </c>
      <c r="G20" s="58">
        <f>IF(OR(3307388.5187="",36340.33229="",29560.66836=""),"-",(29560.66836-36340.33229)/3307388.5187*100)</f>
        <v>-0.20498541044294394</v>
      </c>
      <c r="H20" s="58">
        <f>IF(OR(2890255.78537="",43985.59513="",29560.66836=""),"-",(43985.59513-29560.66836)/2890255.78537*100)</f>
        <v>0.49908824135969593</v>
      </c>
    </row>
    <row r="21" spans="1:8" s="7" customFormat="1" x14ac:dyDescent="0.25">
      <c r="A21" s="69" t="s">
        <v>253</v>
      </c>
      <c r="B21" s="40" t="s">
        <v>208</v>
      </c>
      <c r="C21" s="36">
        <v>26542.31177</v>
      </c>
      <c r="D21" s="58">
        <f>IF(OR(26981.54569="",26542.31177=""),"-",26542.31177/26981.54569*100)</f>
        <v>98.37209504212062</v>
      </c>
      <c r="E21" s="58">
        <f>IF(26981.54569="","-",26981.54569/2890255.78537*100)</f>
        <v>0.93353487350760267</v>
      </c>
      <c r="F21" s="58">
        <f>IF(26542.31177="","-",26542.31177/3828259.07614*100)</f>
        <v>0.69332590198577626</v>
      </c>
      <c r="G21" s="58">
        <f>IF(OR(3307388.5187="",33668.50113="",26981.54569=""),"-",(26981.54569-33668.50113)/3307388.5187*100)</f>
        <v>-0.20218233818591014</v>
      </c>
      <c r="H21" s="58">
        <f>IF(OR(2890255.78537="",26542.31177="",26981.54569=""),"-",(26542.31177-26981.54569)/2890255.78537*100)</f>
        <v>-1.5197060489363215E-2</v>
      </c>
    </row>
    <row r="22" spans="1:8" s="7" customFormat="1" ht="25.5" x14ac:dyDescent="0.25">
      <c r="A22" s="68" t="s">
        <v>254</v>
      </c>
      <c r="B22" s="38" t="s">
        <v>24</v>
      </c>
      <c r="C22" s="35">
        <v>117440.43527</v>
      </c>
      <c r="D22" s="56">
        <f>IF(84603.56097="","-",117440.43527/84603.56097*100)</f>
        <v>138.81263852669724</v>
      </c>
      <c r="E22" s="56">
        <f>IF(84603.56097="","-",84603.56097/2890255.78537*100)</f>
        <v>2.9271997792807589</v>
      </c>
      <c r="F22" s="56">
        <f>IF(117440.43527="","-",117440.43527/3828259.07614*100)</f>
        <v>3.0677243345926879</v>
      </c>
      <c r="G22" s="56">
        <f>IF(3307388.5187="","-",(84603.56097-94227.1607)/3307388.5187*100)</f>
        <v>-0.29097276221369461</v>
      </c>
      <c r="H22" s="56">
        <f>IF(2890255.78537="","-",(117440.43527-84603.56097)/2890255.78537*100)</f>
        <v>1.1361234692865199</v>
      </c>
    </row>
    <row r="23" spans="1:8" s="7" customFormat="1" ht="25.5" x14ac:dyDescent="0.25">
      <c r="A23" s="69" t="s">
        <v>255</v>
      </c>
      <c r="B23" s="40" t="s">
        <v>215</v>
      </c>
      <c r="C23" s="36">
        <v>14.63442</v>
      </c>
      <c r="D23" s="58" t="str">
        <f>IF(OR(""="",14.63442=""),"-",14.63442/""*100)</f>
        <v>-</v>
      </c>
      <c r="E23" s="58" t="str">
        <f>IF(""="","-",""/2890255.78537*100)</f>
        <v>-</v>
      </c>
      <c r="F23" s="58">
        <f>IF(14.63442="","-",14.63442/3828259.07614*100)</f>
        <v>3.8227350105980175E-4</v>
      </c>
      <c r="G23" s="58" t="str">
        <f>IF(OR(3307388.5187="",""="",""=""),"-",(""-"")/3307388.5187*100)</f>
        <v>-</v>
      </c>
      <c r="H23" s="58" t="str">
        <f>IF(OR(2890255.78537="",14.63442="",""=""),"-",(14.63442-"")/2890255.78537*100)</f>
        <v>-</v>
      </c>
    </row>
    <row r="24" spans="1:8" s="7" customFormat="1" x14ac:dyDescent="0.25">
      <c r="A24" s="69" t="s">
        <v>256</v>
      </c>
      <c r="B24" s="40" t="s">
        <v>209</v>
      </c>
      <c r="C24" s="36">
        <v>40246.503170000004</v>
      </c>
      <c r="D24" s="58">
        <f>IF(OR(28130.41906="",40246.50317=""),"-",40246.50317/28130.41906*100)</f>
        <v>143.07111132670062</v>
      </c>
      <c r="E24" s="58">
        <f>IF(28130.41906="","-",28130.41906/2890255.78537*100)</f>
        <v>0.97328475916877522</v>
      </c>
      <c r="F24" s="58">
        <f>IF(40246.50317="","-",40246.50317/3828259.07614*100)</f>
        <v>1.051300404950132</v>
      </c>
      <c r="G24" s="58">
        <f>IF(OR(3307388.5187="",26687.89334="",28130.41906=""),"-",(28130.41906-26687.89334)/3307388.5187*100)</f>
        <v>4.3615248460951897E-2</v>
      </c>
      <c r="H24" s="58">
        <f>IF(OR(2890255.78537="",40246.50317="",28130.41906=""),"-",(40246.50317-28130.41906)/2890255.78537*100)</f>
        <v>0.41920456214739299</v>
      </c>
    </row>
    <row r="25" spans="1:8" s="7" customFormat="1" ht="25.5" x14ac:dyDescent="0.25">
      <c r="A25" s="69" t="s">
        <v>310</v>
      </c>
      <c r="B25" s="40" t="s">
        <v>210</v>
      </c>
      <c r="C25" s="36">
        <v>1290.3566499999999</v>
      </c>
      <c r="D25" s="58" t="s">
        <v>221</v>
      </c>
      <c r="E25" s="58">
        <f>IF(721.96812="","-",721.96812/2890255.78537*100)</f>
        <v>2.4979384996112936E-2</v>
      </c>
      <c r="F25" s="58">
        <f>IF(1290.35665="","-",1290.35665/3828259.07614*100)</f>
        <v>3.3706095233791103E-2</v>
      </c>
      <c r="G25" s="58">
        <f>IF(OR(3307388.5187="",891.32307="",721.96812=""),"-",(721.96812-891.32307)/3307388.5187*100)</f>
        <v>-5.1205036554509958E-3</v>
      </c>
      <c r="H25" s="58">
        <f>IF(OR(2890255.78537="",1290.35665="",721.96812=""),"-",(1290.35665-721.96812)/2890255.78537*100)</f>
        <v>1.966568263186564E-2</v>
      </c>
    </row>
    <row r="26" spans="1:8" s="7" customFormat="1" x14ac:dyDescent="0.25">
      <c r="A26" s="69" t="s">
        <v>257</v>
      </c>
      <c r="B26" s="40" t="s">
        <v>211</v>
      </c>
      <c r="C26" s="36">
        <v>25845.325199999999</v>
      </c>
      <c r="D26" s="58">
        <f>IF(OR(19927.98968="",25845.3252=""),"-",25845.3252/19927.98968*100)</f>
        <v>129.69358984533557</v>
      </c>
      <c r="E26" s="58">
        <f>IF(19927.98968="","-",19927.98968/2890255.78537*100)</f>
        <v>0.68948879129910268</v>
      </c>
      <c r="F26" s="58">
        <f>IF(25845.3252="","-",25845.3252/3828259.07614*100)</f>
        <v>0.67511954353046588</v>
      </c>
      <c r="G26" s="58">
        <f>IF(OR(3307388.5187="",21044.14008="",19927.98968=""),"-",(19927.98968-21044.14008)/3307388.5187*100)</f>
        <v>-3.3747181309038213E-2</v>
      </c>
      <c r="H26" s="58">
        <f>IF(OR(2890255.78537="",25845.3252="",19927.98968=""),"-",(25845.3252-19927.98968)/2890255.78537*100)</f>
        <v>0.20473397371791732</v>
      </c>
    </row>
    <row r="27" spans="1:8" s="7" customFormat="1" ht="14.25" customHeight="1" x14ac:dyDescent="0.25">
      <c r="A27" s="69" t="s">
        <v>258</v>
      </c>
      <c r="B27" s="40" t="s">
        <v>163</v>
      </c>
      <c r="C27" s="36">
        <v>324.42781000000002</v>
      </c>
      <c r="D27" s="58" t="s">
        <v>104</v>
      </c>
      <c r="E27" s="58">
        <f>IF(208.24908="","-",208.24908/2890255.78537*100)</f>
        <v>7.2052128069121976E-3</v>
      </c>
      <c r="F27" s="58">
        <f>IF(324.42781="","-",324.42781/3828259.07614*100)</f>
        <v>8.4745521018164145E-3</v>
      </c>
      <c r="G27" s="58">
        <f>IF(OR(3307388.5187="",253.65824="",208.24908=""),"-",(208.24908-253.65824)/3307388.5187*100)</f>
        <v>-1.3729611668921349E-3</v>
      </c>
      <c r="H27" s="58">
        <f>IF(OR(2890255.78537="",324.42781="",208.24908=""),"-",(324.42781-208.24908)/2890255.78537*100)</f>
        <v>4.0196694904332574E-3</v>
      </c>
    </row>
    <row r="28" spans="1:8" s="7" customFormat="1" ht="38.25" x14ac:dyDescent="0.25">
      <c r="A28" s="69" t="s">
        <v>259</v>
      </c>
      <c r="B28" s="40" t="s">
        <v>164</v>
      </c>
      <c r="C28" s="36">
        <v>5582.2047199999997</v>
      </c>
      <c r="D28" s="58">
        <f>IF(OR(4044.8797="",5582.20472=""),"-",5582.20472/4044.8797*100)</f>
        <v>138.00669325221219</v>
      </c>
      <c r="E28" s="58">
        <f>IF(4044.8797="","-",4044.8797/2890255.78537*100)</f>
        <v>0.13994884883457431</v>
      </c>
      <c r="F28" s="58">
        <f>IF(5582.20472="","-",5582.20472/3828259.07614*100)</f>
        <v>0.14581575094516558</v>
      </c>
      <c r="G28" s="58">
        <f>IF(OR(3307388.5187="",4460.87767="",4044.8797=""),"-",(4044.8797-4460.87767)/3307388.5187*100)</f>
        <v>-1.2577838002639976E-2</v>
      </c>
      <c r="H28" s="58">
        <f>IF(OR(2890255.78537="",5582.20472="",4044.8797=""),"-",(5582.20472-4044.8797)/2890255.78537*100)</f>
        <v>5.3189929686558765E-2</v>
      </c>
    </row>
    <row r="29" spans="1:8" s="7" customFormat="1" ht="38.25" x14ac:dyDescent="0.25">
      <c r="A29" s="69" t="s">
        <v>260</v>
      </c>
      <c r="B29" s="40" t="s">
        <v>165</v>
      </c>
      <c r="C29" s="36">
        <v>11193.88487</v>
      </c>
      <c r="D29" s="58">
        <f>IF(OR(8342.00631="",11193.88487=""),"-",11193.88487/8342.00631*100)</f>
        <v>134.18696239274362</v>
      </c>
      <c r="E29" s="58">
        <f>IF(8342.00631="","-",8342.00631/2890255.78537*100)</f>
        <v>0.28862519200639147</v>
      </c>
      <c r="F29" s="58">
        <f>IF(11193.88487="","-",11193.88487/3828259.07614*100)</f>
        <v>0.29240144534018048</v>
      </c>
      <c r="G29" s="58">
        <f>IF(OR(3307388.5187="",16935.14412="",8342.00631=""),"-",(8342.00631-16935.14412)/3307388.5187*100)</f>
        <v>-0.25981640080729351</v>
      </c>
      <c r="H29" s="58">
        <f>IF(OR(2890255.78537="",11193.88487="",8342.00631=""),"-",(11193.88487-8342.00631)/2890255.78537*100)</f>
        <v>9.8672185847209076E-2</v>
      </c>
    </row>
    <row r="30" spans="1:8" s="7" customFormat="1" ht="25.5" x14ac:dyDescent="0.25">
      <c r="A30" s="69" t="s">
        <v>261</v>
      </c>
      <c r="B30" s="40" t="s">
        <v>166</v>
      </c>
      <c r="C30" s="36">
        <v>822.19331999999997</v>
      </c>
      <c r="D30" s="58">
        <f>IF(OR(801.60272="",822.19332=""),"-",822.19332/801.60272*100)</f>
        <v>102.56867890867436</v>
      </c>
      <c r="E30" s="58">
        <f>IF(801.60272="","-",801.60272/2890255.78537*100)</f>
        <v>2.7734663625883262E-2</v>
      </c>
      <c r="F30" s="58">
        <f>IF(822.19332="","-",822.19332/3828259.07614*100)</f>
        <v>2.1476950844951964E-2</v>
      </c>
      <c r="G30" s="58">
        <f>IF(OR(3307388.5187="",825.50879="",801.60272=""),"-",(801.60272-825.50879)/3307388.5187*100)</f>
        <v>-7.2280803615405015E-4</v>
      </c>
      <c r="H30" s="58">
        <f>IF(OR(2890255.78537="",822.19332="",801.60272=""),"-",(822.19332-801.60272)/2890255.78537*100)</f>
        <v>7.1241445494984318E-4</v>
      </c>
    </row>
    <row r="31" spans="1:8" s="7" customFormat="1" ht="25.5" x14ac:dyDescent="0.25">
      <c r="A31" s="69" t="s">
        <v>262</v>
      </c>
      <c r="B31" s="40" t="s">
        <v>167</v>
      </c>
      <c r="C31" s="36">
        <v>32120.90511</v>
      </c>
      <c r="D31" s="58">
        <f>IF(OR(22426.4463="",32120.90511=""),"-",32120.90511/22426.4463*100)</f>
        <v>143.22779757575771</v>
      </c>
      <c r="E31" s="58">
        <f>IF(22426.4463="","-",22426.4463/2890255.78537*100)</f>
        <v>0.7759329265430065</v>
      </c>
      <c r="F31" s="58">
        <f>IF(32120.90511="","-",32120.90511/3828259.07614*100)</f>
        <v>0.83904731814512468</v>
      </c>
      <c r="G31" s="58">
        <f>IF(OR(3307388.5187="",23128.61539="",22426.4463=""),"-",(22426.4463-23128.61539)/3307388.5187*100)</f>
        <v>-2.1230317697178001E-2</v>
      </c>
      <c r="H31" s="58">
        <f>IF(OR(2890255.78537="",32120.90511="",22426.4463=""),"-",(32120.90511-22426.4463)/2890255.78537*100)</f>
        <v>0.33541871480966345</v>
      </c>
    </row>
    <row r="32" spans="1:8" s="7" customFormat="1" ht="25.5" x14ac:dyDescent="0.25">
      <c r="A32" s="68" t="s">
        <v>263</v>
      </c>
      <c r="B32" s="38" t="s">
        <v>168</v>
      </c>
      <c r="C32" s="35">
        <v>456624.39567</v>
      </c>
      <c r="D32" s="56">
        <f>IF(344609.48612="","-",456624.39567/344609.48612*100)</f>
        <v>132.50488279100773</v>
      </c>
      <c r="E32" s="56">
        <f>IF(344609.48612="","-",344609.48612/2890255.78537*100)</f>
        <v>11.923148389300234</v>
      </c>
      <c r="F32" s="56">
        <f>IF(456624.39567="","-",456624.39567/3828259.07614*100)</f>
        <v>11.927729722263477</v>
      </c>
      <c r="G32" s="56">
        <f>IF(3307388.5187="","-",(344609.48612-518987.96389)/3307388.5187*100)</f>
        <v>-5.2723917007047332</v>
      </c>
      <c r="H32" s="56">
        <f>IF(2890255.78537="","-",(456624.39567-344609.48612)/2890255.78537*100)</f>
        <v>3.8756054089399647</v>
      </c>
    </row>
    <row r="33" spans="1:8" s="7" customFormat="1" x14ac:dyDescent="0.25">
      <c r="A33" s="69" t="s">
        <v>264</v>
      </c>
      <c r="B33" s="40" t="s">
        <v>212</v>
      </c>
      <c r="C33" s="36">
        <v>7390.9789099999998</v>
      </c>
      <c r="D33" s="58">
        <f>IF(OR(8622.57809="",7390.97891=""),"-",7390.97891/8622.57809*100)</f>
        <v>85.716578416050027</v>
      </c>
      <c r="E33" s="58">
        <f>IF(8622.57809="","-",8622.57809/2890255.78537*100)</f>
        <v>0.29833269891357278</v>
      </c>
      <c r="F33" s="58">
        <f>IF(7390.97891="","-",7390.97891/3828259.07614*100)</f>
        <v>0.19306370762796596</v>
      </c>
      <c r="G33" s="58">
        <f>IF(OR(3307388.5187="",11720.06564="",8622.57809=""),"-",(8622.57809-11720.06564)/3307388.5187*100)</f>
        <v>-9.3653573884252828E-2</v>
      </c>
      <c r="H33" s="58">
        <f>IF(OR(2890255.78537="",7390.97891="",8622.57809=""),"-",(7390.97891-8622.57809)/2890255.78537*100)</f>
        <v>-4.261211710860173E-2</v>
      </c>
    </row>
    <row r="34" spans="1:8" s="7" customFormat="1" ht="25.5" x14ac:dyDescent="0.25">
      <c r="A34" s="69" t="s">
        <v>265</v>
      </c>
      <c r="B34" s="40" t="s">
        <v>169</v>
      </c>
      <c r="C34" s="36">
        <v>302646.24196999997</v>
      </c>
      <c r="D34" s="58">
        <f>IF(OR(208269.94625="",302646.24197=""),"-",302646.24197/208269.94625*100)</f>
        <v>145.31440921711956</v>
      </c>
      <c r="E34" s="58">
        <f>IF(208269.94625="","-",208269.94625/2890255.78537*100)</f>
        <v>7.2059347585853208</v>
      </c>
      <c r="F34" s="58">
        <f>IF(302646.24197="","-",302646.24197/3828259.07614*100)</f>
        <v>7.9055841297751321</v>
      </c>
      <c r="G34" s="58">
        <f>IF(OR(3307388.5187="",315454.22257="",208269.94625=""),"-",(208269.94625-315454.22257)/3307388.5187*100)</f>
        <v>-3.2407525065162215</v>
      </c>
      <c r="H34" s="58">
        <f>IF(OR(2890255.78537="",302646.24197="",208269.94625=""),"-",(302646.24197-208269.94625)/2890255.78537*100)</f>
        <v>3.2653267644240094</v>
      </c>
    </row>
    <row r="35" spans="1:8" s="7" customFormat="1" ht="25.5" x14ac:dyDescent="0.25">
      <c r="A35" s="69" t="s">
        <v>311</v>
      </c>
      <c r="B35" s="40" t="s">
        <v>213</v>
      </c>
      <c r="C35" s="36">
        <v>141159.5828</v>
      </c>
      <c r="D35" s="58">
        <f>IF(OR(119606.08871="",141159.5828=""),"-",141159.5828/119606.08871*100)</f>
        <v>118.02039872924794</v>
      </c>
      <c r="E35" s="58">
        <f>IF(119606.08871="","-",119606.08871/2890255.78537*100)</f>
        <v>4.1382527219710568</v>
      </c>
      <c r="F35" s="58">
        <f>IF(141159.5828="","-",141159.5828/3828259.07614*100)</f>
        <v>3.6873048556141605</v>
      </c>
      <c r="G35" s="58">
        <f>IF(OR(3307388.5187="",166984.43861="",119606.08871=""),"-",(119606.08871-166984.43861)/3307388.5187*100)</f>
        <v>-1.4325002832936762</v>
      </c>
      <c r="H35" s="58">
        <f>IF(OR(2890255.78537="",141159.5828="",119606.08871=""),"-",(141159.5828-119606.08871)/2890255.78537*100)</f>
        <v>0.74572964092314087</v>
      </c>
    </row>
    <row r="36" spans="1:8" s="7" customFormat="1" x14ac:dyDescent="0.25">
      <c r="A36" s="69" t="s">
        <v>321</v>
      </c>
      <c r="B36" s="40" t="s">
        <v>324</v>
      </c>
      <c r="C36" s="36">
        <v>5427.5919899999999</v>
      </c>
      <c r="D36" s="58">
        <f>IF(OR(8110.87307="",5427.59199=""),"-",5427.59199/8110.87307*100)</f>
        <v>66.91748154801293</v>
      </c>
      <c r="E36" s="58">
        <f>IF(8110.87307="","-",8110.87307/2890255.78537*100)</f>
        <v>0.28062820983028236</v>
      </c>
      <c r="F36" s="58">
        <f>IF(5427.59199="","-",5427.59199/3828259.07614*100)</f>
        <v>0.14177702924621793</v>
      </c>
      <c r="G36" s="58">
        <f>IF(OR(3307388.5187="",24829.23707="",8110.87307=""),"-",(8110.87307-24829.23707)/3307388.5187*100)</f>
        <v>-0.50548533701058229</v>
      </c>
      <c r="H36" s="58">
        <f>IF(OR(2890255.78537="",5427.59199="",8110.87307=""),"-",(5427.59199-8110.87307)/2890255.78537*100)</f>
        <v>-9.2838879298584143E-2</v>
      </c>
    </row>
    <row r="37" spans="1:8" s="7" customFormat="1" ht="25.5" x14ac:dyDescent="0.25">
      <c r="A37" s="68" t="s">
        <v>266</v>
      </c>
      <c r="B37" s="38" t="s">
        <v>170</v>
      </c>
      <c r="C37" s="35">
        <v>7789.4258499999896</v>
      </c>
      <c r="D37" s="56">
        <f>IF(5527.84106="","-",7789.42584999999/5527.84106*100)</f>
        <v>140.91262330903541</v>
      </c>
      <c r="E37" s="56">
        <f>IF(5527.84106="","-",5527.84106/2890255.78537*100)</f>
        <v>0.1912578494948794</v>
      </c>
      <c r="F37" s="56">
        <f>IF(7789.42584999999="","-",7789.42584999999/3828259.07614*100)</f>
        <v>0.2034717529581096</v>
      </c>
      <c r="G37" s="56">
        <f>IF(3307388.5187="","-",(5527.84106-6348.58227)/3307388.5187*100)</f>
        <v>-2.4815385472844301E-2</v>
      </c>
      <c r="H37" s="56">
        <f>IF(2890255.78537="","-",(7789.42584999999-5527.84106)/2890255.78537*100)</f>
        <v>7.8248603512801898E-2</v>
      </c>
    </row>
    <row r="38" spans="1:8" s="7" customFormat="1" x14ac:dyDescent="0.25">
      <c r="A38" s="69" t="s">
        <v>267</v>
      </c>
      <c r="B38" s="40" t="s">
        <v>216</v>
      </c>
      <c r="C38" s="36">
        <v>939.07743000000005</v>
      </c>
      <c r="D38" s="58">
        <f>IF(OR(835.30115="",939.07743=""),"-",939.07743/835.30115*100)</f>
        <v>112.42381624878645</v>
      </c>
      <c r="E38" s="58">
        <f>IF(835.30115="","-",835.30115/2890255.78537*100)</f>
        <v>2.8900596072782107E-2</v>
      </c>
      <c r="F38" s="58">
        <f>IF(939.07743="","-",939.07743/3828259.07614*100)</f>
        <v>2.4530143110033806E-2</v>
      </c>
      <c r="G38" s="58">
        <f>IF(OR(3307388.5187="",856.10738="",835.30115=""),"-",(835.30115-856.10738)/3307388.5187*100)</f>
        <v>-6.2908333515586216E-4</v>
      </c>
      <c r="H38" s="58">
        <f>IF(OR(2890255.78537="",939.07743="",835.30115=""),"-",(939.07743-835.30115)/2890255.78537*100)</f>
        <v>3.5905569508864416E-3</v>
      </c>
    </row>
    <row r="39" spans="1:8" s="7" customFormat="1" ht="25.5" x14ac:dyDescent="0.25">
      <c r="A39" s="69" t="s">
        <v>268</v>
      </c>
      <c r="B39" s="40" t="s">
        <v>171</v>
      </c>
      <c r="C39" s="36">
        <v>5823.5346499999996</v>
      </c>
      <c r="D39" s="58" t="s">
        <v>234</v>
      </c>
      <c r="E39" s="58">
        <f>IF(3769.11298="","-",3769.11298/2890255.78537*100)</f>
        <v>0.13040759226496942</v>
      </c>
      <c r="F39" s="58">
        <f>IF(5823.53465="","-",5823.53465/3828259.07614*100)</f>
        <v>0.15211965894094656</v>
      </c>
      <c r="G39" s="58">
        <f>IF(OR(3307388.5187="",3993.58049="",3769.11298=""),"-",(3769.11298-3993.58049)/3307388.5187*100)</f>
        <v>-6.7868503724572713E-3</v>
      </c>
      <c r="H39" s="58">
        <f>IF(OR(2890255.78537="",5823.53465="",3769.11298=""),"-",(5823.53465-3769.11298)/2890255.78537*100)</f>
        <v>7.1080963850990095E-2</v>
      </c>
    </row>
    <row r="40" spans="1:8" s="7" customFormat="1" ht="63.75" x14ac:dyDescent="0.25">
      <c r="A40" s="69" t="s">
        <v>269</v>
      </c>
      <c r="B40" s="40" t="s">
        <v>214</v>
      </c>
      <c r="C40" s="36">
        <v>1026.81377</v>
      </c>
      <c r="D40" s="58">
        <f>IF(OR(923.42693="",1026.81377=""),"-",1026.81377/923.42693*100)</f>
        <v>111.19599576763481</v>
      </c>
      <c r="E40" s="58">
        <f>IF(923.42693="","-",923.42693/2890255.78537*100)</f>
        <v>3.194966115712787E-2</v>
      </c>
      <c r="F40" s="58">
        <f>IF(1026.81377="","-",1026.81377/3828259.07614*100)</f>
        <v>2.6821950907129497E-2</v>
      </c>
      <c r="G40" s="58">
        <f>IF(OR(3307388.5187="",1498.8944="",923.42693=""),"-",(923.42693-1498.8944)/3307388.5187*100)</f>
        <v>-1.7399451765231163E-2</v>
      </c>
      <c r="H40" s="58">
        <f>IF(OR(2890255.78537="",1026.81377="",923.42693=""),"-",(1026.81377-923.42693)/2890255.78537*100)</f>
        <v>3.5770827109256973E-3</v>
      </c>
    </row>
    <row r="41" spans="1:8" s="7" customFormat="1" ht="25.5" x14ac:dyDescent="0.25">
      <c r="A41" s="68" t="s">
        <v>270</v>
      </c>
      <c r="B41" s="38" t="s">
        <v>172</v>
      </c>
      <c r="C41" s="35">
        <v>583940.86745000002</v>
      </c>
      <c r="D41" s="56">
        <f>IF(474570.59795="","-",583940.86745/474570.59795*100)</f>
        <v>123.0461537171595</v>
      </c>
      <c r="E41" s="56">
        <f>IF(474570.59795="","-",474570.59795/2890255.78537*100)</f>
        <v>16.419674699803334</v>
      </c>
      <c r="F41" s="56">
        <f>IF(583940.86745="","-",583940.86745/3828259.07614*100)</f>
        <v>15.25343128132233</v>
      </c>
      <c r="G41" s="56">
        <f>IF(3307388.5187="","-",(474570.59795-495832.34295)/3307388.5187*100)</f>
        <v>-0.64285598380069131</v>
      </c>
      <c r="H41" s="56">
        <f>IF(2890255.78537="","-",(583940.86745-474570.59795)/2890255.78537*100)</f>
        <v>3.7841034711742236</v>
      </c>
    </row>
    <row r="42" spans="1:8" s="7" customFormat="1" x14ac:dyDescent="0.25">
      <c r="A42" s="69" t="s">
        <v>271</v>
      </c>
      <c r="B42" s="40" t="s">
        <v>25</v>
      </c>
      <c r="C42" s="36">
        <v>7149.3101299999998</v>
      </c>
      <c r="D42" s="58">
        <f>IF(OR(6470.03121="",7149.31013=""),"-",7149.31013/6470.03121*100)</f>
        <v>110.4988507466566</v>
      </c>
      <c r="E42" s="58">
        <f>IF(6470.03121="","-",6470.03121/2890255.78537*100)</f>
        <v>0.22385669956099508</v>
      </c>
      <c r="F42" s="58">
        <f>IF(7149.31013="","-",7149.31013/3828259.07614*100)</f>
        <v>0.18675094835035527</v>
      </c>
      <c r="G42" s="58">
        <f>IF(OR(3307388.5187="",12467.08583="",6470.03121=""),"-",(6470.03121-12467.08583)/3307388.5187*100)</f>
        <v>-0.18132295574265336</v>
      </c>
      <c r="H42" s="58">
        <f>IF(OR(2890255.78537="",7149.31013="",6470.03121=""),"-",(7149.31013-6470.03121)/2890255.78537*100)</f>
        <v>2.3502380773300344E-2</v>
      </c>
    </row>
    <row r="43" spans="1:8" s="7" customFormat="1" x14ac:dyDescent="0.25">
      <c r="A43" s="69" t="s">
        <v>272</v>
      </c>
      <c r="B43" s="40" t="s">
        <v>26</v>
      </c>
      <c r="C43" s="36">
        <v>9102.9638400000003</v>
      </c>
      <c r="D43" s="58">
        <f>IF(OR(9352.68254="",9102.96384=""),"-",9102.96384/9352.68254*100)</f>
        <v>97.329977801213815</v>
      </c>
      <c r="E43" s="58">
        <f>IF(9352.68254="","-",9352.68254/2890255.78537*100)</f>
        <v>0.3235935929041901</v>
      </c>
      <c r="F43" s="58">
        <f>IF(9102.96384="","-",9102.96384/3828259.07614*100)</f>
        <v>0.23778338035518845</v>
      </c>
      <c r="G43" s="58">
        <f>IF(OR(3307388.5187="",9553.54657="",9352.68254=""),"-",(9352.68254-9553.54657)/3307388.5187*100)</f>
        <v>-6.0731912463357083E-3</v>
      </c>
      <c r="H43" s="58">
        <f>IF(OR(2890255.78537="",9102.96384="",9352.68254=""),"-",(9102.96384-9352.68254)/2890255.78537*100)</f>
        <v>-8.6400207643916663E-3</v>
      </c>
    </row>
    <row r="44" spans="1:8" s="7" customFormat="1" x14ac:dyDescent="0.25">
      <c r="A44" s="69" t="s">
        <v>273</v>
      </c>
      <c r="B44" s="40" t="s">
        <v>173</v>
      </c>
      <c r="C44" s="36">
        <v>27910.533299999999</v>
      </c>
      <c r="D44" s="58">
        <f>IF(OR(21415.5489="",27910.5333=""),"-",27910.5333/21415.5489*100)</f>
        <v>130.3283582892428</v>
      </c>
      <c r="E44" s="58">
        <f>IF(21415.5489="","-",21415.5489/2890255.78537*100)</f>
        <v>0.74095687338131078</v>
      </c>
      <c r="F44" s="58">
        <f>IF(27910.5333="","-",27910.5333/3828259.07614*100)</f>
        <v>0.72906594733765884</v>
      </c>
      <c r="G44" s="58">
        <f>IF(OR(3307388.5187="",21447.3184="",21415.5489=""),"-",(21415.5489-21447.3184)/3307388.5187*100)</f>
        <v>-9.605614768381012E-4</v>
      </c>
      <c r="H44" s="58">
        <f>IF(OR(2890255.78537="",27910.5333="",21415.5489=""),"-",(27910.5333-21415.5489)/2890255.78537*100)</f>
        <v>0.22472005532785511</v>
      </c>
    </row>
    <row r="45" spans="1:8" s="7" customFormat="1" x14ac:dyDescent="0.25">
      <c r="A45" s="69" t="s">
        <v>274</v>
      </c>
      <c r="B45" s="40" t="s">
        <v>174</v>
      </c>
      <c r="C45" s="36">
        <v>177530.73376</v>
      </c>
      <c r="D45" s="58">
        <f>IF(OR(139182.41362="",177530.73376=""),"-",177530.73376/139182.41362*100)</f>
        <v>127.55256152167308</v>
      </c>
      <c r="E45" s="58">
        <f>IF(139182.41362="","-",139182.41362/2890255.78537*100)</f>
        <v>4.8155742590160528</v>
      </c>
      <c r="F45" s="58">
        <f>IF(177530.73376="","-",177530.73376/3828259.07614*100)</f>
        <v>4.6373751156623042</v>
      </c>
      <c r="G45" s="58">
        <f>IF(OR(3307388.5187="",147343.17701="",139182.41362=""),"-",(139182.41362-147343.17701)/3307388.5187*100)</f>
        <v>-0.24674341535199112</v>
      </c>
      <c r="H45" s="58">
        <f>IF(OR(2890255.78537="",177530.73376="",139182.41362=""),"-",(177530.73376-139182.41362)/2890255.78537*100)</f>
        <v>1.3268140603372507</v>
      </c>
    </row>
    <row r="46" spans="1:8" s="7" customFormat="1" ht="39.75" customHeight="1" x14ac:dyDescent="0.25">
      <c r="A46" s="69" t="s">
        <v>275</v>
      </c>
      <c r="B46" s="40" t="s">
        <v>175</v>
      </c>
      <c r="C46" s="36">
        <v>76356.257889999993</v>
      </c>
      <c r="D46" s="58">
        <f>IF(OR(61082.4476="",76356.25789=""),"-",76356.25789/61082.4476*100)</f>
        <v>125.00523618506733</v>
      </c>
      <c r="E46" s="58">
        <f>IF(61082.4476="","-",61082.4476/2890255.78537*100)</f>
        <v>2.1133924516020106</v>
      </c>
      <c r="F46" s="58">
        <f>IF(76356.25789="","-",76356.25789/3828259.07614*100)</f>
        <v>1.9945425942015746</v>
      </c>
      <c r="G46" s="58">
        <f>IF(OR(3307388.5187="",63024.11862="",61082.4476=""),"-",(61082.4476-63024.11862)/3307388.5187*100)</f>
        <v>-5.8707073844568879E-2</v>
      </c>
      <c r="H46" s="58">
        <f>IF(OR(2890255.78537="",76356.25789="",61082.4476=""),"-",(76356.25789-61082.4476)/2890255.78537*100)</f>
        <v>0.5284587740404677</v>
      </c>
    </row>
    <row r="47" spans="1:8" s="7" customFormat="1" x14ac:dyDescent="0.25">
      <c r="A47" s="69" t="s">
        <v>276</v>
      </c>
      <c r="B47" s="40" t="s">
        <v>176</v>
      </c>
      <c r="C47" s="36">
        <v>47702.19904</v>
      </c>
      <c r="D47" s="58">
        <f>IF(OR(53397.30602="",47702.19904=""),"-",47702.19904/53397.30602*100)</f>
        <v>89.334467589307039</v>
      </c>
      <c r="E47" s="58">
        <f>IF(53397.30602="","-",53397.30602/2890255.78537*100)</f>
        <v>1.8474941314982705</v>
      </c>
      <c r="F47" s="58">
        <f>IF(47702.19904="","-",47702.19904/3828259.07614*100)</f>
        <v>1.246054618855569</v>
      </c>
      <c r="G47" s="58">
        <f>IF(OR(3307388.5187="",54565.26106="",53397.30602=""),"-",(53397.30602-54565.26106)/3307388.5187*100)</f>
        <v>-3.5313511956529049E-2</v>
      </c>
      <c r="H47" s="58">
        <f>IF(OR(2890255.78537="",47702.19904="",53397.30602=""),"-",(47702.19904-53397.30602)/2890255.78537*100)</f>
        <v>-0.19704508538059851</v>
      </c>
    </row>
    <row r="48" spans="1:8" s="7" customFormat="1" x14ac:dyDescent="0.25">
      <c r="A48" s="69" t="s">
        <v>277</v>
      </c>
      <c r="B48" s="40" t="s">
        <v>27</v>
      </c>
      <c r="C48" s="36">
        <v>38354.757420000002</v>
      </c>
      <c r="D48" s="58">
        <f>IF(OR(25639.58274="",38354.75742=""),"-",38354.75742/25639.58274*100)</f>
        <v>149.59197194798031</v>
      </c>
      <c r="E48" s="58">
        <f>IF(25639.58274="","-",25639.58274/2890255.78537*100)</f>
        <v>0.88710427879024956</v>
      </c>
      <c r="F48" s="58">
        <f>IF(38354.75742="","-",38354.75742/3828259.07614*100)</f>
        <v>1.0018851038334837</v>
      </c>
      <c r="G48" s="58">
        <f>IF(OR(3307388.5187="",30730.80586="",25639.58274=""),"-",(25639.58274-30730.80586)/3307388.5187*100)</f>
        <v>-0.15393483684224529</v>
      </c>
      <c r="H48" s="58">
        <f>IF(OR(2890255.78537="",38354.75742="",25639.58274=""),"-",(38354.75742-25639.58274)/2890255.78537*100)</f>
        <v>0.4399325050869935</v>
      </c>
    </row>
    <row r="49" spans="1:8" s="7" customFormat="1" x14ac:dyDescent="0.25">
      <c r="A49" s="69" t="s">
        <v>278</v>
      </c>
      <c r="B49" s="40" t="s">
        <v>28</v>
      </c>
      <c r="C49" s="36">
        <v>88105.796390000003</v>
      </c>
      <c r="D49" s="58">
        <f>IF(OR(61611.00392="",88105.79639=""),"-",88105.79639/61611.00392*100)</f>
        <v>143.00334483171656</v>
      </c>
      <c r="E49" s="58">
        <f>IF(61611.00392="","-",61611.00392/2890255.78537*100)</f>
        <v>2.1316799790476946</v>
      </c>
      <c r="F49" s="58">
        <f>IF(88105.79639="","-",88105.79639/3828259.07614*100)</f>
        <v>2.3014585647854404</v>
      </c>
      <c r="G49" s="58">
        <f>IF(OR(3307388.5187="",64439.89421="",61611.00392=""),"-",(61611.00392-64439.89421)/3307388.5187*100)</f>
        <v>-8.5532445734918305E-2</v>
      </c>
      <c r="H49" s="58">
        <f>IF(OR(2890255.78537="",88105.79639="",61611.00392=""),"-",(88105.79639-61611.00392)/2890255.78537*100)</f>
        <v>0.91669369209854323</v>
      </c>
    </row>
    <row r="50" spans="1:8" s="7" customFormat="1" x14ac:dyDescent="0.25">
      <c r="A50" s="69" t="s">
        <v>279</v>
      </c>
      <c r="B50" s="40" t="s">
        <v>177</v>
      </c>
      <c r="C50" s="36">
        <v>111728.31568</v>
      </c>
      <c r="D50" s="58">
        <f>IF(OR(96419.5814="",111728.31568=""),"-",111728.31568/96419.5814*100)</f>
        <v>115.87720466913373</v>
      </c>
      <c r="E50" s="58">
        <f>IF(96419.5814="","-",96419.5814/2890255.78537*100)</f>
        <v>3.3360224340025573</v>
      </c>
      <c r="F50" s="58">
        <f>IF(111728.31568="","-",111728.31568/3828259.07614*100)</f>
        <v>2.9185150079407549</v>
      </c>
      <c r="G50" s="58">
        <f>IF(OR(3307388.5187="",92261.13539="",96419.5814=""),"-",(96419.5814-92261.13539)/3307388.5187*100)</f>
        <v>0.12573200839538853</v>
      </c>
      <c r="H50" s="58">
        <f>IF(OR(2890255.78537="",111728.31568="",96419.5814=""),"-",(111728.31568-96419.5814)/2890255.78537*100)</f>
        <v>0.5296671096548029</v>
      </c>
    </row>
    <row r="51" spans="1:8" s="7" customFormat="1" ht="25.5" x14ac:dyDescent="0.25">
      <c r="A51" s="68" t="s">
        <v>280</v>
      </c>
      <c r="B51" s="38" t="s">
        <v>355</v>
      </c>
      <c r="C51" s="35">
        <v>730936.28206</v>
      </c>
      <c r="D51" s="56">
        <f>IF(551430.27532="","-",730936.28206/551430.27532*100)</f>
        <v>132.55280218987451</v>
      </c>
      <c r="E51" s="56">
        <f>IF(551430.27532="","-",551430.27532/2890255.78537*100)</f>
        <v>19.078943743015738</v>
      </c>
      <c r="F51" s="56">
        <f>IF(730936.28206="","-",730936.28206/3828259.07614*100)</f>
        <v>19.093177016561707</v>
      </c>
      <c r="G51" s="56">
        <f>IF(3307388.5187="","-",(551430.27532-635557.85799)/3307388.5187*100)</f>
        <v>-2.5436256488870912</v>
      </c>
      <c r="H51" s="56">
        <f>IF(2890255.78537="","-",(730936.28206-551430.27532)/2890255.78537*100)</f>
        <v>6.2107308165813526</v>
      </c>
    </row>
    <row r="52" spans="1:8" s="7" customFormat="1" x14ac:dyDescent="0.25">
      <c r="A52" s="69" t="s">
        <v>281</v>
      </c>
      <c r="B52" s="40" t="s">
        <v>178</v>
      </c>
      <c r="C52" s="36">
        <v>33198.455009999998</v>
      </c>
      <c r="D52" s="58">
        <f>IF(OR(22943.27905="",33198.45501=""),"-",33198.45501/22943.27905*100)</f>
        <v>144.69795244895474</v>
      </c>
      <c r="E52" s="58">
        <f>IF(22943.27905="","-",22943.27905/2890255.78537*100)</f>
        <v>0.79381483002767816</v>
      </c>
      <c r="F52" s="58">
        <f>IF(33198.45501="","-",33198.45501/3828259.07614*100)</f>
        <v>0.86719457460213767</v>
      </c>
      <c r="G52" s="58">
        <f>IF(OR(3307388.5187="",30786.84395="",22943.27905=""),"-",(22943.27905-30786.84395)/3307388.5187*100)</f>
        <v>-0.23715281272981453</v>
      </c>
      <c r="H52" s="58">
        <f>IF(OR(2890255.78537="",33198.45501="",22943.27905=""),"-",(33198.45501-22943.27905)/2890255.78537*100)</f>
        <v>0.35481897525852252</v>
      </c>
    </row>
    <row r="53" spans="1:8" s="7" customFormat="1" x14ac:dyDescent="0.25">
      <c r="A53" s="69" t="s">
        <v>282</v>
      </c>
      <c r="B53" s="40" t="s">
        <v>29</v>
      </c>
      <c r="C53" s="36">
        <v>36574.138809999997</v>
      </c>
      <c r="D53" s="58">
        <f>IF(OR(29063.71797="",36574.13881=""),"-",36574.13881/29063.71797*100)</f>
        <v>125.84122529592518</v>
      </c>
      <c r="E53" s="58">
        <f>IF(29063.71797="","-",29063.71797/2890255.78537*100)</f>
        <v>1.0055759810988276</v>
      </c>
      <c r="F53" s="58">
        <f>IF(36574.13881="","-",36574.13881/3828259.07614*100)</f>
        <v>0.95537261409375085</v>
      </c>
      <c r="G53" s="58">
        <f>IF(OR(3307388.5187="",34280.07735="",29063.71797=""),"-",(29063.71797-34280.07735)/3307388.5187*100)</f>
        <v>-0.15771837359011989</v>
      </c>
      <c r="H53" s="58">
        <f>IF(OR(2890255.78537="",36574.13881="",29063.71797=""),"-",(36574.13881-29063.71797)/2890255.78537*100)</f>
        <v>0.25985315479745807</v>
      </c>
    </row>
    <row r="54" spans="1:8" s="7" customFormat="1" x14ac:dyDescent="0.25">
      <c r="A54" s="69" t="s">
        <v>283</v>
      </c>
      <c r="B54" s="40" t="s">
        <v>179</v>
      </c>
      <c r="C54" s="36">
        <v>59566.906389999996</v>
      </c>
      <c r="D54" s="58">
        <f>IF(OR(43938.70468="",59566.90639=""),"-",59566.90639/43938.70468*100)</f>
        <v>135.56818942164591</v>
      </c>
      <c r="E54" s="58">
        <f>IF(43938.70468="","-",43938.70468/2890255.78537*100)</f>
        <v>1.5202358525640016</v>
      </c>
      <c r="F54" s="58">
        <f>IF(59566.90639="","-",59566.90639/3828259.07614*100)</f>
        <v>1.5559789764819361</v>
      </c>
      <c r="G54" s="58">
        <f>IF(OR(3307388.5187="",49425.50754="",43938.70468=""),"-",(43938.70468-49425.50754)/3307388.5187*100)</f>
        <v>-0.16589532281972835</v>
      </c>
      <c r="H54" s="58">
        <f>IF(OR(2890255.78537="",59566.90639="",43938.70468=""),"-",(59566.90639-43938.70468)/2890255.78537*100)</f>
        <v>0.54072036769573761</v>
      </c>
    </row>
    <row r="55" spans="1:8" s="7" customFormat="1" ht="25.5" x14ac:dyDescent="0.25">
      <c r="A55" s="69" t="s">
        <v>284</v>
      </c>
      <c r="B55" s="40" t="s">
        <v>180</v>
      </c>
      <c r="C55" s="36">
        <v>60590.613299999997</v>
      </c>
      <c r="D55" s="58">
        <f>IF(OR(51113.47848="",60590.6133=""),"-",60590.6133/51113.47848*100)</f>
        <v>118.54136149960577</v>
      </c>
      <c r="E55" s="58">
        <f>IF(51113.47848="","-",51113.47848/2890255.78537*100)</f>
        <v>1.7684759507697563</v>
      </c>
      <c r="F55" s="58">
        <f>IF(60590.6133="","-",60590.6133/3828259.07614*100)</f>
        <v>1.5827197714396324</v>
      </c>
      <c r="G55" s="58">
        <f>IF(OR(3307388.5187="",59138.49364="",51113.47848=""),"-",(51113.47848-59138.49364)/3307388.5187*100)</f>
        <v>-0.24263902213563676</v>
      </c>
      <c r="H55" s="58">
        <f>IF(OR(2890255.78537="",60590.6133="",51113.47848=""),"-",(60590.6133-51113.47848)/2890255.78537*100)</f>
        <v>0.32789951906581066</v>
      </c>
    </row>
    <row r="56" spans="1:8" s="7" customFormat="1" ht="16.5" customHeight="1" x14ac:dyDescent="0.25">
      <c r="A56" s="69" t="s">
        <v>285</v>
      </c>
      <c r="B56" s="40" t="s">
        <v>181</v>
      </c>
      <c r="C56" s="36">
        <v>186957.11296</v>
      </c>
      <c r="D56" s="58">
        <f>IF(OR(140419.0038="",186957.11296=""),"-",186957.11296/140419.0038*100)</f>
        <v>133.14231542782102</v>
      </c>
      <c r="E56" s="58">
        <f>IF(140419.0038="","-",140419.0038/2890255.78537*100)</f>
        <v>4.8583590598028703</v>
      </c>
      <c r="F56" s="58">
        <f>IF(186957.11296="","-",186957.11296/3828259.07614*100)</f>
        <v>4.8836066013721107</v>
      </c>
      <c r="G56" s="58">
        <f>IF(OR(3307388.5187="",160693.27593="",140419.0038=""),"-",(140419.0038-160693.27593)/3307388.5187*100)</f>
        <v>-0.61299941072447661</v>
      </c>
      <c r="H56" s="58">
        <f>IF(OR(2890255.78537="",186957.11296="",140419.0038=""),"-",(186957.11296-140419.0038)/2890255.78537*100)</f>
        <v>1.6101726842159874</v>
      </c>
    </row>
    <row r="57" spans="1:8" s="7" customFormat="1" ht="16.5" customHeight="1" x14ac:dyDescent="0.25">
      <c r="A57" s="69" t="s">
        <v>286</v>
      </c>
      <c r="B57" s="40" t="s">
        <v>30</v>
      </c>
      <c r="C57" s="36">
        <v>91223.414369999999</v>
      </c>
      <c r="D57" s="58">
        <f>IF(OR(72556.98674="",91223.41437=""),"-",91223.41437/72556.98674*100)</f>
        <v>125.72657502562654</v>
      </c>
      <c r="E57" s="58">
        <f>IF(72556.98674="","-",72556.98674/2890255.78537*100)</f>
        <v>2.5104001904354463</v>
      </c>
      <c r="F57" s="58">
        <f>IF(91223.41437="","-",91223.41437/3828259.07614*100)</f>
        <v>2.3828955291599483</v>
      </c>
      <c r="G57" s="58">
        <f>IF(OR(3307388.5187="",72820.96236="",72556.98674=""),"-",(72556.98674-72820.96236)/3307388.5187*100)</f>
        <v>-7.9813913154590643E-3</v>
      </c>
      <c r="H57" s="58">
        <f>IF(OR(2890255.78537="",91223.41437="",72556.98674=""),"-",(91223.41437-72556.98674)/2890255.78537*100)</f>
        <v>0.64583998843584689</v>
      </c>
    </row>
    <row r="58" spans="1:8" s="7" customFormat="1" ht="16.5" customHeight="1" x14ac:dyDescent="0.25">
      <c r="A58" s="69" t="s">
        <v>287</v>
      </c>
      <c r="B58" s="40" t="s">
        <v>182</v>
      </c>
      <c r="C58" s="36">
        <v>97324.089689999993</v>
      </c>
      <c r="D58" s="58">
        <f>IF(OR(71053.95745="",97324.08969=""),"-",97324.08969/71053.95745*100)</f>
        <v>136.97208879390854</v>
      </c>
      <c r="E58" s="58">
        <f>IF(71053.95745="","-",71053.95745/2890255.78537*100)</f>
        <v>2.4583968591867702</v>
      </c>
      <c r="F58" s="58">
        <f>IF(97324.08969="","-",97324.08969/3828259.07614*100)</f>
        <v>2.5422545275627222</v>
      </c>
      <c r="G58" s="58">
        <f>IF(OR(3307388.5187="",75246.74421="",71053.95745=""),"-",(71053.95745-75246.74421)/3307388.5187*100)</f>
        <v>-0.12677031247747139</v>
      </c>
      <c r="H58" s="58">
        <f>IF(OR(2890255.78537="",97324.08969="",71053.95745=""),"-",(97324.08969-71053.95745)/2890255.78537*100)</f>
        <v>0.90892066968519136</v>
      </c>
    </row>
    <row r="59" spans="1:8" s="7" customFormat="1" ht="15.75" customHeight="1" x14ac:dyDescent="0.25">
      <c r="A59" s="69" t="s">
        <v>288</v>
      </c>
      <c r="B59" s="40" t="s">
        <v>31</v>
      </c>
      <c r="C59" s="36">
        <v>46229.188139999998</v>
      </c>
      <c r="D59" s="58">
        <f>IF(OR(35817.3363="",46229.18814=""),"-",46229.18814/35817.3363*100)</f>
        <v>129.06930809368978</v>
      </c>
      <c r="E59" s="58">
        <f>IF(35817.3363="","-",35817.3363/2890255.78537*100)</f>
        <v>1.2392445153574805</v>
      </c>
      <c r="F59" s="58">
        <f>IF(46229.18814="","-",46229.18814/3828259.07614*100)</f>
        <v>1.2075773144019417</v>
      </c>
      <c r="G59" s="58">
        <f>IF(OR(3307388.5187="",55497.60482="",35817.3363=""),"-",(35817.3363-55497.60482)/3307388.5187*100)</f>
        <v>-0.59503951255583099</v>
      </c>
      <c r="H59" s="58">
        <f>IF(OR(2890255.78537="",46229.18814="",35817.3363=""),"-",(46229.18814-35817.3363)/2890255.78537*100)</f>
        <v>0.36023980620341906</v>
      </c>
    </row>
    <row r="60" spans="1:8" s="7" customFormat="1" x14ac:dyDescent="0.25">
      <c r="A60" s="69" t="s">
        <v>289</v>
      </c>
      <c r="B60" s="40" t="s">
        <v>32</v>
      </c>
      <c r="C60" s="36">
        <v>119272.36339</v>
      </c>
      <c r="D60" s="58">
        <f>IF(OR(84523.81085="",119272.36339=""),"-",119272.36339/84523.81085*100)</f>
        <v>141.11096292341392</v>
      </c>
      <c r="E60" s="58">
        <f>IF(84523.81085="","-",84523.81085/2890255.78537*100)</f>
        <v>2.9244405037729062</v>
      </c>
      <c r="F60" s="58">
        <f>IF(119272.36339="","-",119272.36339/3828259.07614*100)</f>
        <v>3.115577107447526</v>
      </c>
      <c r="G60" s="58">
        <f>IF(OR(3307388.5187="",97668.34819="",84523.81085=""),"-",(84523.81085-97668.34819)/3307388.5187*100)</f>
        <v>-0.3974294905385532</v>
      </c>
      <c r="H60" s="58">
        <f>IF(OR(2890255.78537="",119272.36339="",84523.81085=""),"-",(119272.36339-84523.81085)/2890255.78537*100)</f>
        <v>1.2022656512233785</v>
      </c>
    </row>
    <row r="61" spans="1:8" s="7" customFormat="1" ht="25.5" x14ac:dyDescent="0.25">
      <c r="A61" s="68" t="s">
        <v>290</v>
      </c>
      <c r="B61" s="38" t="s">
        <v>183</v>
      </c>
      <c r="C61" s="35">
        <v>985829.80420999997</v>
      </c>
      <c r="D61" s="56">
        <f>IF(722090.21644="","-",985829.80421/722090.21644*100)</f>
        <v>136.52446491662371</v>
      </c>
      <c r="E61" s="56">
        <f>IF(722090.21644="","-",722090.21644/2890255.78537*100)</f>
        <v>24.983609412533728</v>
      </c>
      <c r="F61" s="56">
        <f>IF(985829.80421="","-",985829.80421/3828259.07614*100)</f>
        <v>25.751386847203754</v>
      </c>
      <c r="G61" s="56">
        <f>IF(3307388.5187="","-",(722090.21644-795379.79928)/3307388.5187*100)</f>
        <v>-2.2159350927663981</v>
      </c>
      <c r="H61" s="56">
        <f>IF(2890255.78537="","-",(985829.80421-722090.21644)/2890255.78537*100)</f>
        <v>9.1251296547871803</v>
      </c>
    </row>
    <row r="62" spans="1:8" s="7" customFormat="1" ht="25.5" x14ac:dyDescent="0.25">
      <c r="A62" s="69" t="s">
        <v>291</v>
      </c>
      <c r="B62" s="40" t="s">
        <v>184</v>
      </c>
      <c r="C62" s="36">
        <v>16956.729019999999</v>
      </c>
      <c r="D62" s="58" t="s">
        <v>221</v>
      </c>
      <c r="E62" s="58">
        <f>IF(9362.61791="","-",9362.61791/2890255.78537*100)</f>
        <v>0.32393734690860354</v>
      </c>
      <c r="F62" s="58">
        <f>IF(16956.72902="","-",16956.72902/3828259.07614*100)</f>
        <v>0.44293577531584721</v>
      </c>
      <c r="G62" s="58">
        <f>IF(OR(3307388.5187="",11353.36811="",9362.61791=""),"-",(9362.61791-11353.36811)/3307388.5187*100)</f>
        <v>-6.0190999295797333E-2</v>
      </c>
      <c r="H62" s="58">
        <f>IF(OR(2890255.78537="",16956.72902="",9362.61791=""),"-",(16956.72902-9362.61791)/2890255.78537*100)</f>
        <v>0.26274875560980243</v>
      </c>
    </row>
    <row r="63" spans="1:8" s="7" customFormat="1" ht="27" customHeight="1" x14ac:dyDescent="0.25">
      <c r="A63" s="69" t="s">
        <v>292</v>
      </c>
      <c r="B63" s="40" t="s">
        <v>185</v>
      </c>
      <c r="C63" s="36">
        <v>121768.17744</v>
      </c>
      <c r="D63" s="58">
        <f>IF(OR(92912.80085="",121768.17744=""),"-",121768.17744/92912.80085*100)</f>
        <v>131.05640592686964</v>
      </c>
      <c r="E63" s="58">
        <f>IF(92912.80085="","-",92912.80085/2890255.78537*100)</f>
        <v>3.2146912851211762</v>
      </c>
      <c r="F63" s="58">
        <f>IF(121768.17744="","-",121768.17744/3828259.07614*100)</f>
        <v>3.1807715992611918</v>
      </c>
      <c r="G63" s="58">
        <f>IF(OR(3307388.5187="",119578.81358="",92912.80085=""),"-",(92912.80085-119578.81358)/3307388.5187*100)</f>
        <v>-0.80625582931155981</v>
      </c>
      <c r="H63" s="58">
        <f>IF(OR(2890255.78537="",121768.17744="",92912.80085=""),"-",(121768.17744-92912.80085)/2890255.78537*100)</f>
        <v>0.99836757480293525</v>
      </c>
    </row>
    <row r="64" spans="1:8" s="7" customFormat="1" ht="25.5" x14ac:dyDescent="0.25">
      <c r="A64" s="69" t="s">
        <v>293</v>
      </c>
      <c r="B64" s="40" t="s">
        <v>186</v>
      </c>
      <c r="C64" s="36">
        <v>11075.13442</v>
      </c>
      <c r="D64" s="58">
        <f>IF(OR(8104.86165="",11075.13442=""),"-",11075.13442/8104.86165*100)</f>
        <v>136.64803790944416</v>
      </c>
      <c r="E64" s="58">
        <f>IF(8104.86165="","-",8104.86165/2890255.78537*100)</f>
        <v>0.2804202206263362</v>
      </c>
      <c r="F64" s="58">
        <f>IF(11075.13442="","-",11075.13442/3828259.07614*100)</f>
        <v>0.28929950141114696</v>
      </c>
      <c r="G64" s="58">
        <f>IF(OR(3307388.5187="",6273.21266="",8104.86165=""),"-",(8104.86165-6273.21266)/3307388.5187*100)</f>
        <v>5.5380520904751353E-2</v>
      </c>
      <c r="H64" s="58">
        <f>IF(OR(2890255.78537="",11075.13442="",8104.86165=""),"-",(11075.13442-8104.86165)/2890255.78537*100)</f>
        <v>0.10276850876088661</v>
      </c>
    </row>
    <row r="65" spans="1:8" s="7" customFormat="1" ht="27.75" customHeight="1" x14ac:dyDescent="0.25">
      <c r="A65" s="69" t="s">
        <v>294</v>
      </c>
      <c r="B65" s="40" t="s">
        <v>187</v>
      </c>
      <c r="C65" s="36">
        <v>139886.51277</v>
      </c>
      <c r="D65" s="58">
        <f>IF(OR(112219.48205="",139886.51277=""),"-",139886.51277/112219.48205*100)</f>
        <v>124.65439174605422</v>
      </c>
      <c r="E65" s="58">
        <f>IF(112219.48205="","-",112219.48205/2890255.78537*100)</f>
        <v>3.882683415704471</v>
      </c>
      <c r="F65" s="58">
        <f>IF(139886.51277="","-",139886.51277/3828259.07614*100)</f>
        <v>3.6540503134141677</v>
      </c>
      <c r="G65" s="58">
        <f>IF(OR(3307388.5187="",111317.24621="",112219.48205=""),"-",(112219.48205-111317.24621)/3307388.5187*100)</f>
        <v>2.7279402915586125E-2</v>
      </c>
      <c r="H65" s="58">
        <f>IF(OR(2890255.78537="",139886.51277="",112219.48205=""),"-",(139886.51277-112219.48205)/2890255.78537*100)</f>
        <v>0.95725197956685903</v>
      </c>
    </row>
    <row r="66" spans="1:8" s="7" customFormat="1" ht="27" customHeight="1" x14ac:dyDescent="0.25">
      <c r="A66" s="69" t="s">
        <v>295</v>
      </c>
      <c r="B66" s="40" t="s">
        <v>188</v>
      </c>
      <c r="C66" s="36">
        <v>42589.848319999997</v>
      </c>
      <c r="D66" s="58" t="s">
        <v>104</v>
      </c>
      <c r="E66" s="58">
        <f>IF(26161.33089="","-",26161.33089/2890255.78537*100)</f>
        <v>0.90515625026768765</v>
      </c>
      <c r="F66" s="58">
        <f>IF(42589.84832="","-",42589.84832/3828259.07614*100)</f>
        <v>1.1125121751932987</v>
      </c>
      <c r="G66" s="58">
        <f>IF(OR(3307388.5187="",25344.06577="",26161.33089=""),"-",(26161.33089-25344.06577)/3307388.5187*100)</f>
        <v>2.4710284727033936E-2</v>
      </c>
      <c r="H66" s="58">
        <f>IF(OR(2890255.78537="",42589.84832="",26161.33089=""),"-",(42589.84832-26161.33089)/2890255.78537*100)</f>
        <v>0.56841050239077295</v>
      </c>
    </row>
    <row r="67" spans="1:8" s="7" customFormat="1" ht="41.25" customHeight="1" x14ac:dyDescent="0.25">
      <c r="A67" s="69" t="s">
        <v>296</v>
      </c>
      <c r="B67" s="40" t="s">
        <v>189</v>
      </c>
      <c r="C67" s="36">
        <v>101363.8027</v>
      </c>
      <c r="D67" s="58">
        <f>IF(OR(80126.65702="",101363.8027=""),"-",101363.8027/80126.65702*100)</f>
        <v>126.50446988534554</v>
      </c>
      <c r="E67" s="58">
        <f>IF(80126.65702="","-",80126.65702/2890255.78537*100)</f>
        <v>2.7723033174291345</v>
      </c>
      <c r="F67" s="58">
        <f>IF(101363.8027="","-",101363.8027/3828259.07614*100)</f>
        <v>2.6477780287065689</v>
      </c>
      <c r="G67" s="58">
        <f>IF(OR(3307388.5187="",84110.59636="",80126.65702=""),"-",(80126.65702-84110.59636)/3307388.5187*100)</f>
        <v>-0.12045574075965897</v>
      </c>
      <c r="H67" s="58">
        <f>IF(OR(2890255.78537="",101363.8027="",80126.65702=""),"-",(101363.8027-80126.65702)/2890255.78537*100)</f>
        <v>0.73478429789844002</v>
      </c>
    </row>
    <row r="68" spans="1:8" s="7" customFormat="1" ht="51" x14ac:dyDescent="0.25">
      <c r="A68" s="69" t="s">
        <v>297</v>
      </c>
      <c r="B68" s="40" t="s">
        <v>190</v>
      </c>
      <c r="C68" s="36">
        <v>304931.41258</v>
      </c>
      <c r="D68" s="58" t="s">
        <v>234</v>
      </c>
      <c r="E68" s="58">
        <f>IF(198859.59064="","-",198859.59064/2890255.78537*100)</f>
        <v>6.8803457343323924</v>
      </c>
      <c r="F68" s="58">
        <f>IF(304931.41258="","-",304931.41258/3828259.07614*100)</f>
        <v>7.9652762917879549</v>
      </c>
      <c r="G68" s="58">
        <f>IF(OR(3307388.5187="",244831.01241="",198859.59064=""),"-",(198859.59064-244831.01241)/3307388.5187*100)</f>
        <v>-1.3899613398933091</v>
      </c>
      <c r="H68" s="58">
        <f>IF(OR(2890255.78537="",304931.41258="",198859.59064=""),"-",(304931.41258-198859.59064)/2890255.78537*100)</f>
        <v>3.6699804383030084</v>
      </c>
    </row>
    <row r="69" spans="1:8" s="7" customFormat="1" ht="25.5" x14ac:dyDescent="0.25">
      <c r="A69" s="69" t="s">
        <v>298</v>
      </c>
      <c r="B69" s="40" t="s">
        <v>191</v>
      </c>
      <c r="C69" s="36">
        <v>245331.81729000001</v>
      </c>
      <c r="D69" s="58" t="s">
        <v>103</v>
      </c>
      <c r="E69" s="58">
        <f>IF(143024.50851="","-",143024.50851/2890255.78537*100)</f>
        <v>4.9485069533972244</v>
      </c>
      <c r="F69" s="58">
        <f>IF(245331.81729="","-",245331.81729/3828259.07614*100)</f>
        <v>6.408443431089986</v>
      </c>
      <c r="G69" s="58">
        <f>IF(OR(3307388.5187="",188654.23321="",143024.50851=""),"-",(143024.50851-188654.23321)/3307388.5187*100)</f>
        <v>-1.3796300144966089</v>
      </c>
      <c r="H69" s="58">
        <f>IF(OR(2890255.78537="",245331.81729="",143024.50851=""),"-",(245331.81729-143024.50851)/2890255.78537*100)</f>
        <v>3.5397319952740092</v>
      </c>
    </row>
    <row r="70" spans="1:8" s="7" customFormat="1" x14ac:dyDescent="0.25">
      <c r="A70" s="69" t="s">
        <v>299</v>
      </c>
      <c r="B70" s="40" t="s">
        <v>33</v>
      </c>
      <c r="C70" s="36">
        <v>1926.36967</v>
      </c>
      <c r="D70" s="58">
        <f>IF(OR(51318.36692="",1926.36967=""),"-",1926.36967/51318.36692*100)</f>
        <v>3.753762610963459</v>
      </c>
      <c r="E70" s="58">
        <f>IF(51318.36692="","-",51318.36692/2890255.78537*100)</f>
        <v>1.7755648887467033</v>
      </c>
      <c r="F70" s="58">
        <f>IF(1926.36967="","-",1926.36967/3828259.07614*100)</f>
        <v>5.0319731023594709E-2</v>
      </c>
      <c r="G70" s="58">
        <f>IF(OR(3307388.5187="",3917.25097="",51318.36692=""),"-",(51318.36692-3917.25097)/3307388.5187*100)</f>
        <v>1.4331886224431671</v>
      </c>
      <c r="H70" s="58">
        <f>IF(OR(2890255.78537="",1926.36967="",51318.36692=""),"-",(1926.36967-51318.36692)/2890255.78537*100)</f>
        <v>-1.7089143978195345</v>
      </c>
    </row>
    <row r="71" spans="1:8" s="7" customFormat="1" x14ac:dyDescent="0.25">
      <c r="A71" s="68" t="s">
        <v>300</v>
      </c>
      <c r="B71" s="38" t="s">
        <v>34</v>
      </c>
      <c r="C71" s="35">
        <v>446258.59010999999</v>
      </c>
      <c r="D71" s="56" t="s">
        <v>234</v>
      </c>
      <c r="E71" s="56">
        <f>IF(289096.9152="","-",289096.9152/2890255.78537*100)</f>
        <v>10.00246817819243</v>
      </c>
      <c r="F71" s="56">
        <f>IF(446258.59011="","-",446258.59011/3828259.07614*100)</f>
        <v>11.656958978856744</v>
      </c>
      <c r="G71" s="56">
        <f>IF(3307388.5187="","-",(289096.9152-350133.72223)/3307388.5187*100)</f>
        <v>-1.8454683108711738</v>
      </c>
      <c r="H71" s="56">
        <f>IF(2890255.78537="","-",(446258.59011-289096.9152)/2890255.78537*100)</f>
        <v>5.4376389697246372</v>
      </c>
    </row>
    <row r="72" spans="1:8" ht="38.25" x14ac:dyDescent="0.25">
      <c r="A72" s="69" t="s">
        <v>301</v>
      </c>
      <c r="B72" s="40" t="s">
        <v>217</v>
      </c>
      <c r="C72" s="36">
        <v>37051.877950000002</v>
      </c>
      <c r="D72" s="58" t="s">
        <v>104</v>
      </c>
      <c r="E72" s="58">
        <f>IF(23500.58275="","-",23500.58275/2890255.78537*100)</f>
        <v>0.81309698847264966</v>
      </c>
      <c r="F72" s="58">
        <f>IF(37051.87795="","-",37051.87795/3828259.07614*100)</f>
        <v>0.96785189333003763</v>
      </c>
      <c r="G72" s="58">
        <f>IF(OR(3307388.5187="",24389.37535="",23500.58275=""),"-",(23500.58275-24389.37535)/3307388.5187*100)</f>
        <v>-2.687294205004211E-2</v>
      </c>
      <c r="H72" s="58">
        <f>IF(OR(2890255.78537="",37051.87795="",23500.58275=""),"-",(37051.87795-23500.58275)/2890255.78537*100)</f>
        <v>0.4688614505537686</v>
      </c>
    </row>
    <row r="73" spans="1:8" x14ac:dyDescent="0.25">
      <c r="A73" s="69" t="s">
        <v>302</v>
      </c>
      <c r="B73" s="40" t="s">
        <v>192</v>
      </c>
      <c r="C73" s="36">
        <v>39369.363469999997</v>
      </c>
      <c r="D73" s="58">
        <f>IF(OR(26248.86407="",39369.36347=""),"-",39369.36347/26248.86407*100)</f>
        <v>149.98501788500442</v>
      </c>
      <c r="E73" s="58">
        <f>IF(26248.86407="","-",26248.86407/2890255.78537*100)</f>
        <v>0.90818481197641521</v>
      </c>
      <c r="F73" s="58">
        <f>IF(39369.36347="","-",39369.36347/3828259.07614*100)</f>
        <v>1.0283881703663531</v>
      </c>
      <c r="G73" s="58">
        <f>IF(OR(3307388.5187="",30668.27196="",26248.86407=""),"-",(26248.86407-30668.27196)/3307388.5187*100)</f>
        <v>-0.13362227827219672</v>
      </c>
      <c r="H73" s="58">
        <f>IF(OR(2890255.78537="",39369.36347="",26248.86407=""),"-",(39369.36347-26248.86407)/2890255.78537*100)</f>
        <v>0.45395634069530483</v>
      </c>
    </row>
    <row r="74" spans="1:8" x14ac:dyDescent="0.25">
      <c r="A74" s="69" t="s">
        <v>303</v>
      </c>
      <c r="B74" s="40" t="s">
        <v>193</v>
      </c>
      <c r="C74" s="36">
        <v>7133.0968599999997</v>
      </c>
      <c r="D74" s="58" t="s">
        <v>104</v>
      </c>
      <c r="E74" s="58">
        <f>IF(4421.65181="","-",4421.65181/2890255.78537*100)</f>
        <v>0.15298479229352901</v>
      </c>
      <c r="F74" s="58">
        <f>IF(7133.09686="","-",7133.09686/3828259.07614*100)</f>
        <v>0.18632743286518211</v>
      </c>
      <c r="G74" s="58">
        <f>IF(OR(3307388.5187="",5649.74627="",4421.65181=""),"-",(4421.65181-5649.74627)/3307388.5187*100)</f>
        <v>-3.7131847469879749E-2</v>
      </c>
      <c r="H74" s="58">
        <f>IF(OR(2890255.78537="",7133.09686="",4421.65181=""),"-",(7133.09686-4421.65181)/2890255.78537*100)</f>
        <v>9.3813324887191255E-2</v>
      </c>
    </row>
    <row r="75" spans="1:8" x14ac:dyDescent="0.25">
      <c r="A75" s="69" t="s">
        <v>304</v>
      </c>
      <c r="B75" s="40" t="s">
        <v>194</v>
      </c>
      <c r="C75" s="36">
        <v>103312.02618</v>
      </c>
      <c r="D75" s="58" t="s">
        <v>104</v>
      </c>
      <c r="E75" s="58">
        <f>IF(65241.44703="","-",65241.44703/2890255.78537*100)</f>
        <v>2.2572897305574644</v>
      </c>
      <c r="F75" s="58">
        <f>IF(103312.02618="","-",103312.02618/3828259.07614*100)</f>
        <v>2.6986686147732879</v>
      </c>
      <c r="G75" s="58">
        <f>IF(OR(3307388.5187="",80495.30596="",65241.44703=""),"-",(65241.44703-80495.30596)/3307388.5187*100)</f>
        <v>-0.4612055355382218</v>
      </c>
      <c r="H75" s="58">
        <f>IF(OR(2890255.78537="",103312.02618="",65241.44703=""),"-",(103312.02618-65241.44703)/2890255.78537*100)</f>
        <v>1.3172044959725369</v>
      </c>
    </row>
    <row r="76" spans="1:8" x14ac:dyDescent="0.25">
      <c r="A76" s="69" t="s">
        <v>305</v>
      </c>
      <c r="B76" s="40" t="s">
        <v>195</v>
      </c>
      <c r="C76" s="36">
        <v>28320.80933</v>
      </c>
      <c r="D76" s="58">
        <f>IF(OR(20701.75344="",28320.80933=""),"-",28320.80933/20701.75344*100)</f>
        <v>136.80391572666707</v>
      </c>
      <c r="E76" s="58">
        <f>IF(20701.75344="","-",20701.75344/2890255.78537*100)</f>
        <v>0.71626025436187601</v>
      </c>
      <c r="F76" s="58">
        <f>IF(28320.80933="","-",28320.80933/3828259.07614*100)</f>
        <v>0.7397829866456066</v>
      </c>
      <c r="G76" s="58">
        <f>IF(OR(3307388.5187="",26868.23658="",20701.75344=""),"-",(20701.75344-26868.23658)/3307388.5187*100)</f>
        <v>-0.18644568381170393</v>
      </c>
      <c r="H76" s="58">
        <f>IF(OR(2890255.78537="",28320.80933="",20701.75344=""),"-",(28320.80933-20701.75344)/2890255.78537*100)</f>
        <v>0.26361182039895598</v>
      </c>
    </row>
    <row r="77" spans="1:8" ht="25.5" x14ac:dyDescent="0.25">
      <c r="A77" s="69" t="s">
        <v>306</v>
      </c>
      <c r="B77" s="40" t="s">
        <v>218</v>
      </c>
      <c r="C77" s="36">
        <v>55113.768300000003</v>
      </c>
      <c r="D77" s="58" t="s">
        <v>105</v>
      </c>
      <c r="E77" s="58">
        <f>IF(29738.8401="","-",29738.8401/2890255.78537*100)</f>
        <v>1.0289345410372717</v>
      </c>
      <c r="F77" s="58">
        <f>IF(55113.7683="","-",55113.7683/3828259.07614*100)</f>
        <v>1.4396561780131854</v>
      </c>
      <c r="G77" s="58">
        <f>IF(OR(3307388.5187="",35852.24147="",29738.8401=""),"-",(29738.8401-35852.24147)/3307388.5187*100)</f>
        <v>-0.18484073871076173</v>
      </c>
      <c r="H77" s="58">
        <f>IF(OR(2890255.78537="",55113.7683="",29738.8401=""),"-",(55113.7683-29738.8401)/2890255.78537*100)</f>
        <v>0.87794749269056793</v>
      </c>
    </row>
    <row r="78" spans="1:8" ht="25.5" x14ac:dyDescent="0.25">
      <c r="A78" s="69" t="s">
        <v>307</v>
      </c>
      <c r="B78" s="40" t="s">
        <v>196</v>
      </c>
      <c r="C78" s="36">
        <v>10344.68463</v>
      </c>
      <c r="D78" s="58" t="s">
        <v>221</v>
      </c>
      <c r="E78" s="58">
        <f>IF(5793.23429="","-",5793.23429/2890255.78537*100)</f>
        <v>0.20044019354011505</v>
      </c>
      <c r="F78" s="58">
        <f>IF(10344.68463="","-",10344.68463/3828259.07614*100)</f>
        <v>0.27021903231351974</v>
      </c>
      <c r="G78" s="58">
        <f>IF(OR(3307388.5187="",6888.88262="",5793.23429=""),"-",(5793.23429-6888.88262)/3307388.5187*100)</f>
        <v>-3.3127294353390777E-2</v>
      </c>
      <c r="H78" s="58">
        <f>IF(OR(2890255.78537="",10344.68463="",5793.23429=""),"-",(10344.68463-5793.23429)/2890255.78537*100)</f>
        <v>0.15747569343304121</v>
      </c>
    </row>
    <row r="79" spans="1:8" x14ac:dyDescent="0.25">
      <c r="A79" s="69" t="s">
        <v>308</v>
      </c>
      <c r="B79" s="40" t="s">
        <v>35</v>
      </c>
      <c r="C79" s="70">
        <v>165612.96338999999</v>
      </c>
      <c r="D79" s="71">
        <f>IF(OR(113450.54171="",165612.96339=""),"-",165612.96339/113450.54171*100)</f>
        <v>145.97811600876841</v>
      </c>
      <c r="E79" s="71">
        <f>IF(113450.54171="","-",113450.54171/2890255.78537*100)</f>
        <v>3.9252768659531103</v>
      </c>
      <c r="F79" s="71">
        <f>IF(165612.96339="","-",165612.96339/3828259.07614*100)</f>
        <v>4.326064670549572</v>
      </c>
      <c r="G79" s="71">
        <f>IF(OR(3307388.5187="",139321.66202="",113450.54171=""),"-",(113450.54171-139321.66202)/3307388.5187*100)</f>
        <v>-0.78222199066497555</v>
      </c>
      <c r="H79" s="71">
        <f>IF(OR(2890255.78537="",165612.96339="",113450.54171=""),"-",(165612.96339-113450.54171)/2890255.78537*100)</f>
        <v>1.8047683510932697</v>
      </c>
    </row>
    <row r="80" spans="1:8" ht="15.75" customHeight="1" x14ac:dyDescent="0.25">
      <c r="A80" s="48" t="s">
        <v>312</v>
      </c>
      <c r="B80" s="65" t="s">
        <v>197</v>
      </c>
      <c r="C80" s="66">
        <v>89.225629999999995</v>
      </c>
      <c r="D80" s="67">
        <f>IF(178.53625="","-",89.22563/178.53625*100)</f>
        <v>49.97619811102787</v>
      </c>
      <c r="E80" s="67">
        <f>IF(178.53625="","-",178.53625/2890255.78537*100)</f>
        <v>6.177178189685534E-3</v>
      </c>
      <c r="F80" s="67">
        <f>IF(89.22563="","-",89.22563/3828259.07614*100)</f>
        <v>2.330710336615081E-3</v>
      </c>
      <c r="G80" s="67">
        <f>IF(3307388.5187="","-",(178.53625-141.54216)/3307388.5187*100)</f>
        <v>1.1185287059816266E-3</v>
      </c>
      <c r="H80" s="67">
        <f>IF(2890255.78537="","-",(89.22563-178.53625)/2890255.78537*100)</f>
        <v>-3.0900593799370866E-3</v>
      </c>
    </row>
    <row r="81" spans="1:5" x14ac:dyDescent="0.25">
      <c r="A81" s="44" t="s">
        <v>315</v>
      </c>
      <c r="B81" s="42"/>
      <c r="C81" s="42"/>
      <c r="D81" s="42"/>
      <c r="E81" s="42"/>
    </row>
    <row r="82" spans="1:5" x14ac:dyDescent="0.25">
      <c r="A82" s="98" t="s">
        <v>329</v>
      </c>
      <c r="B82" s="98"/>
      <c r="C82" s="98"/>
      <c r="D82" s="98"/>
      <c r="E82" s="98"/>
    </row>
  </sheetData>
  <mergeCells count="12">
    <mergeCell ref="A82:E82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1"/>
  <sheetViews>
    <sheetView zoomScale="99" zoomScaleNormal="99" workbookViewId="0">
      <selection activeCell="C68" sqref="C68:C69"/>
    </sheetView>
  </sheetViews>
  <sheetFormatPr defaultRowHeight="15.75" x14ac:dyDescent="0.25"/>
  <cols>
    <col min="1" max="1" width="7" customWidth="1"/>
    <col min="2" max="2" width="35.25" customWidth="1"/>
    <col min="3" max="3" width="13.875" customWidth="1"/>
    <col min="4" max="4" width="14.125" customWidth="1"/>
    <col min="5" max="5" width="16.25" customWidth="1"/>
    <col min="7" max="7" width="12.125" bestFit="1" customWidth="1"/>
  </cols>
  <sheetData>
    <row r="1" spans="1:7" x14ac:dyDescent="0.25">
      <c r="B1" s="112" t="s">
        <v>150</v>
      </c>
      <c r="C1" s="112"/>
      <c r="D1" s="112"/>
      <c r="E1" s="112"/>
    </row>
    <row r="2" spans="1:7" x14ac:dyDescent="0.25">
      <c r="B2" s="112" t="s">
        <v>314</v>
      </c>
      <c r="C2" s="112"/>
      <c r="D2" s="112"/>
      <c r="E2" s="112"/>
    </row>
    <row r="3" spans="1:7" x14ac:dyDescent="0.25">
      <c r="B3" s="5"/>
    </row>
    <row r="4" spans="1:7" x14ac:dyDescent="0.25">
      <c r="A4" s="113" t="s">
        <v>313</v>
      </c>
      <c r="B4" s="113"/>
      <c r="C4" s="117" t="s">
        <v>353</v>
      </c>
      <c r="D4" s="118"/>
      <c r="E4" s="115" t="s">
        <v>357</v>
      </c>
      <c r="F4" s="1"/>
    </row>
    <row r="5" spans="1:7" ht="21.75" customHeight="1" x14ac:dyDescent="0.25">
      <c r="A5" s="114"/>
      <c r="B5" s="114"/>
      <c r="C5" s="18">
        <v>2020</v>
      </c>
      <c r="D5" s="17">
        <v>2021</v>
      </c>
      <c r="E5" s="116"/>
      <c r="F5" s="1"/>
    </row>
    <row r="6" spans="1:7" ht="28.5" x14ac:dyDescent="0.25">
      <c r="A6" s="41"/>
      <c r="B6" s="64" t="s">
        <v>325</v>
      </c>
      <c r="C6" s="52">
        <v>-1528948.91808</v>
      </c>
      <c r="D6" s="51">
        <v>-2255811.19588</v>
      </c>
      <c r="E6" s="72">
        <f>IF(-1528948.91808="","-",-2255811.19588/-1528948.91808*100)</f>
        <v>147.53999752410095</v>
      </c>
      <c r="G6" s="15"/>
    </row>
    <row r="7" spans="1:7" x14ac:dyDescent="0.25">
      <c r="A7" s="41"/>
      <c r="B7" s="49" t="s">
        <v>133</v>
      </c>
      <c r="C7" s="33"/>
      <c r="D7" s="34"/>
      <c r="E7" s="31"/>
    </row>
    <row r="8" spans="1:7" x14ac:dyDescent="0.25">
      <c r="A8" s="37" t="s">
        <v>240</v>
      </c>
      <c r="B8" s="38" t="s">
        <v>198</v>
      </c>
      <c r="C8" s="35">
        <v>-10970.557699999999</v>
      </c>
      <c r="D8" s="35">
        <v>-140292.91618</v>
      </c>
      <c r="E8" s="73" t="s">
        <v>390</v>
      </c>
    </row>
    <row r="9" spans="1:7" x14ac:dyDescent="0.25">
      <c r="A9" s="39" t="s">
        <v>241</v>
      </c>
      <c r="B9" s="40" t="s">
        <v>23</v>
      </c>
      <c r="C9" s="36">
        <v>3372.5388499999999</v>
      </c>
      <c r="D9" s="36">
        <v>3342.18181</v>
      </c>
      <c r="E9" s="74">
        <f>IF(OR(3372.53885="",3342.18181="",3372.53885=0,3342.18181=0),"-",3342.18181/3372.53885*100)</f>
        <v>99.099875750875341</v>
      </c>
    </row>
    <row r="10" spans="1:7" x14ac:dyDescent="0.25">
      <c r="A10" s="39" t="s">
        <v>242</v>
      </c>
      <c r="B10" s="40" t="s">
        <v>199</v>
      </c>
      <c r="C10" s="36">
        <v>-19009.034940000001</v>
      </c>
      <c r="D10" s="36">
        <v>-27485.561549999999</v>
      </c>
      <c r="E10" s="74">
        <f>IF(OR(-19009.03494="",-27485.56155="",-19009.03494=0,-27485.56155=0),"-",-27485.56155/-19009.03494*100)</f>
        <v>144.59209337430991</v>
      </c>
    </row>
    <row r="11" spans="1:7" x14ac:dyDescent="0.25">
      <c r="A11" s="39" t="s">
        <v>243</v>
      </c>
      <c r="B11" s="40" t="s">
        <v>200</v>
      </c>
      <c r="C11" s="36">
        <v>-40132.470999999998</v>
      </c>
      <c r="D11" s="36">
        <v>-45355.696089999998</v>
      </c>
      <c r="E11" s="74">
        <f>IF(OR(-40132.471="",-45355.69609="",-40132.471=0,-45355.69609=0),"-",-45355.69609/-40132.471*100)</f>
        <v>113.01496010549661</v>
      </c>
    </row>
    <row r="12" spans="1:7" x14ac:dyDescent="0.25">
      <c r="A12" s="39" t="s">
        <v>244</v>
      </c>
      <c r="B12" s="40" t="s">
        <v>201</v>
      </c>
      <c r="C12" s="36">
        <v>-30027.214769999999</v>
      </c>
      <c r="D12" s="36">
        <v>-39126.682180000003</v>
      </c>
      <c r="E12" s="74">
        <f>IF(OR(-30027.21477="",-39126.68218="",-30027.21477=0,-39126.68218=0),"-",-39126.68218/-30027.21477*100)</f>
        <v>130.30406742583139</v>
      </c>
    </row>
    <row r="13" spans="1:7" x14ac:dyDescent="0.25">
      <c r="A13" s="39" t="s">
        <v>245</v>
      </c>
      <c r="B13" s="40" t="s">
        <v>202</v>
      </c>
      <c r="C13" s="36">
        <v>64344.222249999999</v>
      </c>
      <c r="D13" s="36">
        <v>29801.89644</v>
      </c>
      <c r="E13" s="74">
        <f>IF(OR(64344.22225="",29801.89644="",64344.22225=0,29801.89644=0),"-",29801.89644/64344.22225*100)</f>
        <v>46.31635195497293</v>
      </c>
    </row>
    <row r="14" spans="1:7" x14ac:dyDescent="0.25">
      <c r="A14" s="39" t="s">
        <v>246</v>
      </c>
      <c r="B14" s="40" t="s">
        <v>203</v>
      </c>
      <c r="C14" s="36">
        <v>79490.840410000004</v>
      </c>
      <c r="D14" s="36">
        <v>41849.836960000001</v>
      </c>
      <c r="E14" s="74">
        <f>IF(OR(79490.84041="",41849.83696="",79490.84041=0,41849.83696=0),"-",41849.83696/79490.84041*100)</f>
        <v>52.647370117293747</v>
      </c>
    </row>
    <row r="15" spans="1:7" x14ac:dyDescent="0.25">
      <c r="A15" s="39" t="s">
        <v>247</v>
      </c>
      <c r="B15" s="40" t="s">
        <v>161</v>
      </c>
      <c r="C15" s="36">
        <v>1985.1592900000001</v>
      </c>
      <c r="D15" s="36">
        <v>-2513.6757299999999</v>
      </c>
      <c r="E15" s="74" t="s">
        <v>22</v>
      </c>
    </row>
    <row r="16" spans="1:7" ht="25.5" x14ac:dyDescent="0.25">
      <c r="A16" s="39" t="s">
        <v>248</v>
      </c>
      <c r="B16" s="40" t="s">
        <v>204</v>
      </c>
      <c r="C16" s="36">
        <v>-24009.156340000001</v>
      </c>
      <c r="D16" s="36">
        <v>-29408.522830000002</v>
      </c>
      <c r="E16" s="74">
        <f>IF(OR(-24009.15634="",-29408.52283="",-24009.15634=0,-29408.52283=0),"-",-29408.52283/-24009.15634*100)</f>
        <v>122.48878058661515</v>
      </c>
    </row>
    <row r="17" spans="1:5" ht="25.5" x14ac:dyDescent="0.25">
      <c r="A17" s="39" t="s">
        <v>249</v>
      </c>
      <c r="B17" s="40" t="s">
        <v>162</v>
      </c>
      <c r="C17" s="36">
        <v>-5108.6396999999997</v>
      </c>
      <c r="D17" s="36">
        <v>-17148.25201</v>
      </c>
      <c r="E17" s="74" t="s">
        <v>342</v>
      </c>
    </row>
    <row r="18" spans="1:5" x14ac:dyDescent="0.25">
      <c r="A18" s="39" t="s">
        <v>250</v>
      </c>
      <c r="B18" s="40" t="s">
        <v>205</v>
      </c>
      <c r="C18" s="36">
        <v>-41876.801749999999</v>
      </c>
      <c r="D18" s="36">
        <v>-54248.440999999999</v>
      </c>
      <c r="E18" s="74">
        <f>IF(OR(-41876.80175="",-54248.441="",-41876.80175=0,-54248.441=0),"-",-54248.441/-41876.80175*100)</f>
        <v>129.54294199413164</v>
      </c>
    </row>
    <row r="19" spans="1:5" x14ac:dyDescent="0.25">
      <c r="A19" s="37" t="s">
        <v>251</v>
      </c>
      <c r="B19" s="38" t="s">
        <v>206</v>
      </c>
      <c r="C19" s="35">
        <v>43099.028120000003</v>
      </c>
      <c r="D19" s="35">
        <v>45481.599620000001</v>
      </c>
      <c r="E19" s="73">
        <f>IF(43099.02812="","-",45481.59962/43099.02812*100)</f>
        <v>105.5281327768372</v>
      </c>
    </row>
    <row r="20" spans="1:5" x14ac:dyDescent="0.25">
      <c r="A20" s="39" t="s">
        <v>252</v>
      </c>
      <c r="B20" s="40" t="s">
        <v>207</v>
      </c>
      <c r="C20" s="36">
        <v>64941.046199999997</v>
      </c>
      <c r="D20" s="36">
        <v>65255.950729999997</v>
      </c>
      <c r="E20" s="74">
        <f>IF(OR(64941.0462="",65255.95073="",64941.0462=0,65255.95073=0),"-",65255.95073/64941.0462*100)</f>
        <v>100.48490831057786</v>
      </c>
    </row>
    <row r="21" spans="1:5" x14ac:dyDescent="0.25">
      <c r="A21" s="39" t="s">
        <v>253</v>
      </c>
      <c r="B21" s="40" t="s">
        <v>208</v>
      </c>
      <c r="C21" s="36">
        <v>-21842.018080000002</v>
      </c>
      <c r="D21" s="36">
        <v>-19774.35111</v>
      </c>
      <c r="E21" s="74">
        <f>IF(OR(-21842.01808="",-19774.35111="",-21842.01808=0,-19774.35111=0),"-",-19774.35111/-21842.01808*100)</f>
        <v>90.533535122868088</v>
      </c>
    </row>
    <row r="22" spans="1:5" ht="25.5" x14ac:dyDescent="0.25">
      <c r="A22" s="37" t="s">
        <v>254</v>
      </c>
      <c r="B22" s="38" t="s">
        <v>24</v>
      </c>
      <c r="C22" s="35">
        <v>36317.290029999996</v>
      </c>
      <c r="D22" s="35">
        <v>34678.063260000003</v>
      </c>
      <c r="E22" s="73">
        <f>IF(36317.29003="","-",34678.06326/36317.29003*100)</f>
        <v>95.48637365660845</v>
      </c>
    </row>
    <row r="23" spans="1:5" x14ac:dyDescent="0.25">
      <c r="A23" s="39" t="s">
        <v>255</v>
      </c>
      <c r="B23" s="40" t="s">
        <v>215</v>
      </c>
      <c r="C23" s="36">
        <v>795.92970000000003</v>
      </c>
      <c r="D23" s="36">
        <v>822.32689000000005</v>
      </c>
      <c r="E23" s="74">
        <f>IF(OR(795.9297="",822.32689="",795.9297=0,822.32689=0),"-",822.32689/795.9297*100)</f>
        <v>103.31652280345864</v>
      </c>
    </row>
    <row r="24" spans="1:5" x14ac:dyDescent="0.25">
      <c r="A24" s="39" t="s">
        <v>256</v>
      </c>
      <c r="B24" s="40" t="s">
        <v>209</v>
      </c>
      <c r="C24" s="36">
        <v>72459.608470000006</v>
      </c>
      <c r="D24" s="36">
        <v>51726.823980000001</v>
      </c>
      <c r="E24" s="74">
        <f>IF(OR(72459.60847="",51726.82398="",72459.60847=0,51726.82398=0),"-",51726.82398/72459.60847*100)</f>
        <v>71.387114935096747</v>
      </c>
    </row>
    <row r="25" spans="1:5" ht="17.25" customHeight="1" x14ac:dyDescent="0.25">
      <c r="A25" s="39" t="s">
        <v>310</v>
      </c>
      <c r="B25" s="40" t="s">
        <v>210</v>
      </c>
      <c r="C25" s="36">
        <v>-721.82100000000003</v>
      </c>
      <c r="D25" s="36">
        <v>-1289.81647</v>
      </c>
      <c r="E25" s="74" t="s">
        <v>221</v>
      </c>
    </row>
    <row r="26" spans="1:5" x14ac:dyDescent="0.25">
      <c r="A26" s="39" t="s">
        <v>257</v>
      </c>
      <c r="B26" s="40" t="s">
        <v>211</v>
      </c>
      <c r="C26" s="36">
        <v>-18977.180400000001</v>
      </c>
      <c r="D26" s="36">
        <v>-24679.209159999999</v>
      </c>
      <c r="E26" s="74">
        <f>IF(OR(-18977.1804="",-24679.20916="",-18977.1804=0,-24679.20916=0),"-",-24679.20916/-18977.1804*100)</f>
        <v>130.04676479757759</v>
      </c>
    </row>
    <row r="27" spans="1:5" x14ac:dyDescent="0.25">
      <c r="A27" s="39" t="s">
        <v>258</v>
      </c>
      <c r="B27" s="40" t="s">
        <v>163</v>
      </c>
      <c r="C27" s="36">
        <v>846.78632000000005</v>
      </c>
      <c r="D27" s="36">
        <v>2563.6000300000001</v>
      </c>
      <c r="E27" s="74" t="s">
        <v>336</v>
      </c>
    </row>
    <row r="28" spans="1:5" ht="38.25" x14ac:dyDescent="0.25">
      <c r="A28" s="39" t="s">
        <v>259</v>
      </c>
      <c r="B28" s="40" t="s">
        <v>164</v>
      </c>
      <c r="C28" s="36">
        <v>-3965.4514100000001</v>
      </c>
      <c r="D28" s="36">
        <v>-5430.7499699999998</v>
      </c>
      <c r="E28" s="74">
        <f>IF(OR(-3965.45141="",-5430.74997="",-3965.45141=0,-5430.74997=0),"-",-5430.74997/-3965.45141*100)</f>
        <v>136.95162059746434</v>
      </c>
    </row>
    <row r="29" spans="1:5" ht="25.5" x14ac:dyDescent="0.25">
      <c r="A29" s="39" t="s">
        <v>260</v>
      </c>
      <c r="B29" s="40" t="s">
        <v>165</v>
      </c>
      <c r="C29" s="36">
        <v>-3421.5523499999999</v>
      </c>
      <c r="D29" s="36">
        <v>-6628.72588</v>
      </c>
      <c r="E29" s="74" t="s">
        <v>105</v>
      </c>
    </row>
    <row r="30" spans="1:5" x14ac:dyDescent="0.25">
      <c r="A30" s="39" t="s">
        <v>261</v>
      </c>
      <c r="B30" s="40" t="s">
        <v>166</v>
      </c>
      <c r="C30" s="36">
        <v>9013.2464400000008</v>
      </c>
      <c r="D30" s="36">
        <v>47638.898410000002</v>
      </c>
      <c r="E30" s="74" t="s">
        <v>368</v>
      </c>
    </row>
    <row r="31" spans="1:5" x14ac:dyDescent="0.25">
      <c r="A31" s="39" t="s">
        <v>262</v>
      </c>
      <c r="B31" s="40" t="s">
        <v>167</v>
      </c>
      <c r="C31" s="36">
        <v>-19712.275740000001</v>
      </c>
      <c r="D31" s="36">
        <v>-30045.084569999999</v>
      </c>
      <c r="E31" s="74" t="s">
        <v>234</v>
      </c>
    </row>
    <row r="32" spans="1:5" ht="15.75" customHeight="1" x14ac:dyDescent="0.25">
      <c r="A32" s="37" t="s">
        <v>263</v>
      </c>
      <c r="B32" s="38" t="s">
        <v>168</v>
      </c>
      <c r="C32" s="35">
        <v>-341797.23966999998</v>
      </c>
      <c r="D32" s="35">
        <v>-442884.00021000003</v>
      </c>
      <c r="E32" s="73">
        <f>IF(-341797.23967="","-",-442884.00021/-341797.23967*100)</f>
        <v>129.57506638660914</v>
      </c>
    </row>
    <row r="33" spans="1:5" x14ac:dyDescent="0.25">
      <c r="A33" s="39" t="s">
        <v>264</v>
      </c>
      <c r="B33" s="40" t="s">
        <v>212</v>
      </c>
      <c r="C33" s="36">
        <v>-8565.7224100000003</v>
      </c>
      <c r="D33" s="36">
        <v>-7011.07233</v>
      </c>
      <c r="E33" s="74">
        <f>IF(OR(-8565.72241="",-7011.07233="",-8565.72241=0,-7011.07233=0),"-",-7011.07233/-8565.72241*100)</f>
        <v>81.850333158298085</v>
      </c>
    </row>
    <row r="34" spans="1:5" x14ac:dyDescent="0.25">
      <c r="A34" s="39" t="s">
        <v>265</v>
      </c>
      <c r="B34" s="40" t="s">
        <v>169</v>
      </c>
      <c r="C34" s="36">
        <v>-205969.02978000001</v>
      </c>
      <c r="D34" s="36">
        <v>-289289.08642000001</v>
      </c>
      <c r="E34" s="74">
        <f>IF(OR(-205969.02978="",-289289.08642="",-205969.02978=0,-289289.08642=0),"-",-289289.08642/-205969.02978*100)</f>
        <v>140.45271113283192</v>
      </c>
    </row>
    <row r="35" spans="1:5" x14ac:dyDescent="0.25">
      <c r="A35" s="39" t="s">
        <v>311</v>
      </c>
      <c r="B35" s="40" t="s">
        <v>213</v>
      </c>
      <c r="C35" s="36">
        <v>-119156.07503000001</v>
      </c>
      <c r="D35" s="36">
        <v>-141159.5828</v>
      </c>
      <c r="E35" s="74">
        <f>IF(OR(-119156.07503="",-141159.5828="",-119156.07503=0,-141159.5828=0),"-",-141159.5828/-119156.07503*100)</f>
        <v>118.46612332980936</v>
      </c>
    </row>
    <row r="36" spans="1:5" x14ac:dyDescent="0.25">
      <c r="A36" s="39" t="s">
        <v>321</v>
      </c>
      <c r="B36" s="40" t="s">
        <v>324</v>
      </c>
      <c r="C36" s="36">
        <v>-8106.4124499999998</v>
      </c>
      <c r="D36" s="36">
        <v>-5424.2586600000004</v>
      </c>
      <c r="E36" s="74">
        <f>IF(OR(-8106.41245="",-5424.25866="",-8106.41245=0,-5424.25866=0),"-",-5424.25866/-8106.41245*100)</f>
        <v>66.913183772187665</v>
      </c>
    </row>
    <row r="37" spans="1:5" ht="25.5" x14ac:dyDescent="0.25">
      <c r="A37" s="37" t="s">
        <v>266</v>
      </c>
      <c r="B37" s="38" t="s">
        <v>170</v>
      </c>
      <c r="C37" s="35">
        <v>62886.6394</v>
      </c>
      <c r="D37" s="35">
        <v>36525.589939999998</v>
      </c>
      <c r="E37" s="73">
        <f>IF(62886.6394="","-",36525.58994/62886.6394*100)</f>
        <v>58.081637512339377</v>
      </c>
    </row>
    <row r="38" spans="1:5" x14ac:dyDescent="0.25">
      <c r="A38" s="39" t="s">
        <v>267</v>
      </c>
      <c r="B38" s="40" t="s">
        <v>216</v>
      </c>
      <c r="C38" s="36">
        <v>-832.46124999999995</v>
      </c>
      <c r="D38" s="36">
        <v>-934.26241000000005</v>
      </c>
      <c r="E38" s="74">
        <f>IF(OR(-832.46125="",-934.26241="",-832.46125=0,-934.26241=0),"-",-934.26241/-832.46125*100)</f>
        <v>112.22893678234274</v>
      </c>
    </row>
    <row r="39" spans="1:5" ht="14.25" customHeight="1" x14ac:dyDescent="0.25">
      <c r="A39" s="39" t="s">
        <v>268</v>
      </c>
      <c r="B39" s="40" t="s">
        <v>171</v>
      </c>
      <c r="C39" s="36">
        <v>64617.579239999999</v>
      </c>
      <c r="D39" s="36">
        <v>38483.103790000001</v>
      </c>
      <c r="E39" s="74">
        <f>IF(OR(64617.57924="",38483.10379="",64617.57924=0,38483.10379=0),"-",38483.10379/64617.57924*100)</f>
        <v>59.555161679869826</v>
      </c>
    </row>
    <row r="40" spans="1:5" ht="51" x14ac:dyDescent="0.25">
      <c r="A40" s="39" t="s">
        <v>269</v>
      </c>
      <c r="B40" s="40" t="s">
        <v>214</v>
      </c>
      <c r="C40" s="36">
        <v>-898.47859000000005</v>
      </c>
      <c r="D40" s="36">
        <v>-1023.25144</v>
      </c>
      <c r="E40" s="74">
        <f>IF(OR(-898.47859="",-1023.25144="",-898.47859=0,-1023.25144=0),"-",-1023.25144/-898.47859*100)</f>
        <v>113.88712556856808</v>
      </c>
    </row>
    <row r="41" spans="1:5" ht="15" customHeight="1" x14ac:dyDescent="0.25">
      <c r="A41" s="37" t="s">
        <v>270</v>
      </c>
      <c r="B41" s="38" t="s">
        <v>172</v>
      </c>
      <c r="C41" s="35">
        <v>-403078.24125000002</v>
      </c>
      <c r="D41" s="35">
        <v>-506097.36901000002</v>
      </c>
      <c r="E41" s="73">
        <f>IF(-403078.24125="","-",-506097.36901/-403078.24125*100)</f>
        <v>125.55809696909557</v>
      </c>
    </row>
    <row r="42" spans="1:5" x14ac:dyDescent="0.25">
      <c r="A42" s="39" t="s">
        <v>271</v>
      </c>
      <c r="B42" s="40" t="s">
        <v>25</v>
      </c>
      <c r="C42" s="36">
        <v>22223.31034</v>
      </c>
      <c r="D42" s="36">
        <v>11290.522709999999</v>
      </c>
      <c r="E42" s="74">
        <f>IF(OR(22223.31034="",11290.52271="",22223.31034=0,11290.52271=0),"-",11290.52271/22223.31034*100)</f>
        <v>50.804864519567339</v>
      </c>
    </row>
    <row r="43" spans="1:5" x14ac:dyDescent="0.25">
      <c r="A43" s="39" t="s">
        <v>272</v>
      </c>
      <c r="B43" s="40" t="s">
        <v>26</v>
      </c>
      <c r="C43" s="36">
        <v>-8508.4581600000001</v>
      </c>
      <c r="D43" s="36">
        <v>-8533.0355400000008</v>
      </c>
      <c r="E43" s="74">
        <f>IF(OR(-8508.45816="",-8533.03554="",-8508.45816=0,-8533.03554=0),"-",-8533.03554/-8508.45816*100)</f>
        <v>100.28885821071019</v>
      </c>
    </row>
    <row r="44" spans="1:5" x14ac:dyDescent="0.25">
      <c r="A44" s="39" t="s">
        <v>273</v>
      </c>
      <c r="B44" s="40" t="s">
        <v>173</v>
      </c>
      <c r="C44" s="36">
        <v>-20909.592680000002</v>
      </c>
      <c r="D44" s="36">
        <v>-26476.277709999998</v>
      </c>
      <c r="E44" s="74">
        <f>IF(OR(-20909.59268="",-26476.27771="",-20909.59268=0,-26476.27771=0),"-",-26476.27771/-20909.59268*100)</f>
        <v>126.62263734732875</v>
      </c>
    </row>
    <row r="45" spans="1:5" x14ac:dyDescent="0.25">
      <c r="A45" s="39" t="s">
        <v>274</v>
      </c>
      <c r="B45" s="40" t="s">
        <v>174</v>
      </c>
      <c r="C45" s="36">
        <v>-107119.56005</v>
      </c>
      <c r="D45" s="36">
        <v>-133301.17340999999</v>
      </c>
      <c r="E45" s="74">
        <f>IF(OR(-107119.56005="",-133301.17341="",-107119.56005=0,-133301.17341=0),"-",-133301.17341/-107119.56005*100)</f>
        <v>124.44148701486381</v>
      </c>
    </row>
    <row r="46" spans="1:5" ht="38.25" x14ac:dyDescent="0.25">
      <c r="A46" s="39" t="s">
        <v>275</v>
      </c>
      <c r="B46" s="40" t="s">
        <v>175</v>
      </c>
      <c r="C46" s="36">
        <v>-55468.489609999997</v>
      </c>
      <c r="D46" s="36">
        <v>-70882.963390000004</v>
      </c>
      <c r="E46" s="74">
        <f>IF(OR(-55468.48961="",-70882.96339="",-55468.48961=0,-70882.96339=0),"-",-70882.96339/-55468.48961*100)</f>
        <v>127.78960431116741</v>
      </c>
    </row>
    <row r="47" spans="1:5" x14ac:dyDescent="0.25">
      <c r="A47" s="39" t="s">
        <v>276</v>
      </c>
      <c r="B47" s="40" t="s">
        <v>176</v>
      </c>
      <c r="C47" s="36">
        <v>-53396.995329999998</v>
      </c>
      <c r="D47" s="36">
        <v>-47555.766900000002</v>
      </c>
      <c r="E47" s="74">
        <f>IF(OR(-53396.99533="",-47555.7669="",-53396.99533=0,-47555.7669=0),"-",-47555.7669/-53396.99533*100)</f>
        <v>89.060754460245406</v>
      </c>
    </row>
    <row r="48" spans="1:5" x14ac:dyDescent="0.25">
      <c r="A48" s="39" t="s">
        <v>277</v>
      </c>
      <c r="B48" s="40" t="s">
        <v>27</v>
      </c>
      <c r="C48" s="36">
        <v>-24449.394329999999</v>
      </c>
      <c r="D48" s="36">
        <v>-37068.870439999999</v>
      </c>
      <c r="E48" s="74" t="s">
        <v>234</v>
      </c>
    </row>
    <row r="49" spans="1:5" x14ac:dyDescent="0.25">
      <c r="A49" s="39" t="s">
        <v>278</v>
      </c>
      <c r="B49" s="40" t="s">
        <v>28</v>
      </c>
      <c r="C49" s="36">
        <v>-60376.639600000002</v>
      </c>
      <c r="D49" s="36">
        <v>-85596.003750000003</v>
      </c>
      <c r="E49" s="74">
        <f>IF(OR(-60376.6396="",-85596.00375="",-60376.6396=0,-85596.00375=0),"-",-85596.00375/-60376.6396*100)</f>
        <v>141.77006921398785</v>
      </c>
    </row>
    <row r="50" spans="1:5" x14ac:dyDescent="0.25">
      <c r="A50" s="39" t="s">
        <v>279</v>
      </c>
      <c r="B50" s="40" t="s">
        <v>177</v>
      </c>
      <c r="C50" s="36">
        <v>-95072.421830000007</v>
      </c>
      <c r="D50" s="36">
        <v>-107973.80058</v>
      </c>
      <c r="E50" s="74">
        <f>IF(OR(-95072.42183="",-107973.80058="",-95072.42183=0,-107973.80058=0),"-",-107973.80058/-95072.42183*100)</f>
        <v>113.5700537565658</v>
      </c>
    </row>
    <row r="51" spans="1:5" ht="25.5" x14ac:dyDescent="0.25">
      <c r="A51" s="37" t="s">
        <v>280</v>
      </c>
      <c r="B51" s="38" t="s">
        <v>355</v>
      </c>
      <c r="C51" s="35">
        <v>-460758.85376000003</v>
      </c>
      <c r="D51" s="35">
        <v>-592459.48881999997</v>
      </c>
      <c r="E51" s="73">
        <f>IF(-460758.85376="","-",-592459.48882/-460758.85376*100)</f>
        <v>128.58341928435306</v>
      </c>
    </row>
    <row r="52" spans="1:5" x14ac:dyDescent="0.25">
      <c r="A52" s="39" t="s">
        <v>281</v>
      </c>
      <c r="B52" s="40" t="s">
        <v>178</v>
      </c>
      <c r="C52" s="36">
        <v>-22533.129720000001</v>
      </c>
      <c r="D52" s="36">
        <v>-32540.243880000002</v>
      </c>
      <c r="E52" s="74">
        <f>IF(OR(-22533.12972="",-32540.24388="",-22533.12972=0,-32540.24388=0),"-",-32540.24388/-22533.12972*100)</f>
        <v>144.41067123985829</v>
      </c>
    </row>
    <row r="53" spans="1:5" x14ac:dyDescent="0.25">
      <c r="A53" s="39" t="s">
        <v>282</v>
      </c>
      <c r="B53" s="40" t="s">
        <v>29</v>
      </c>
      <c r="C53" s="36">
        <v>-28435.143260000001</v>
      </c>
      <c r="D53" s="36">
        <v>-35731.243340000001</v>
      </c>
      <c r="E53" s="74">
        <f>IF(OR(-28435.14326="",-35731.24334="",-28435.14326=0,-35731.24334=0),"-",-35731.24334/-28435.14326*100)</f>
        <v>125.65874211811514</v>
      </c>
    </row>
    <row r="54" spans="1:5" x14ac:dyDescent="0.25">
      <c r="A54" s="39" t="s">
        <v>283</v>
      </c>
      <c r="B54" s="40" t="s">
        <v>179</v>
      </c>
      <c r="C54" s="36">
        <v>-33572.88751</v>
      </c>
      <c r="D54" s="36">
        <v>-44783.415300000001</v>
      </c>
      <c r="E54" s="74">
        <f>IF(OR(-33572.88751="",-44783.4153="",-33572.88751=0,-44783.4153=0),"-",-44783.4153/-33572.88751*100)</f>
        <v>133.39161037804936</v>
      </c>
    </row>
    <row r="55" spans="1:5" ht="25.5" x14ac:dyDescent="0.25">
      <c r="A55" s="39" t="s">
        <v>284</v>
      </c>
      <c r="B55" s="40" t="s">
        <v>180</v>
      </c>
      <c r="C55" s="36">
        <v>-46039.394840000001</v>
      </c>
      <c r="D55" s="36">
        <v>-54500.065990000003</v>
      </c>
      <c r="E55" s="74">
        <f>IF(OR(-46039.39484="",-54500.06599="",-46039.39484=0,-54500.06599=0),"-",-54500.06599/-46039.39484*100)</f>
        <v>118.37702510948122</v>
      </c>
    </row>
    <row r="56" spans="1:5" ht="25.5" x14ac:dyDescent="0.25">
      <c r="A56" s="39" t="s">
        <v>285</v>
      </c>
      <c r="B56" s="40" t="s">
        <v>181</v>
      </c>
      <c r="C56" s="36">
        <v>-108697.76367</v>
      </c>
      <c r="D56" s="36">
        <v>-139154.07297000001</v>
      </c>
      <c r="E56" s="74">
        <f>IF(OR(-108697.76367="",-139154.07297="",-108697.76367=0,-139154.07297=0),"-",-139154.07297/-108697.76367*100)</f>
        <v>128.01926026046274</v>
      </c>
    </row>
    <row r="57" spans="1:5" x14ac:dyDescent="0.25">
      <c r="A57" s="39" t="s">
        <v>286</v>
      </c>
      <c r="B57" s="40" t="s">
        <v>30</v>
      </c>
      <c r="C57" s="36">
        <v>-46346.332459999998</v>
      </c>
      <c r="D57" s="36">
        <v>-55228.529210000001</v>
      </c>
      <c r="E57" s="74">
        <f>IF(OR(-46346.33246="",-55228.52921="",-46346.33246=0,-55228.52921=0),"-",-55228.52921/-46346.33246*100)</f>
        <v>119.16483199110941</v>
      </c>
    </row>
    <row r="58" spans="1:5" x14ac:dyDescent="0.25">
      <c r="A58" s="39" t="s">
        <v>287</v>
      </c>
      <c r="B58" s="40" t="s">
        <v>182</v>
      </c>
      <c r="C58" s="36">
        <v>-70123.981289999996</v>
      </c>
      <c r="D58" s="36">
        <v>-90612.552259999997</v>
      </c>
      <c r="E58" s="74">
        <f>IF(OR(-70123.98129="",-90612.55226="",-70123.98129=0,-90612.55226=0),"-",-90612.55226/-70123.98129*100)</f>
        <v>129.21763795080153</v>
      </c>
    </row>
    <row r="59" spans="1:5" x14ac:dyDescent="0.25">
      <c r="A59" s="39" t="s">
        <v>288</v>
      </c>
      <c r="B59" s="40" t="s">
        <v>31</v>
      </c>
      <c r="C59" s="36">
        <v>-34735.067020000002</v>
      </c>
      <c r="D59" s="36">
        <v>-45230.790430000001</v>
      </c>
      <c r="E59" s="74">
        <f>IF(OR(-34735.06702="",-45230.79043="",-34735.06702=0,-45230.79043=0),"-",-45230.79043/-34735.06702*100)</f>
        <v>130.21650542363054</v>
      </c>
    </row>
    <row r="60" spans="1:5" x14ac:dyDescent="0.25">
      <c r="A60" s="39" t="s">
        <v>289</v>
      </c>
      <c r="B60" s="40" t="s">
        <v>32</v>
      </c>
      <c r="C60" s="36">
        <v>-70275.153990000006</v>
      </c>
      <c r="D60" s="36">
        <v>-94678.575440000001</v>
      </c>
      <c r="E60" s="74">
        <f>IF(OR(-70275.15399="",-94678.57544="",-70275.15399=0,-94678.57544=0),"-",-94678.57544/-70275.15399*100)</f>
        <v>134.72553251675913</v>
      </c>
    </row>
    <row r="61" spans="1:5" x14ac:dyDescent="0.25">
      <c r="A61" s="37" t="s">
        <v>290</v>
      </c>
      <c r="B61" s="38" t="s">
        <v>183</v>
      </c>
      <c r="C61" s="35">
        <v>-439461.11439</v>
      </c>
      <c r="D61" s="35">
        <v>-588955.43475999997</v>
      </c>
      <c r="E61" s="73">
        <f>IF(-439461.11439="","-",-588955.43476/-439461.11439*100)</f>
        <v>134.0176446731829</v>
      </c>
    </row>
    <row r="62" spans="1:5" ht="16.5" customHeight="1" x14ac:dyDescent="0.25">
      <c r="A62" s="39" t="s">
        <v>291</v>
      </c>
      <c r="B62" s="40" t="s">
        <v>184</v>
      </c>
      <c r="C62" s="36">
        <v>-8214.5205900000001</v>
      </c>
      <c r="D62" s="36">
        <v>-15701.10277</v>
      </c>
      <c r="E62" s="74" t="s">
        <v>105</v>
      </c>
    </row>
    <row r="63" spans="1:5" ht="25.5" x14ac:dyDescent="0.25">
      <c r="A63" s="39" t="s">
        <v>292</v>
      </c>
      <c r="B63" s="40" t="s">
        <v>185</v>
      </c>
      <c r="C63" s="36">
        <v>-86470.630919999996</v>
      </c>
      <c r="D63" s="36">
        <v>-113184.14851</v>
      </c>
      <c r="E63" s="74">
        <f>IF(OR(-86470.63092="",-113184.14851="",-86470.63092=0,-113184.14851=0),"-",-113184.14851/-86470.63092*100)</f>
        <v>130.89316835760633</v>
      </c>
    </row>
    <row r="64" spans="1:5" x14ac:dyDescent="0.25">
      <c r="A64" s="39" t="s">
        <v>293</v>
      </c>
      <c r="B64" s="40" t="s">
        <v>186</v>
      </c>
      <c r="C64" s="36">
        <v>-6233.99197</v>
      </c>
      <c r="D64" s="36">
        <v>-8320.3454199999996</v>
      </c>
      <c r="E64" s="74">
        <f>IF(OR(-6233.99197="",-8320.34542="",-6233.99197=0,-8320.34542=0),"-",-8320.34542/-6233.99197*100)</f>
        <v>133.4673746780588</v>
      </c>
    </row>
    <row r="65" spans="1:5" ht="25.5" x14ac:dyDescent="0.25">
      <c r="A65" s="39" t="s">
        <v>294</v>
      </c>
      <c r="B65" s="40" t="s">
        <v>187</v>
      </c>
      <c r="C65" s="36">
        <v>-100056.77847</v>
      </c>
      <c r="D65" s="36">
        <v>-125260.35127</v>
      </c>
      <c r="E65" s="74">
        <f>IF(OR(-100056.77847="",-125260.35127="",-100056.77847=0,-125260.35127=0),"-",-125260.35127/-100056.77847*100)</f>
        <v>125.18927071748244</v>
      </c>
    </row>
    <row r="66" spans="1:5" ht="27.75" customHeight="1" x14ac:dyDescent="0.25">
      <c r="A66" s="39" t="s">
        <v>295</v>
      </c>
      <c r="B66" s="40" t="s">
        <v>188</v>
      </c>
      <c r="C66" s="36">
        <v>-25072.585879999999</v>
      </c>
      <c r="D66" s="36">
        <v>-41426.349410000003</v>
      </c>
      <c r="E66" s="74" t="s">
        <v>103</v>
      </c>
    </row>
    <row r="67" spans="1:5" ht="29.25" customHeight="1" x14ac:dyDescent="0.25">
      <c r="A67" s="39" t="s">
        <v>296</v>
      </c>
      <c r="B67" s="40" t="s">
        <v>189</v>
      </c>
      <c r="C67" s="36">
        <v>-78666.373080000005</v>
      </c>
      <c r="D67" s="36">
        <v>-99558.863620000004</v>
      </c>
      <c r="E67" s="74">
        <f>IF(OR(-78666.37308="",-99558.86362="",-78666.37308=0,-99558.86362=0),"-",-99558.86362/-78666.37308*100)</f>
        <v>126.55834980310243</v>
      </c>
    </row>
    <row r="68" spans="1:5" ht="15" customHeight="1" x14ac:dyDescent="0.25">
      <c r="A68" s="39" t="s">
        <v>297</v>
      </c>
      <c r="B68" s="40" t="s">
        <v>190</v>
      </c>
      <c r="C68" s="36">
        <v>46211.653169999998</v>
      </c>
      <c r="D68" s="36">
        <v>27718.249049999999</v>
      </c>
      <c r="E68" s="74">
        <f>IF(OR(46211.65317="",27718.24905="",46211.65317=0,27718.24905=0),"-",27718.24905/46211.65317*100)</f>
        <v>59.981080849958261</v>
      </c>
    </row>
    <row r="69" spans="1:5" x14ac:dyDescent="0.25">
      <c r="A69" s="39" t="s">
        <v>298</v>
      </c>
      <c r="B69" s="40" t="s">
        <v>191</v>
      </c>
      <c r="C69" s="36">
        <v>-129929.61685999999</v>
      </c>
      <c r="D69" s="36">
        <v>-212123.47391999999</v>
      </c>
      <c r="E69" s="74" t="s">
        <v>104</v>
      </c>
    </row>
    <row r="70" spans="1:5" x14ac:dyDescent="0.25">
      <c r="A70" s="39" t="s">
        <v>299</v>
      </c>
      <c r="B70" s="40" t="s">
        <v>33</v>
      </c>
      <c r="C70" s="36">
        <v>-51028.269789999998</v>
      </c>
      <c r="D70" s="36">
        <v>-1099.04889</v>
      </c>
      <c r="E70" s="74">
        <f>IF(OR(-51028.26979="",-1099.04889="",-51028.26979=0,-1099.04889=0),"-",-1099.04889/-51028.26979*100)</f>
        <v>2.1538039493069006</v>
      </c>
    </row>
    <row r="71" spans="1:5" x14ac:dyDescent="0.25">
      <c r="A71" s="37" t="s">
        <v>300</v>
      </c>
      <c r="B71" s="38" t="s">
        <v>34</v>
      </c>
      <c r="C71" s="35">
        <v>-15415.72841</v>
      </c>
      <c r="D71" s="35">
        <v>-102107.19184</v>
      </c>
      <c r="E71" s="73" t="s">
        <v>391</v>
      </c>
    </row>
    <row r="72" spans="1:5" ht="25.5" x14ac:dyDescent="0.25">
      <c r="A72" s="39" t="s">
        <v>301</v>
      </c>
      <c r="B72" s="40" t="s">
        <v>217</v>
      </c>
      <c r="C72" s="36">
        <v>-17555.208289999999</v>
      </c>
      <c r="D72" s="36">
        <v>-27272.61231</v>
      </c>
      <c r="E72" s="74" t="s">
        <v>104</v>
      </c>
    </row>
    <row r="73" spans="1:5" x14ac:dyDescent="0.25">
      <c r="A73" s="39" t="s">
        <v>302</v>
      </c>
      <c r="B73" s="40" t="s">
        <v>192</v>
      </c>
      <c r="C73" s="36">
        <v>41104.93778</v>
      </c>
      <c r="D73" s="36">
        <v>54139.351970000003</v>
      </c>
      <c r="E73" s="74">
        <f>IF(OR(41104.93778="",54139.35197="",41104.93778=0,54139.35197=0),"-",54139.35197/41104.93778*100)</f>
        <v>131.71009346799698</v>
      </c>
    </row>
    <row r="74" spans="1:5" x14ac:dyDescent="0.25">
      <c r="A74" s="39" t="s">
        <v>303</v>
      </c>
      <c r="B74" s="40" t="s">
        <v>193</v>
      </c>
      <c r="C74" s="36">
        <v>2925.88357</v>
      </c>
      <c r="D74" s="36">
        <v>1877.20137</v>
      </c>
      <c r="E74" s="74">
        <f>IF(OR(2925.88357="",1877.20137="",2925.88357=0,1877.20137=0),"-",1877.20137/2925.88357*100)</f>
        <v>64.15844393972246</v>
      </c>
    </row>
    <row r="75" spans="1:5" x14ac:dyDescent="0.25">
      <c r="A75" s="39" t="s">
        <v>304</v>
      </c>
      <c r="B75" s="40" t="s">
        <v>194</v>
      </c>
      <c r="C75" s="36">
        <v>65703.832890000005</v>
      </c>
      <c r="D75" s="36">
        <v>55627.038809999998</v>
      </c>
      <c r="E75" s="74">
        <f>IF(OR(65703.83289="",55627.03881="",65703.83289=0,55627.03881=0),"-",55627.03881/65703.83289*100)</f>
        <v>84.663308612649175</v>
      </c>
    </row>
    <row r="76" spans="1:5" x14ac:dyDescent="0.25">
      <c r="A76" s="39" t="s">
        <v>305</v>
      </c>
      <c r="B76" s="40" t="s">
        <v>195</v>
      </c>
      <c r="C76" s="36">
        <v>-1709.3118199999999</v>
      </c>
      <c r="D76" s="36">
        <v>-5342.5323500000004</v>
      </c>
      <c r="E76" s="74" t="s">
        <v>338</v>
      </c>
    </row>
    <row r="77" spans="1:5" ht="25.5" x14ac:dyDescent="0.25">
      <c r="A77" s="39" t="s">
        <v>306</v>
      </c>
      <c r="B77" s="40" t="s">
        <v>218</v>
      </c>
      <c r="C77" s="36">
        <v>-19143.53932</v>
      </c>
      <c r="D77" s="36">
        <v>-41706.620759999998</v>
      </c>
      <c r="E77" s="74" t="s">
        <v>220</v>
      </c>
    </row>
    <row r="78" spans="1:5" ht="25.5" x14ac:dyDescent="0.25">
      <c r="A78" s="39" t="s">
        <v>307</v>
      </c>
      <c r="B78" s="40" t="s">
        <v>196</v>
      </c>
      <c r="C78" s="36">
        <v>-4089.20894</v>
      </c>
      <c r="D78" s="36">
        <v>-8325.9264000000003</v>
      </c>
      <c r="E78" s="74" t="s">
        <v>20</v>
      </c>
    </row>
    <row r="79" spans="1:5" x14ac:dyDescent="0.25">
      <c r="A79" s="39" t="s">
        <v>308</v>
      </c>
      <c r="B79" s="40" t="s">
        <v>35</v>
      </c>
      <c r="C79" s="36">
        <v>-82653.114279999994</v>
      </c>
      <c r="D79" s="36">
        <v>-131103.09216999999</v>
      </c>
      <c r="E79" s="74" t="s">
        <v>104</v>
      </c>
    </row>
    <row r="80" spans="1:5" ht="15.75" customHeight="1" x14ac:dyDescent="0.25">
      <c r="A80" s="48" t="s">
        <v>312</v>
      </c>
      <c r="B80" s="65" t="s">
        <v>197</v>
      </c>
      <c r="C80" s="66">
        <v>229.85955000000001</v>
      </c>
      <c r="D80" s="66">
        <v>299.95211999999998</v>
      </c>
      <c r="E80" s="75">
        <f>IF(229.85955="","-",299.95212/229.85955*100)</f>
        <v>130.49365144933068</v>
      </c>
    </row>
    <row r="81" spans="1:2" x14ac:dyDescent="0.25">
      <c r="A81" s="44" t="s">
        <v>315</v>
      </c>
      <c r="B81" s="46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2021-09-13T12:42:46Z</cp:lastPrinted>
  <dcterms:created xsi:type="dcterms:W3CDTF">2016-09-01T07:59:47Z</dcterms:created>
  <dcterms:modified xsi:type="dcterms:W3CDTF">2021-09-13T12:46:43Z</dcterms:modified>
</cp:coreProperties>
</file>