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Fwd Nota informativa\"/>
    </mc:Choice>
  </mc:AlternateContent>
  <xr:revisionPtr revIDLastSave="0" documentId="13_ncr:1_{BF6153F1-4A6F-48AC-AB89-B5F2E1986C36}" xr6:coauthVersionLast="37" xr6:coauthVersionMax="37" xr10:uidLastSave="{00000000-0000-0000-0000-000000000000}"/>
  <bookViews>
    <workbookView xWindow="0" yWindow="0" windowWidth="20400" windowHeight="7545" tabRatio="837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Comerciala_Tari'!$4:$5</definedName>
    <definedName name="_xlnm.Print_Titles" localSheetId="7">Balanta_Comerciala_Gr_Marf_CSCI!$5:$6</definedName>
    <definedName name="_xlnm.Print_Titles" localSheetId="5">Export_Grupe_Marfuri_CSCI!$5:$7</definedName>
    <definedName name="_xlnm.Print_Titles" localSheetId="0">Export_Tari!$4:$6</definedName>
    <definedName name="_xlnm.Print_Titles" localSheetId="6">Import_Grupe_Marfuri_CSCI!$5:$7</definedName>
    <definedName name="_xlnm.Print_Titles" localSheetId="1">Import_Tari!$4:$6</definedName>
  </definedNames>
  <calcPr calcId="179021" iterate="1"/>
</workbook>
</file>

<file path=xl/calcChain.xml><?xml version="1.0" encoding="utf-8"?>
<calcChain xmlns="http://schemas.openxmlformats.org/spreadsheetml/2006/main">
  <c r="E81" i="4" l="1"/>
  <c r="E80" i="4"/>
  <c r="E76" i="4"/>
  <c r="E75" i="4"/>
  <c r="E74" i="4"/>
  <c r="E73" i="4"/>
  <c r="E71" i="4"/>
  <c r="E70" i="4"/>
  <c r="E68" i="4"/>
  <c r="E67" i="4"/>
  <c r="E66" i="4"/>
  <c r="E65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4" i="4"/>
  <c r="E32" i="4"/>
  <c r="E30" i="4"/>
  <c r="E29" i="4"/>
  <c r="E27" i="4"/>
  <c r="E25" i="4"/>
  <c r="E24" i="4"/>
  <c r="E23" i="4"/>
  <c r="E22" i="4"/>
  <c r="E21" i="4"/>
  <c r="E20" i="4"/>
  <c r="E19" i="4"/>
  <c r="E17" i="4"/>
  <c r="E15" i="4"/>
  <c r="E13" i="4"/>
  <c r="E12" i="4"/>
  <c r="E10" i="4"/>
  <c r="E9" i="4"/>
  <c r="E7" i="4"/>
  <c r="H81" i="6"/>
  <c r="G81" i="6"/>
  <c r="F81" i="6"/>
  <c r="E81" i="6"/>
  <c r="H80" i="6"/>
  <c r="G80" i="6"/>
  <c r="F80" i="6"/>
  <c r="E80" i="6"/>
  <c r="D80" i="6"/>
  <c r="H79" i="6"/>
  <c r="G79" i="6"/>
  <c r="F79" i="6"/>
  <c r="E79" i="6"/>
  <c r="H78" i="6"/>
  <c r="G78" i="6"/>
  <c r="F78" i="6"/>
  <c r="E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H35" i="6"/>
  <c r="G35" i="6"/>
  <c r="F35" i="6"/>
  <c r="E35" i="6"/>
  <c r="H34" i="6"/>
  <c r="G34" i="6"/>
  <c r="F34" i="6"/>
  <c r="E34" i="6"/>
  <c r="D34" i="6"/>
  <c r="H33" i="6"/>
  <c r="G33" i="6"/>
  <c r="F33" i="6"/>
  <c r="E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H25" i="6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H10" i="6"/>
  <c r="G10" i="6"/>
  <c r="F10" i="6"/>
  <c r="E10" i="6"/>
  <c r="D10" i="6"/>
  <c r="H9" i="6"/>
  <c r="G9" i="6"/>
  <c r="F9" i="6"/>
  <c r="E9" i="6"/>
  <c r="D9" i="6"/>
  <c r="H8" i="6"/>
  <c r="G8" i="6"/>
  <c r="D8" i="6"/>
  <c r="H80" i="5"/>
  <c r="G80" i="5"/>
  <c r="F80" i="5"/>
  <c r="E80" i="5"/>
  <c r="D80" i="5"/>
  <c r="C80" i="5"/>
  <c r="H79" i="5"/>
  <c r="G79" i="5"/>
  <c r="F79" i="5"/>
  <c r="E79" i="5"/>
  <c r="D79" i="5"/>
  <c r="C79" i="5"/>
  <c r="H78" i="5"/>
  <c r="G78" i="5"/>
  <c r="F78" i="5"/>
  <c r="E78" i="5"/>
  <c r="D78" i="5"/>
  <c r="C78" i="5"/>
  <c r="H77" i="5"/>
  <c r="G77" i="5"/>
  <c r="F77" i="5"/>
  <c r="E77" i="5"/>
  <c r="D77" i="5"/>
  <c r="C77" i="5"/>
  <c r="H76" i="5"/>
  <c r="G76" i="5"/>
  <c r="F76" i="5"/>
  <c r="E76" i="5"/>
  <c r="D76" i="5"/>
  <c r="C76" i="5"/>
  <c r="H75" i="5"/>
  <c r="G75" i="5"/>
  <c r="F75" i="5"/>
  <c r="E75" i="5"/>
  <c r="D75" i="5"/>
  <c r="C75" i="5"/>
  <c r="H74" i="5"/>
  <c r="G74" i="5"/>
  <c r="F74" i="5"/>
  <c r="E74" i="5"/>
  <c r="D74" i="5"/>
  <c r="C74" i="5"/>
  <c r="H73" i="5"/>
  <c r="G73" i="5"/>
  <c r="F73" i="5"/>
  <c r="E73" i="5"/>
  <c r="D73" i="5"/>
  <c r="C73" i="5"/>
  <c r="H72" i="5"/>
  <c r="G72" i="5"/>
  <c r="F72" i="5"/>
  <c r="E72" i="5"/>
  <c r="D72" i="5"/>
  <c r="C72" i="5"/>
  <c r="H71" i="5"/>
  <c r="G71" i="5"/>
  <c r="F71" i="5"/>
  <c r="E71" i="5"/>
  <c r="D71" i="5"/>
  <c r="C71" i="5"/>
  <c r="H70" i="5"/>
  <c r="G70" i="5"/>
  <c r="F70" i="5"/>
  <c r="E70" i="5"/>
  <c r="C70" i="5"/>
  <c r="H69" i="5"/>
  <c r="G69" i="5"/>
  <c r="F69" i="5"/>
  <c r="E69" i="5"/>
  <c r="C69" i="5"/>
  <c r="H68" i="5"/>
  <c r="G68" i="5"/>
  <c r="F68" i="5"/>
  <c r="E68" i="5"/>
  <c r="D68" i="5"/>
  <c r="C68" i="5"/>
  <c r="H67" i="5"/>
  <c r="G67" i="5"/>
  <c r="F67" i="5"/>
  <c r="E67" i="5"/>
  <c r="D67" i="5"/>
  <c r="C67" i="5"/>
  <c r="H66" i="5"/>
  <c r="G66" i="5"/>
  <c r="F66" i="5"/>
  <c r="E66" i="5"/>
  <c r="D66" i="5"/>
  <c r="C66" i="5"/>
  <c r="H65" i="5"/>
  <c r="G65" i="5"/>
  <c r="F65" i="5"/>
  <c r="E65" i="5"/>
  <c r="D65" i="5"/>
  <c r="C65" i="5"/>
  <c r="H64" i="5"/>
  <c r="G64" i="5"/>
  <c r="F64" i="5"/>
  <c r="E64" i="5"/>
  <c r="D64" i="5"/>
  <c r="C64" i="5"/>
  <c r="H63" i="5"/>
  <c r="G63" i="5"/>
  <c r="F63" i="5"/>
  <c r="E63" i="5"/>
  <c r="D63" i="5"/>
  <c r="C63" i="5"/>
  <c r="H62" i="5"/>
  <c r="G62" i="5"/>
  <c r="F62" i="5"/>
  <c r="E62" i="5"/>
  <c r="D62" i="5"/>
  <c r="C62" i="5"/>
  <c r="H61" i="5"/>
  <c r="G61" i="5"/>
  <c r="F61" i="5"/>
  <c r="E61" i="5"/>
  <c r="D61" i="5"/>
  <c r="C61" i="5"/>
  <c r="H60" i="5"/>
  <c r="G60" i="5"/>
  <c r="F60" i="5"/>
  <c r="E60" i="5"/>
  <c r="C60" i="5"/>
  <c r="H59" i="5"/>
  <c r="G59" i="5"/>
  <c r="F59" i="5"/>
  <c r="E59" i="5"/>
  <c r="D59" i="5"/>
  <c r="C59" i="5"/>
  <c r="H58" i="5"/>
  <c r="G58" i="5"/>
  <c r="F58" i="5"/>
  <c r="E58" i="5"/>
  <c r="C58" i="5"/>
  <c r="H57" i="5"/>
  <c r="G57" i="5"/>
  <c r="F57" i="5"/>
  <c r="E57" i="5"/>
  <c r="D57" i="5"/>
  <c r="C57" i="5"/>
  <c r="H56" i="5"/>
  <c r="G56" i="5"/>
  <c r="F56" i="5"/>
  <c r="E56" i="5"/>
  <c r="D56" i="5"/>
  <c r="C56" i="5"/>
  <c r="H55" i="5"/>
  <c r="G55" i="5"/>
  <c r="F55" i="5"/>
  <c r="E55" i="5"/>
  <c r="D55" i="5"/>
  <c r="C55" i="5"/>
  <c r="H54" i="5"/>
  <c r="G54" i="5"/>
  <c r="F54" i="5"/>
  <c r="E54" i="5"/>
  <c r="D54" i="5"/>
  <c r="C54" i="5"/>
  <c r="H53" i="5"/>
  <c r="G53" i="5"/>
  <c r="F53" i="5"/>
  <c r="E53" i="5"/>
  <c r="D53" i="5"/>
  <c r="C53" i="5"/>
  <c r="H52" i="5"/>
  <c r="G52" i="5"/>
  <c r="F52" i="5"/>
  <c r="E52" i="5"/>
  <c r="C52" i="5"/>
  <c r="H51" i="5"/>
  <c r="G51" i="5"/>
  <c r="F51" i="5"/>
  <c r="E51" i="5"/>
  <c r="D51" i="5"/>
  <c r="C51" i="5"/>
  <c r="H50" i="5"/>
  <c r="G50" i="5"/>
  <c r="F50" i="5"/>
  <c r="E50" i="5"/>
  <c r="C50" i="5"/>
  <c r="H49" i="5"/>
  <c r="G49" i="5"/>
  <c r="F49" i="5"/>
  <c r="E49" i="5"/>
  <c r="C49" i="5"/>
  <c r="H48" i="5"/>
  <c r="G48" i="5"/>
  <c r="F48" i="5"/>
  <c r="E48" i="5"/>
  <c r="D48" i="5"/>
  <c r="C48" i="5"/>
  <c r="H47" i="5"/>
  <c r="G47" i="5"/>
  <c r="F47" i="5"/>
  <c r="E47" i="5"/>
  <c r="C47" i="5"/>
  <c r="H46" i="5"/>
  <c r="G46" i="5"/>
  <c r="F46" i="5"/>
  <c r="E46" i="5"/>
  <c r="D46" i="5"/>
  <c r="C46" i="5"/>
  <c r="H45" i="5"/>
  <c r="G45" i="5"/>
  <c r="F45" i="5"/>
  <c r="E45" i="5"/>
  <c r="C45" i="5"/>
  <c r="H44" i="5"/>
  <c r="G44" i="5"/>
  <c r="F44" i="5"/>
  <c r="E44" i="5"/>
  <c r="C44" i="5"/>
  <c r="H43" i="5"/>
  <c r="G43" i="5"/>
  <c r="F43" i="5"/>
  <c r="E43" i="5"/>
  <c r="D43" i="5"/>
  <c r="C43" i="5"/>
  <c r="H42" i="5"/>
  <c r="G42" i="5"/>
  <c r="F42" i="5"/>
  <c r="E42" i="5"/>
  <c r="D42" i="5"/>
  <c r="C42" i="5"/>
  <c r="H41" i="5"/>
  <c r="G41" i="5"/>
  <c r="F41" i="5"/>
  <c r="E41" i="5"/>
  <c r="D41" i="5"/>
  <c r="C41" i="5"/>
  <c r="H40" i="5"/>
  <c r="G40" i="5"/>
  <c r="F40" i="5"/>
  <c r="E40" i="5"/>
  <c r="D40" i="5"/>
  <c r="C40" i="5"/>
  <c r="H39" i="5"/>
  <c r="G39" i="5"/>
  <c r="F39" i="5"/>
  <c r="E39" i="5"/>
  <c r="D39" i="5"/>
  <c r="C39" i="5"/>
  <c r="H38" i="5"/>
  <c r="G38" i="5"/>
  <c r="F38" i="5"/>
  <c r="E38" i="5"/>
  <c r="C38" i="5"/>
  <c r="H37" i="5"/>
  <c r="G37" i="5"/>
  <c r="F37" i="5"/>
  <c r="E37" i="5"/>
  <c r="D37" i="5"/>
  <c r="C37" i="5"/>
  <c r="H36" i="5"/>
  <c r="G36" i="5"/>
  <c r="F36" i="5"/>
  <c r="E36" i="5"/>
  <c r="D36" i="5"/>
  <c r="C36" i="5"/>
  <c r="H35" i="5"/>
  <c r="G35" i="5"/>
  <c r="F35" i="5"/>
  <c r="E35" i="5"/>
  <c r="C35" i="5"/>
  <c r="H34" i="5"/>
  <c r="G34" i="5"/>
  <c r="F34" i="5"/>
  <c r="E34" i="5"/>
  <c r="C34" i="5"/>
  <c r="H33" i="5"/>
  <c r="G33" i="5"/>
  <c r="F33" i="5"/>
  <c r="E33" i="5"/>
  <c r="D33" i="5"/>
  <c r="C33" i="5"/>
  <c r="H32" i="5"/>
  <c r="G32" i="5"/>
  <c r="F32" i="5"/>
  <c r="E32" i="5"/>
  <c r="D32" i="5"/>
  <c r="C32" i="5"/>
  <c r="H31" i="5"/>
  <c r="G31" i="5"/>
  <c r="F31" i="5"/>
  <c r="E31" i="5"/>
  <c r="C31" i="5"/>
  <c r="H30" i="5"/>
  <c r="G30" i="5"/>
  <c r="F30" i="5"/>
  <c r="E30" i="5"/>
  <c r="D30" i="5"/>
  <c r="C30" i="5"/>
  <c r="H29" i="5"/>
  <c r="G29" i="5"/>
  <c r="F29" i="5"/>
  <c r="E29" i="5"/>
  <c r="D29" i="5"/>
  <c r="C29" i="5"/>
  <c r="H28" i="5"/>
  <c r="G28" i="5"/>
  <c r="F28" i="5"/>
  <c r="E28" i="5"/>
  <c r="C28" i="5"/>
  <c r="H27" i="5"/>
  <c r="G27" i="5"/>
  <c r="F27" i="5"/>
  <c r="E27" i="5"/>
  <c r="C27" i="5"/>
  <c r="H26" i="5"/>
  <c r="G26" i="5"/>
  <c r="F26" i="5"/>
  <c r="E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2" i="5"/>
  <c r="G22" i="5"/>
  <c r="F22" i="5"/>
  <c r="E22" i="5"/>
  <c r="D22" i="5"/>
  <c r="C22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C14" i="5"/>
  <c r="H13" i="5"/>
  <c r="G13" i="5"/>
  <c r="F13" i="5"/>
  <c r="E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D8" i="5"/>
  <c r="E41" i="8" l="1"/>
  <c r="D41" i="8"/>
  <c r="E40" i="8"/>
  <c r="D40" i="8"/>
  <c r="E39" i="8"/>
  <c r="D39" i="8"/>
  <c r="E38" i="8"/>
  <c r="D38" i="8"/>
  <c r="E37" i="8"/>
  <c r="D37" i="8"/>
  <c r="E36" i="8"/>
  <c r="D36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40" i="7"/>
  <c r="E39" i="7"/>
  <c r="D39" i="7"/>
  <c r="E38" i="7"/>
  <c r="D38" i="7"/>
  <c r="E37" i="7"/>
  <c r="D37" i="7"/>
  <c r="E36" i="7"/>
  <c r="D36" i="7"/>
  <c r="E35" i="7"/>
  <c r="D35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D151" i="3" l="1"/>
  <c r="D149" i="3"/>
  <c r="D148" i="3"/>
  <c r="D142" i="3"/>
  <c r="D138" i="3"/>
  <c r="D137" i="3"/>
  <c r="D135" i="3"/>
  <c r="D134" i="3"/>
  <c r="D127" i="3"/>
  <c r="D123" i="3"/>
  <c r="D121" i="3"/>
  <c r="D120" i="3"/>
  <c r="D117" i="3"/>
  <c r="D114" i="3"/>
  <c r="D112" i="3"/>
  <c r="D111" i="3"/>
  <c r="D110" i="3"/>
  <c r="D108" i="3"/>
  <c r="D106" i="3"/>
  <c r="D102" i="3"/>
  <c r="D101" i="3"/>
  <c r="D100" i="3"/>
  <c r="D99" i="3"/>
  <c r="D98" i="3"/>
  <c r="D93" i="3"/>
  <c r="D92" i="3"/>
  <c r="D89" i="3"/>
  <c r="D87" i="3"/>
  <c r="D86" i="3"/>
  <c r="D84" i="3"/>
  <c r="D83" i="3"/>
  <c r="D82" i="3"/>
  <c r="D81" i="3"/>
  <c r="D78" i="3"/>
  <c r="D77" i="3"/>
  <c r="D76" i="3"/>
  <c r="D75" i="3"/>
  <c r="D71" i="3"/>
  <c r="D68" i="3"/>
  <c r="D66" i="3"/>
  <c r="D65" i="3"/>
  <c r="D64" i="3"/>
  <c r="D63" i="3"/>
  <c r="D62" i="3"/>
  <c r="D60" i="3"/>
  <c r="D59" i="3"/>
  <c r="D57" i="3"/>
  <c r="D56" i="3"/>
  <c r="D55" i="3"/>
  <c r="D54" i="3"/>
  <c r="D53" i="3"/>
  <c r="D52" i="3"/>
  <c r="D50" i="3"/>
  <c r="D49" i="3"/>
  <c r="D48" i="3"/>
  <c r="D45" i="3"/>
  <c r="D43" i="3"/>
  <c r="D39" i="3"/>
  <c r="D37" i="3"/>
  <c r="D36" i="3"/>
  <c r="D35" i="3"/>
  <c r="D34" i="3"/>
  <c r="D30" i="3"/>
  <c r="D29" i="3"/>
  <c r="D28" i="3"/>
  <c r="D25" i="3"/>
  <c r="D24" i="3"/>
  <c r="D23" i="3"/>
  <c r="D22" i="3"/>
  <c r="D21" i="3"/>
  <c r="D20" i="3"/>
  <c r="D19" i="3"/>
  <c r="D15" i="3"/>
  <c r="D13" i="3"/>
  <c r="D11" i="3"/>
  <c r="D9" i="3"/>
  <c r="D6" i="3"/>
  <c r="G124" i="2" l="1"/>
  <c r="F124" i="2"/>
  <c r="E124" i="2"/>
  <c r="D124" i="2"/>
  <c r="C124" i="2"/>
  <c r="G123" i="2"/>
  <c r="F123" i="2"/>
  <c r="E123" i="2"/>
  <c r="D123" i="2"/>
  <c r="C123" i="2"/>
  <c r="G122" i="2"/>
  <c r="F122" i="2"/>
  <c r="E122" i="2"/>
  <c r="D122" i="2"/>
  <c r="C122" i="2"/>
  <c r="G121" i="2"/>
  <c r="F121" i="2"/>
  <c r="E121" i="2"/>
  <c r="D121" i="2"/>
  <c r="C121" i="2"/>
  <c r="G120" i="2"/>
  <c r="F120" i="2"/>
  <c r="E120" i="2"/>
  <c r="D120" i="2"/>
  <c r="C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C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C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G80" i="2"/>
  <c r="F80" i="2"/>
  <c r="E80" i="2"/>
  <c r="D80" i="2"/>
  <c r="C80" i="2"/>
  <c r="G79" i="2"/>
  <c r="F79" i="2"/>
  <c r="E79" i="2"/>
  <c r="D79" i="2"/>
  <c r="G78" i="2"/>
  <c r="F78" i="2"/>
  <c r="E78" i="2"/>
  <c r="D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G47" i="2"/>
  <c r="F47" i="2"/>
  <c r="E47" i="2"/>
  <c r="D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G43" i="2"/>
  <c r="F43" i="2"/>
  <c r="E43" i="2"/>
  <c r="D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G38" i="2"/>
  <c r="F38" i="2"/>
  <c r="E38" i="2"/>
  <c r="D38" i="2"/>
  <c r="C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B35" i="2"/>
  <c r="G34" i="2"/>
  <c r="F34" i="2"/>
  <c r="E34" i="2"/>
  <c r="D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G7" i="2"/>
  <c r="F7" i="2"/>
  <c r="C7" i="2"/>
  <c r="G121" i="1" l="1"/>
  <c r="F121" i="1"/>
  <c r="E121" i="1"/>
  <c r="D121" i="1"/>
  <c r="G120" i="1"/>
  <c r="F120" i="1"/>
  <c r="E120" i="1"/>
  <c r="D120" i="1"/>
  <c r="G119" i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F116" i="1"/>
  <c r="E116" i="1"/>
  <c r="D116" i="1"/>
  <c r="G115" i="1"/>
  <c r="F115" i="1"/>
  <c r="E115" i="1"/>
  <c r="D115" i="1"/>
  <c r="C115" i="1"/>
  <c r="G114" i="1"/>
  <c r="F114" i="1"/>
  <c r="E114" i="1"/>
  <c r="D114" i="1"/>
  <c r="G113" i="1"/>
  <c r="F113" i="1"/>
  <c r="E113" i="1"/>
  <c r="D113" i="1"/>
  <c r="C113" i="1"/>
  <c r="G112" i="1"/>
  <c r="F112" i="1"/>
  <c r="E112" i="1"/>
  <c r="D112" i="1"/>
  <c r="C112" i="1"/>
  <c r="G111" i="1"/>
  <c r="F111" i="1"/>
  <c r="E111" i="1"/>
  <c r="D111" i="1"/>
  <c r="G110" i="1"/>
  <c r="F110" i="1"/>
  <c r="E110" i="1"/>
  <c r="D110" i="1"/>
  <c r="C110" i="1"/>
  <c r="G109" i="1"/>
  <c r="F109" i="1"/>
  <c r="E109" i="1"/>
  <c r="D109" i="1"/>
  <c r="C109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C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G97" i="1"/>
  <c r="F97" i="1"/>
  <c r="E97" i="1"/>
  <c r="D97" i="1"/>
  <c r="C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G87" i="1"/>
  <c r="F87" i="1"/>
  <c r="E87" i="1"/>
  <c r="D87" i="1"/>
  <c r="C87" i="1"/>
  <c r="G86" i="1"/>
  <c r="F86" i="1"/>
  <c r="E86" i="1"/>
  <c r="D86" i="1"/>
  <c r="G85" i="1"/>
  <c r="F85" i="1"/>
  <c r="E85" i="1"/>
  <c r="D85" i="1"/>
  <c r="G84" i="1"/>
  <c r="F84" i="1"/>
  <c r="E84" i="1"/>
  <c r="D84" i="1"/>
  <c r="G83" i="1"/>
  <c r="F83" i="1"/>
  <c r="E83" i="1"/>
  <c r="D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G73" i="1"/>
  <c r="F73" i="1"/>
  <c r="E73" i="1"/>
  <c r="D73" i="1"/>
  <c r="G72" i="1"/>
  <c r="F72" i="1"/>
  <c r="E72" i="1"/>
  <c r="D72" i="1"/>
  <c r="C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G66" i="1"/>
  <c r="F66" i="1"/>
  <c r="E66" i="1"/>
  <c r="D66" i="1"/>
  <c r="G65" i="1"/>
  <c r="F65" i="1"/>
  <c r="E65" i="1"/>
  <c r="D65" i="1"/>
  <c r="C65" i="1"/>
  <c r="G64" i="1"/>
  <c r="F64" i="1"/>
  <c r="E64" i="1"/>
  <c r="D64" i="1"/>
  <c r="G63" i="1"/>
  <c r="F63" i="1"/>
  <c r="E63" i="1"/>
  <c r="D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G55" i="1"/>
  <c r="F55" i="1"/>
  <c r="E55" i="1"/>
  <c r="D55" i="1"/>
  <c r="G54" i="1"/>
  <c r="F54" i="1"/>
  <c r="E54" i="1"/>
  <c r="D54" i="1"/>
  <c r="C54" i="1"/>
  <c r="G53" i="1"/>
  <c r="F53" i="1"/>
  <c r="E53" i="1"/>
  <c r="D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G43" i="1"/>
  <c r="F43" i="1"/>
  <c r="E43" i="1"/>
  <c r="D43" i="1"/>
  <c r="C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G23" i="1"/>
  <c r="F23" i="1"/>
  <c r="E23" i="1"/>
  <c r="D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B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7" i="1"/>
  <c r="F7" i="1"/>
  <c r="C7" i="1"/>
</calcChain>
</file>

<file path=xl/sharedStrings.xml><?xml version="1.0" encoding="utf-8"?>
<sst xmlns="http://schemas.openxmlformats.org/spreadsheetml/2006/main" count="1181" uniqueCount="417">
  <si>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</si>
  <si>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</si>
  <si>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</si>
  <si>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</si>
  <si>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</si>
  <si>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</si>
  <si>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</si>
  <si>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</si>
  <si>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</si>
  <si>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</si>
  <si>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</si>
  <si>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</si>
  <si>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</si>
  <si>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</si>
  <si>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</si>
  <si>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</si>
  <si>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</si>
  <si>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</si>
  <si>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</si>
  <si>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</si>
  <si>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</si>
  <si>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</si>
  <si>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</si>
  <si>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</si>
  <si>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</si>
  <si>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</si>
  <si>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</si>
  <si>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</si>
  <si>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</si>
  <si>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</si>
  <si>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</si>
  <si>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</si>
  <si>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</si>
  <si>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</si>
  <si>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</si>
  <si>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</si>
  <si>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</si>
  <si>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</si>
  <si>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</si>
  <si>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</si>
  <si>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</si>
  <si>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</si>
  <si>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</si>
  <si>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</si>
  <si>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</si>
  <si>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</si>
  <si>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</si>
  <si>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</si>
  <si>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</si>
  <si>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</si>
  <si>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</si>
  <si>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</si>
  <si>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</si>
  <si>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</si>
  <si>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</si>
  <si>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</si>
  <si>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</si>
  <si>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</si>
  <si>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</si>
  <si>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</si>
  <si>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</si>
  <si>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</si>
  <si>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</si>
  <si>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</si>
  <si>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</si>
  <si>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</si>
  <si>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</si>
  <si>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</si>
  <si>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</si>
  <si>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</si>
  <si>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</si>
  <si>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</si>
  <si>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</si>
  <si>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</si>
  <si>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</si>
  <si>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</si>
  <si>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</si>
  <si>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</si>
  <si>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</si>
  <si>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</si>
  <si>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</si>
  <si>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</si>
  <si>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</si>
  <si>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</si>
  <si>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</si>
  <si>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</si>
  <si>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</si>
  <si>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</si>
  <si>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</si>
  <si>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</si>
  <si>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</si>
  <si>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</si>
  <si>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</si>
  <si>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</si>
  <si>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</si>
  <si>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</si>
  <si>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</si>
  <si>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</si>
  <si>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</si>
  <si>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</si>
  <si>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</si>
  <si>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</si>
  <si>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</si>
  <si>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</si>
  <si>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</si>
  <si>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</si>
  <si>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</si>
  <si>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</si>
  <si>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</si>
  <si>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</si>
  <si>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</si>
  <si>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</si>
  <si>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</si>
  <si>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</si>
  <si>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</si>
  <si>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</si>
  <si>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</si>
  <si>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</si>
  <si>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</si>
  <si>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</si>
  <si>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</si>
  <si>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</si>
  <si>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</si>
  <si>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</si>
  <si>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</si>
  <si>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</si>
  <si>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</si>
  <si>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</si>
  <si>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</si>
  <si>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</si>
  <si>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</si>
  <si>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</si>
  <si>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Laos</t>
  </si>
  <si>
    <t xml:space="preserve">     din care:</t>
  </si>
  <si>
    <t>Zimbabwe</t>
  </si>
  <si>
    <t>Camerun</t>
  </si>
  <si>
    <t xml:space="preserve">EXPORT - total      </t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</si>
  <si>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</si>
  <si>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</si>
  <si>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</si>
  <si>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</si>
  <si>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</si>
  <si>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</si>
  <si>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</si>
  <si>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</si>
  <si>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</si>
  <si>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</si>
  <si>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</si>
  <si>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</si>
  <si>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</si>
  <si>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</si>
  <si>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</si>
  <si>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</si>
  <si>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</si>
  <si>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</si>
  <si>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</si>
  <si>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</si>
  <si>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</si>
  <si>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</si>
  <si>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</si>
  <si>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</si>
  <si>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</si>
  <si>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</si>
  <si>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</si>
  <si>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</si>
  <si>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</si>
  <si>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</si>
  <si>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</si>
  <si>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</si>
  <si>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</si>
  <si>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</si>
  <si>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</si>
  <si>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</si>
  <si>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</si>
  <si>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</si>
  <si>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</si>
  <si>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</si>
  <si>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</si>
  <si>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</si>
  <si>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</si>
  <si>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</si>
  <si>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</si>
  <si>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</si>
  <si>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</si>
  <si>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</si>
  <si>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</si>
  <si>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</si>
  <si>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</si>
  <si>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</si>
  <si>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</si>
  <si>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</si>
  <si>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</si>
  <si>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</si>
  <si>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</si>
  <si>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</si>
  <si>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</si>
  <si>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</si>
  <si>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</si>
  <si>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</si>
  <si>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</si>
  <si>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</si>
  <si>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</si>
  <si>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</si>
  <si>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</si>
  <si>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</si>
  <si>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2,2 ori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</si>
  <si>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</si>
  <si>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</si>
  <si>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</si>
  <si>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</si>
  <si>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</si>
  <si>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</si>
  <si>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</si>
  <si>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</si>
  <si>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</si>
  <si>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Libia</t>
  </si>
  <si>
    <t>Statul Palestina</t>
  </si>
  <si>
    <t>de 2,3 ori</t>
  </si>
  <si>
    <t>de 1,5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</si>
  <si>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</si>
  <si>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</si>
  <si>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</si>
  <si>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</si>
  <si>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</si>
  <si>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</si>
  <si>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</si>
  <si>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</si>
  <si>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</si>
  <si>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</si>
  <si>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</si>
  <si>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</si>
  <si>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</si>
  <si>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</si>
  <si>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</si>
  <si>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</si>
  <si>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</si>
  <si>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</si>
  <si>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</si>
  <si>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</si>
  <si>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</si>
  <si>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</si>
  <si>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</si>
  <si>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</si>
  <si>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</si>
  <si>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</si>
  <si>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</si>
  <si>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</si>
  <si>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</si>
  <si>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</si>
  <si>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</si>
  <si>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</si>
  <si>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</si>
  <si>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</si>
  <si>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</si>
  <si>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</si>
  <si>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</si>
  <si>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</si>
  <si>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</si>
  <si>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</si>
  <si>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</si>
  <si>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</si>
  <si>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</si>
  <si>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</si>
  <si>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</si>
  <si>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</si>
  <si>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</si>
  <si>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</si>
  <si>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</si>
  <si>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</si>
  <si>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</si>
  <si>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</si>
  <si>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</si>
  <si>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</si>
  <si>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</si>
  <si>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</si>
  <si>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</si>
  <si>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</si>
  <si>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</si>
  <si>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</si>
  <si>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</si>
  <si>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</si>
  <si>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</si>
  <si>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</si>
  <si>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</si>
  <si>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</si>
  <si>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</si>
  <si>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</si>
  <si>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</si>
  <si>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</si>
  <si>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</si>
  <si>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</si>
  <si>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</si>
  <si>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</si>
  <si>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</si>
  <si>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</si>
  <si>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</si>
  <si>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</si>
  <si>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</si>
  <si>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</si>
  <si>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</si>
  <si>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Sierra Leone</t>
  </si>
  <si>
    <t>de 2,9 ori</t>
  </si>
  <si>
    <t>-</t>
  </si>
  <si>
    <t>de 2,7 ori</t>
  </si>
  <si>
    <t>de 2,4 ori</t>
  </si>
  <si>
    <t>35</t>
  </si>
  <si>
    <t>Energie electrica</t>
  </si>
  <si>
    <t>de 4,3 ori</t>
  </si>
  <si>
    <t>Energie electrică</t>
  </si>
  <si>
    <t>BALANŢA COMERCIALĂ - total, mii dolari SUA</t>
  </si>
  <si>
    <t>mii dolari                 SUA</t>
  </si>
  <si>
    <t>de 4,2 ori</t>
  </si>
  <si>
    <t>Andorra</t>
  </si>
  <si>
    <t>Mauritius</t>
  </si>
  <si>
    <t>de 3,0 ori</t>
  </si>
  <si>
    <t xml:space="preserve">      din care:</t>
  </si>
  <si>
    <t>de 5,8 ori</t>
  </si>
  <si>
    <t>Celelalte țări ale lumii</t>
  </si>
  <si>
    <t>Țările Uniunii Europene - total</t>
  </si>
  <si>
    <t>Trinidad Tobago</t>
  </si>
  <si>
    <t>Congo</t>
  </si>
  <si>
    <t>Angola</t>
  </si>
  <si>
    <t>Madagascar</t>
  </si>
  <si>
    <t>Nepal</t>
  </si>
  <si>
    <t>Togo</t>
  </si>
  <si>
    <t>San Marino</t>
  </si>
  <si>
    <t>Malawi</t>
  </si>
  <si>
    <t>Barbados</t>
  </si>
  <si>
    <t>Guatemala</t>
  </si>
  <si>
    <t>Coreea de Nord</t>
  </si>
  <si>
    <t>Honduras</t>
  </si>
  <si>
    <t>Groenlanda</t>
  </si>
  <si>
    <t>Algeria</t>
  </si>
  <si>
    <t>de 5,2 ori</t>
  </si>
  <si>
    <t>de 5,0 ori</t>
  </si>
  <si>
    <t>Mărfuri manufacturate, clasificate mai ales după materia primă</t>
  </si>
  <si>
    <t>Franţa</t>
  </si>
  <si>
    <t>Croaţia</t>
  </si>
  <si>
    <t xml:space="preserve">Ţări cu codul ţării de origine a mărfii "EU" </t>
  </si>
  <si>
    <t>Federaţia Rusă</t>
  </si>
  <si>
    <t>Namibia</t>
  </si>
  <si>
    <t>de 8,9 ori</t>
  </si>
  <si>
    <t>de 7,8 ori</t>
  </si>
  <si>
    <t>Rwanda</t>
  </si>
  <si>
    <t>de 26,3 ori</t>
  </si>
  <si>
    <t>de 10,6 ori</t>
  </si>
  <si>
    <t>de 3,3 ori</t>
  </si>
  <si>
    <t>de 13,2 ori</t>
  </si>
  <si>
    <t>de 20,5 ori</t>
  </si>
  <si>
    <t>de 5,1 ori</t>
  </si>
  <si>
    <t>de 3,9 ori</t>
  </si>
  <si>
    <t>de 3,7 ori</t>
  </si>
  <si>
    <t>de 21,6 ori</t>
  </si>
  <si>
    <t>Republica Dominicană</t>
  </si>
  <si>
    <t>Republica Yemen</t>
  </si>
  <si>
    <t>Ianuarie - octombrie 2021</t>
  </si>
  <si>
    <t>în % faţă de ianuarie - octombrie 2020 ¹</t>
  </si>
  <si>
    <t>ianuarie - octombrie</t>
  </si>
  <si>
    <t>în % faţă de ianuarie-octombrie 2020 ¹</t>
  </si>
  <si>
    <t>Ianuarie - octombrie</t>
  </si>
  <si>
    <t>Ianuarie - octombrie 2021 în % faţă de ianuarie - octombrie 2020 ¹</t>
  </si>
  <si>
    <t>Mărfuri manufacturate, clasificate octombrie ales după materia primă</t>
  </si>
  <si>
    <t>Ianuarie - octombrie 2021 în % faţă de            ianuarie - octombrie 2020 ¹</t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</si>
  <si>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</si>
  <si>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</si>
  <si>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</si>
  <si>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</si>
  <si>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</si>
  <si>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</si>
  <si>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Montenegro</t>
  </si>
  <si>
    <t>de 3,2 ori</t>
  </si>
  <si>
    <t>de 18,3 ori</t>
  </si>
  <si>
    <t>de 132,3 ori</t>
  </si>
  <si>
    <t>de 7,0 ori</t>
  </si>
  <si>
    <t>de 28,3 ori</t>
  </si>
  <si>
    <t>de 2,8 ori</t>
  </si>
  <si>
    <t>de 31,9 ori</t>
  </si>
  <si>
    <t>de 3,8 ori</t>
  </si>
  <si>
    <t>de 7,5 ori</t>
  </si>
  <si>
    <t xml:space="preserve">Țări cu codul țării de origine a marfii "EU" </t>
  </si>
  <si>
    <t>Șri Lanka</t>
  </si>
  <si>
    <t>Antigua și Barbuda</t>
  </si>
  <si>
    <t>de 19,3 ori</t>
  </si>
  <si>
    <t>de 23,3 ori</t>
  </si>
  <si>
    <t>de 5,4 ori</t>
  </si>
  <si>
    <t>de 5460,9 ori</t>
  </si>
  <si>
    <t>de 9,8 ori</t>
  </si>
  <si>
    <t>de 105,4 ori</t>
  </si>
  <si>
    <t>de 4,8 ori</t>
  </si>
  <si>
    <t>de 4,7 ori</t>
  </si>
  <si>
    <t>Bolivia</t>
  </si>
  <si>
    <t>de 3,5 ori</t>
  </si>
  <si>
    <t>de 4,1 ori</t>
  </si>
  <si>
    <t>de 73,1 ori</t>
  </si>
  <si>
    <t>de 6,4 ori</t>
  </si>
  <si>
    <t>de 186,6 ori</t>
  </si>
  <si>
    <t>de 5,9 ori</t>
  </si>
  <si>
    <t>de 11,8 ori</t>
  </si>
  <si>
    <t>de 6,1 ori</t>
  </si>
  <si>
    <t>Kârgâzstan</t>
  </si>
  <si>
    <t>Insulele Turks și Caicos</t>
  </si>
  <si>
    <t>de 5,3 ori</t>
  </si>
  <si>
    <t>de 3,4 ori</t>
  </si>
  <si>
    <t>Insulele Feroe</t>
  </si>
  <si>
    <t>Insulele Folkland</t>
  </si>
  <si>
    <r>
      <rPr>
        <b/>
        <sz val="9"/>
        <rFont val="Arial"/>
        <family val="2"/>
        <charset val="204"/>
      </rPr>
      <t xml:space="preserve">Anexa 1.  </t>
    </r>
    <r>
      <rPr>
        <b/>
        <i/>
        <sz val="9"/>
        <rFont val="Arial"/>
        <family val="2"/>
        <charset val="204"/>
      </rPr>
      <t>Exporturile structurate pe principalele ţări de destinaţie a mărfurilor şi pe grupe de ţări</t>
    </r>
  </si>
  <si>
    <r>
      <t xml:space="preserve">ianuarie - octombrie </t>
    </r>
    <r>
      <rPr>
        <b/>
        <vertAlign val="superscript"/>
        <sz val="9"/>
        <rFont val="Arial"/>
        <family val="2"/>
        <charset val="204"/>
      </rPr>
      <t>1,2</t>
    </r>
  </si>
  <si>
    <r>
      <t xml:space="preserve">  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Faţă de perioada corespunzătoare din anul precedent</t>
    </r>
  </si>
  <si>
    <r>
      <rPr>
        <b/>
        <sz val="9"/>
        <color indexed="8"/>
        <rFont val="Arial"/>
        <family val="2"/>
        <charset val="204"/>
      </rPr>
      <t xml:space="preserve">Anexa 8.  </t>
    </r>
    <r>
      <rPr>
        <b/>
        <i/>
        <sz val="9"/>
        <color indexed="8"/>
        <rFont val="Arial"/>
        <family val="2"/>
        <charset val="204"/>
      </rPr>
      <t xml:space="preserve">Balanţa comercială structurată pe grupe de mărfuri, </t>
    </r>
  </si>
  <si>
    <r>
      <rPr>
        <b/>
        <sz val="9"/>
        <color indexed="8"/>
        <rFont val="Arial"/>
        <family val="2"/>
        <charset val="204"/>
      </rPr>
      <t>Anexa 7.</t>
    </r>
    <r>
      <rPr>
        <b/>
        <i/>
        <sz val="9"/>
        <color indexed="8"/>
        <rFont val="Arial"/>
        <family val="2"/>
        <charset val="204"/>
      </rPr>
      <t xml:space="preserve">  Importurile structurate pe grupe de mărfuri, </t>
    </r>
  </si>
  <si>
    <r>
      <t>ianuarie - octombrie</t>
    </r>
    <r>
      <rPr>
        <b/>
        <vertAlign val="superscript"/>
        <sz val="9"/>
        <color indexed="8"/>
        <rFont val="Arial"/>
        <family val="2"/>
        <charset val="204"/>
      </rPr>
      <t xml:space="preserve"> 1,2</t>
    </r>
  </si>
  <si>
    <r>
      <rPr>
        <b/>
        <sz val="9"/>
        <color indexed="8"/>
        <rFont val="Arial"/>
        <family val="2"/>
        <charset val="204"/>
      </rPr>
      <t>Anexa 6.</t>
    </r>
    <r>
      <rPr>
        <b/>
        <i/>
        <sz val="9"/>
        <color indexed="8"/>
        <rFont val="Arial"/>
        <family val="2"/>
        <charset val="204"/>
      </rPr>
      <t xml:space="preserve">  Exporturile structurate pe grupe de mărfuri, </t>
    </r>
  </si>
  <si>
    <r>
      <t xml:space="preserve">ianuarie - octombrie </t>
    </r>
    <r>
      <rPr>
        <b/>
        <vertAlign val="superscript"/>
        <sz val="9"/>
        <color indexed="8"/>
        <rFont val="Arial"/>
        <family val="2"/>
        <charset val="204"/>
      </rPr>
      <t>1,2</t>
    </r>
  </si>
  <si>
    <r>
      <rPr>
        <b/>
        <sz val="9"/>
        <rFont val="Arial"/>
        <family val="2"/>
        <charset val="204"/>
      </rPr>
      <t>Anexa 5.</t>
    </r>
    <r>
      <rPr>
        <b/>
        <i/>
        <sz val="9"/>
        <rFont val="Arial"/>
        <family val="2"/>
        <charset val="204"/>
      </rPr>
      <t xml:space="preserve">  Importurile structurate după modul de transport al mărfurilor </t>
    </r>
  </si>
  <si>
    <r>
      <rPr>
        <b/>
        <sz val="9"/>
        <rFont val="Arial"/>
        <family val="2"/>
        <charset val="204"/>
      </rPr>
      <t xml:space="preserve">Anexa 4.  </t>
    </r>
    <r>
      <rPr>
        <b/>
        <i/>
        <sz val="9"/>
        <rFont val="Arial"/>
        <family val="2"/>
        <charset val="204"/>
      </rPr>
      <t xml:space="preserve">Exporturile structurate după modul de transport al mărfurilor </t>
    </r>
  </si>
  <si>
    <r>
      <rPr>
        <b/>
        <sz val="9"/>
        <color indexed="8"/>
        <rFont val="Arial"/>
        <family val="2"/>
        <charset val="204"/>
      </rPr>
      <t xml:space="preserve">Anexa 3.  </t>
    </r>
    <r>
      <rPr>
        <b/>
        <i/>
        <sz val="9"/>
        <color indexed="8"/>
        <rFont val="Arial"/>
        <family val="2"/>
        <charset val="204"/>
      </rPr>
      <t>Balanţa comercială structurată pe principalele ţări şi pe grupe de ţări</t>
    </r>
  </si>
  <si>
    <r>
      <rPr>
        <b/>
        <sz val="9"/>
        <color indexed="8"/>
        <rFont val="Arial"/>
        <family val="2"/>
        <charset val="204"/>
      </rPr>
      <t xml:space="preserve">Anexa 2.  </t>
    </r>
    <r>
      <rPr>
        <b/>
        <i/>
        <sz val="9"/>
        <color indexed="8"/>
        <rFont val="Arial"/>
        <family val="2"/>
        <charset val="204"/>
      </rPr>
      <t>Importurile structurate pe principalele ţări de origine a mărfurilor şi pe grupe de ţări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</si>
</sst>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indexed="8"/>
      <name val="Times New Roman"/>
      <family val="2"/>
      <charset val="238"/>
    </font>
    <font>
      <sz val="8"/>
      <name val="Times New Roman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38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</cellStyleXfs>
  <cellXfs count="113">
    <xf numFmtId="0" fontId="0" fillId="0" borderId="0" xfId="0"/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left" vertical="top" wrapText="1" indent="1"/>
    </xf>
    <xf numFmtId="4" fontId="7" fillId="0" borderId="5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 inden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Border="1" applyAlignment="1" applyProtection="1">
      <alignment horizontal="right" vertical="top" indent="1"/>
    </xf>
    <xf numFmtId="0" fontId="7" fillId="0" borderId="0" xfId="0" applyNumberFormat="1" applyFont="1" applyFill="1" applyAlignment="1" applyProtection="1">
      <alignment horizontal="left" vertical="top" wrapText="1" indent="1"/>
    </xf>
    <xf numFmtId="4" fontId="7" fillId="0" borderId="0" xfId="0" applyNumberFormat="1" applyFont="1" applyFill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9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 indent="1"/>
    </xf>
    <xf numFmtId="0" fontId="12" fillId="0" borderId="0" xfId="0" applyFont="1"/>
    <xf numFmtId="0" fontId="13" fillId="0" borderId="0" xfId="0" applyFont="1"/>
    <xf numFmtId="0" fontId="9" fillId="0" borderId="0" xfId="0" applyFont="1"/>
    <xf numFmtId="4" fontId="14" fillId="0" borderId="0" xfId="0" applyNumberFormat="1" applyFont="1" applyAlignment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4" fontId="16" fillId="0" borderId="0" xfId="0" applyNumberFormat="1" applyFont="1" applyAlignment="1">
      <alignment horizontal="right" vertical="top"/>
    </xf>
    <xf numFmtId="4" fontId="8" fillId="0" borderId="0" xfId="0" applyNumberFormat="1" applyFont="1"/>
    <xf numFmtId="4" fontId="8" fillId="0" borderId="0" xfId="0" applyNumberFormat="1" applyFont="1" applyAlignment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Alignment="1">
      <alignment horizontal="right" vertical="top" indent="1"/>
    </xf>
    <xf numFmtId="38" fontId="7" fillId="0" borderId="0" xfId="0" applyNumberFormat="1" applyFont="1" applyFill="1" applyAlignment="1" applyProtection="1">
      <alignment horizontal="center" vertical="top"/>
    </xf>
    <xf numFmtId="38" fontId="7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center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38" fontId="7" fillId="0" borderId="3" xfId="0" applyNumberFormat="1" applyFont="1" applyFill="1" applyBorder="1" applyAlignment="1" applyProtection="1">
      <alignment horizontal="center" vertical="top"/>
    </xf>
    <xf numFmtId="38" fontId="7" fillId="0" borderId="3" xfId="0" applyNumberFormat="1" applyFont="1" applyFill="1" applyBorder="1" applyAlignment="1" applyProtection="1">
      <alignment horizontal="left" vertical="top" wrapText="1"/>
    </xf>
    <xf numFmtId="4" fontId="7" fillId="0" borderId="3" xfId="0" applyNumberFormat="1" applyFont="1" applyFill="1" applyBorder="1" applyAlignment="1" applyProtection="1">
      <alignment horizontal="right" vertical="top"/>
    </xf>
    <xf numFmtId="4" fontId="7" fillId="0" borderId="3" xfId="0" applyNumberFormat="1" applyFont="1" applyFill="1" applyBorder="1" applyAlignment="1" applyProtection="1">
      <alignment horizontal="right" vertical="top" indent="1"/>
    </xf>
    <xf numFmtId="164" fontId="9" fillId="0" borderId="0" xfId="0" applyNumberFormat="1" applyFont="1" applyFill="1" applyAlignment="1" applyProtection="1">
      <alignment horizontal="right" vertical="top"/>
    </xf>
    <xf numFmtId="0" fontId="1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justify"/>
    </xf>
    <xf numFmtId="4" fontId="7" fillId="0" borderId="0" xfId="0" applyNumberFormat="1" applyFont="1" applyFill="1" applyBorder="1" applyAlignment="1" applyProtection="1">
      <alignment horizontal="right" vertical="top" indent="1"/>
    </xf>
    <xf numFmtId="2" fontId="9" fillId="0" borderId="0" xfId="0" applyNumberFormat="1" applyFont="1" applyFill="1" applyBorder="1" applyAlignment="1" applyProtection="1">
      <alignment horizontal="right" vertical="top" inden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 indent="1"/>
    </xf>
    <xf numFmtId="4" fontId="7" fillId="0" borderId="5" xfId="0" applyNumberFormat="1" applyFont="1" applyFill="1" applyBorder="1" applyAlignment="1" applyProtection="1">
      <alignment horizontal="right" vertical="top" wrapText="1" indent="1"/>
    </xf>
    <xf numFmtId="0" fontId="9" fillId="0" borderId="0" xfId="0" applyFont="1" applyAlignment="1">
      <alignment horizontal="left" vertical="top" wrapText="1" indent="1"/>
    </xf>
    <xf numFmtId="4" fontId="11" fillId="0" borderId="0" xfId="0" applyNumberFormat="1" applyFont="1" applyFill="1" applyBorder="1" applyAlignment="1" applyProtection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4" fontId="7" fillId="0" borderId="0" xfId="0" applyNumberFormat="1" applyFont="1" applyBorder="1" applyAlignment="1">
      <alignment horizontal="right" vertical="top" indent="1"/>
    </xf>
    <xf numFmtId="4" fontId="9" fillId="0" borderId="0" xfId="0" applyNumberFormat="1" applyFont="1" applyBorder="1" applyAlignment="1">
      <alignment horizontal="right" vertical="top" indent="1"/>
    </xf>
    <xf numFmtId="4" fontId="7" fillId="0" borderId="0" xfId="0" applyNumberFormat="1" applyFont="1" applyBorder="1" applyAlignment="1">
      <alignment horizontal="right" vertical="top" wrapText="1" indent="1"/>
    </xf>
    <xf numFmtId="4" fontId="14" fillId="0" borderId="0" xfId="0" applyNumberFormat="1" applyFont="1" applyBorder="1" applyAlignment="1">
      <alignment horizontal="right" vertical="top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4" fontId="9" fillId="0" borderId="3" xfId="0" applyNumberFormat="1" applyFont="1" applyBorder="1" applyAlignment="1">
      <alignment horizontal="right" vertical="top" indent="1"/>
    </xf>
    <xf numFmtId="38" fontId="7" fillId="0" borderId="0" xfId="0" applyNumberFormat="1" applyFont="1" applyFill="1" applyBorder="1" applyAlignment="1" applyProtection="1">
      <alignment horizontal="left" wrapText="1"/>
    </xf>
    <xf numFmtId="4" fontId="7" fillId="0" borderId="0" xfId="0" applyNumberFormat="1" applyFont="1" applyFill="1" applyAlignment="1" applyProtection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7" fillId="0" borderId="0" xfId="0" applyNumberFormat="1" applyFont="1" applyAlignment="1">
      <alignment horizontal="right" vertical="top" indent="1"/>
    </xf>
    <xf numFmtId="0" fontId="8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top" wrapText="1" indent="1"/>
    </xf>
    <xf numFmtId="4" fontId="14" fillId="0" borderId="0" xfId="0" applyNumberFormat="1" applyFont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wrapText="1" indent="1"/>
    </xf>
    <xf numFmtId="4" fontId="12" fillId="0" borderId="0" xfId="0" applyNumberFormat="1" applyFont="1" applyAlignment="1">
      <alignment horizontal="right" vertical="top" indent="1"/>
    </xf>
    <xf numFmtId="4" fontId="12" fillId="0" borderId="0" xfId="0" applyNumberFormat="1" applyFont="1" applyAlignment="1">
      <alignment horizontal="right" vertical="top" indent="2"/>
    </xf>
    <xf numFmtId="0" fontId="7" fillId="0" borderId="0" xfId="0" applyNumberFormat="1" applyFont="1" applyFill="1" applyBorder="1" applyAlignment="1" applyProtection="1">
      <alignment horizontal="left" vertical="top" wrapText="1" indent="1"/>
    </xf>
    <xf numFmtId="0" fontId="8" fillId="0" borderId="0" xfId="0" applyFont="1" applyAlignment="1">
      <alignment horizontal="center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123"/>
  <sheetViews>
    <sheetView tabSelected="1" zoomScale="99" zoomScaleNormal="99" workbookViewId="0">
      <selection activeCell="A2" sqref="A2:G2"/>
    </sheetView>
  </sheetViews>
  <sheetFormatPr defaultRowHeight="12" x14ac:dyDescent="0.2"/>
  <cols>
    <col min="1" max="1" width="29.75" style="32" customWidth="1"/>
    <col min="2" max="2" width="12.25" style="32" customWidth="1"/>
    <col min="3" max="3" width="10.5" style="32" customWidth="1"/>
    <col min="4" max="4" width="9" style="32" customWidth="1"/>
    <col min="5" max="5" width="8.75" style="32" customWidth="1"/>
    <col min="6" max="6" width="9.875" style="32" customWidth="1"/>
    <col min="7" max="7" width="9.375" style="32" customWidth="1"/>
    <col min="8" max="16384" width="9" style="3"/>
  </cols>
  <sheetData>
    <row r="2" spans="1:7" x14ac:dyDescent="0.2">
      <c r="A2" s="2" t="s">
        <v>405</v>
      </c>
      <c r="B2" s="2"/>
      <c r="C2" s="2"/>
      <c r="D2" s="2"/>
      <c r="E2" s="2"/>
      <c r="F2" s="2"/>
      <c r="G2" s="2"/>
    </row>
    <row r="4" spans="1:7" ht="54" customHeight="1" x14ac:dyDescent="0.2">
      <c r="A4" s="4"/>
      <c r="B4" s="5" t="s">
        <v>355</v>
      </c>
      <c r="C4" s="6"/>
      <c r="D4" s="5" t="s">
        <v>108</v>
      </c>
      <c r="E4" s="6"/>
      <c r="F4" s="7" t="s">
        <v>1</v>
      </c>
      <c r="G4" s="8"/>
    </row>
    <row r="5" spans="1:7" ht="22.5" customHeight="1" x14ac:dyDescent="0.2">
      <c r="A5" s="9"/>
      <c r="B5" s="10" t="s">
        <v>99</v>
      </c>
      <c r="C5" s="11" t="s">
        <v>356</v>
      </c>
      <c r="D5" s="12" t="s">
        <v>357</v>
      </c>
      <c r="E5" s="12"/>
      <c r="F5" s="12" t="s">
        <v>406</v>
      </c>
      <c r="G5" s="5"/>
    </row>
    <row r="6" spans="1:7" ht="28.5" customHeight="1" x14ac:dyDescent="0.2">
      <c r="A6" s="13"/>
      <c r="B6" s="14"/>
      <c r="C6" s="15"/>
      <c r="D6" s="16">
        <v>2020</v>
      </c>
      <c r="E6" s="16">
        <v>2021</v>
      </c>
      <c r="F6" s="16">
        <v>2020</v>
      </c>
      <c r="G6" s="17">
        <v>2021</v>
      </c>
    </row>
    <row r="7" spans="1:7" ht="15.75" customHeight="1" x14ac:dyDescent="0.2">
      <c r="A7" s="18" t="s">
        <v>100</v>
      </c>
      <c r="B7" s="19">
        <v>2455618.67545</v>
      </c>
      <c r="C7" s="19">
        <f>IF(1986828.81646="","-",2455618.67545/1986828.81646*100)</f>
        <v>123.59487919171914</v>
      </c>
      <c r="D7" s="20">
        <v>100</v>
      </c>
      <c r="E7" s="20">
        <v>100</v>
      </c>
      <c r="F7" s="20">
        <f>IF(2294320.13289="","-",(1986828.81646-2294320.13289)/2294320.13289*100)</f>
        <v>-13.40228471266885</v>
      </c>
      <c r="G7" s="20">
        <f>IF(1986828.81646="","-",(2455618.67545-1986828.81646)/1986828.81646*100)</f>
        <v>23.594879191719137</v>
      </c>
    </row>
    <row r="8" spans="1:7" x14ac:dyDescent="0.2">
      <c r="A8" s="21" t="s">
        <v>315</v>
      </c>
      <c r="B8" s="22"/>
      <c r="C8" s="22"/>
      <c r="D8" s="23"/>
      <c r="E8" s="23"/>
      <c r="F8" s="23"/>
      <c r="G8" s="23"/>
    </row>
    <row r="9" spans="1:7" x14ac:dyDescent="0.2">
      <c r="A9" s="24" t="s">
        <v>139</v>
      </c>
      <c r="B9" s="25">
        <v>1507209.7760999999</v>
      </c>
      <c r="C9" s="25">
        <f>IF(1322453.75394="","-",1507209.7761/1322453.75394*100)</f>
        <v>113.97069815179204</v>
      </c>
      <c r="D9" s="26">
        <f>IF(1322453.75394="","-",1322453.75394/1986828.81646*100)</f>
        <v>66.561031478104923</v>
      </c>
      <c r="E9" s="26">
        <f>IF(1507209.7761="","-",1507209.7761/2455618.67545*100)</f>
        <v>61.378005924466216</v>
      </c>
      <c r="F9" s="26">
        <f>IF(2294320.13289="","-",(1322453.75394-1461288.11025)/2294320.13289*100)</f>
        <v>-6.0512198938480175</v>
      </c>
      <c r="G9" s="26">
        <f>IF(1986828.81646="","-",(1507209.7761-1322453.75394)/1986828.81646*100)</f>
        <v>9.2990407945253182</v>
      </c>
    </row>
    <row r="10" spans="1:7" ht="15.75" customHeight="1" x14ac:dyDescent="0.2">
      <c r="A10" s="27" t="s">
        <v>2</v>
      </c>
      <c r="B10" s="28">
        <v>653704.50318</v>
      </c>
      <c r="C10" s="28">
        <f>IF(OR(565499.31862="",653704.50318=""),"-",653704.50318/565499.31862*100)</f>
        <v>115.59775258001174</v>
      </c>
      <c r="D10" s="29">
        <f>IF(565499.31862="","-",565499.31862/1986828.81646*100)</f>
        <v>28.462407729095119</v>
      </c>
      <c r="E10" s="29">
        <f>IF(653704.50318="","-",653704.50318/2455618.67545*100)</f>
        <v>26.620766070701368</v>
      </c>
      <c r="F10" s="29">
        <f>IF(OR(2294320.13289="",642132.56087="",565499.31862=""),"-",(565499.31862-642132.56087)/2294320.13289*100)</f>
        <v>-3.3401285701777939</v>
      </c>
      <c r="G10" s="29">
        <f>IF(OR(1986828.81646="",653704.50318="",565499.31862=""),"-",(653704.50318-565499.31862)/1986828.81646*100)</f>
        <v>4.4394959358983996</v>
      </c>
    </row>
    <row r="11" spans="1:7" ht="15.75" customHeight="1" x14ac:dyDescent="0.2">
      <c r="A11" s="27" t="s">
        <v>4</v>
      </c>
      <c r="B11" s="28">
        <v>209517.33734</v>
      </c>
      <c r="C11" s="28">
        <f>IF(OR(186312.88094="",209517.33734=""),"-",209517.33734/186312.88094*100)</f>
        <v>112.4545636796163</v>
      </c>
      <c r="D11" s="29">
        <f>IF(186312.88094="","-",186312.88094/1986828.81646*100)</f>
        <v>9.377399773774167</v>
      </c>
      <c r="E11" s="29">
        <f>IF(209517.33734="","-",209517.33734/2455618.67545*100)</f>
        <v>8.5321609350281253</v>
      </c>
      <c r="F11" s="29">
        <f>IF(OR(2294320.13289="",204422.82528="",186312.88094=""),"-",(186312.88094-204422.82528)/2294320.13289*100)</f>
        <v>-0.78933816080793018</v>
      </c>
      <c r="G11" s="29">
        <f>IF(OR(1986828.81646="",209517.33734="",186312.88094=""),"-",(209517.33734-186312.88094)/1986828.81646*100)</f>
        <v>1.1679142263168982</v>
      </c>
    </row>
    <row r="12" spans="1:7" ht="13.5" customHeight="1" x14ac:dyDescent="0.2">
      <c r="A12" s="27" t="s">
        <v>3</v>
      </c>
      <c r="B12" s="28">
        <v>192746.73388000001</v>
      </c>
      <c r="C12" s="28">
        <f>IF(OR(169895.62066="",192746.73388=""),"-",192746.73388/169895.62066*100)</f>
        <v>113.4500896086841</v>
      </c>
      <c r="D12" s="29">
        <f>IF(169895.62066="","-",169895.62066/1986828.81646*100)</f>
        <v>8.5510950542135156</v>
      </c>
      <c r="E12" s="29">
        <f>IF(192746.73388="","-",192746.73388/2455618.67545*100)</f>
        <v>7.8492127384020058</v>
      </c>
      <c r="F12" s="29">
        <f>IF(OR(2294320.13289="",225728.96592="",169895.62066=""),"-",(169895.62066-225728.96592)/2294320.13289*100)</f>
        <v>-2.4335464114012071</v>
      </c>
      <c r="G12" s="29">
        <f>IF(OR(1986828.81646="",192746.73388="",169895.62066=""),"-",(192746.73388-169895.62066)/1986828.81646*100)</f>
        <v>1.1501299473154729</v>
      </c>
    </row>
    <row r="13" spans="1:7" ht="15.75" customHeight="1" x14ac:dyDescent="0.2">
      <c r="A13" s="27" t="s">
        <v>5</v>
      </c>
      <c r="B13" s="28">
        <v>89073.795459999994</v>
      </c>
      <c r="C13" s="28">
        <f>IF(OR(86475.62522="",89073.79546=""),"-",89073.79546/86475.62522*100)</f>
        <v>103.0045116567704</v>
      </c>
      <c r="D13" s="29">
        <f>IF(86475.62522="","-",86475.62522/1986828.81646*100)</f>
        <v>4.3524446848962333</v>
      </c>
      <c r="E13" s="29">
        <f>IF(89073.79546="","-",89073.79546/2455618.67545*100)</f>
        <v>3.6273463934165973</v>
      </c>
      <c r="F13" s="29">
        <f>IF(OR(2294320.13289="",92876.82889="",86475.62522=""),"-",(86475.62522-92876.82889)/2294320.13289*100)</f>
        <v>-0.27900220105451623</v>
      </c>
      <c r="G13" s="29">
        <f>IF(OR(1986828.81646="",89073.79546="",86475.62522=""),"-",(89073.79546-86475.62522)/1986828.81646*100)</f>
        <v>0.13076970791219145</v>
      </c>
    </row>
    <row r="14" spans="1:7" s="30" customFormat="1" x14ac:dyDescent="0.2">
      <c r="A14" s="27" t="s">
        <v>7</v>
      </c>
      <c r="B14" s="28">
        <v>65288.392540000001</v>
      </c>
      <c r="C14" s="28">
        <f>IF(OR(66553.23723="",65288.39254=""),"-",65288.39254/66553.23723*100)</f>
        <v>98.099499374269584</v>
      </c>
      <c r="D14" s="29">
        <f>IF(66553.23723="","-",66553.23723/1986828.81646*100)</f>
        <v>3.349721761564751</v>
      </c>
      <c r="E14" s="29">
        <f>IF(65288.39254="","-",65288.39254/2455618.67545*100)</f>
        <v>2.6587349735005454</v>
      </c>
      <c r="F14" s="29">
        <f>IF(OR(2294320.13289="",50085.46665="",66553.23723=""),"-",(66553.23723-50085.46665)/2294320.13289*100)</f>
        <v>0.7177625451621984</v>
      </c>
      <c r="G14" s="29">
        <f>IF(OR(1986828.81646="",65288.39254="",66553.23723=""),"-",(65288.39254-66553.23723)/1986828.81646*100)</f>
        <v>-6.3661483038765995E-2</v>
      </c>
    </row>
    <row r="15" spans="1:7" s="30" customFormat="1" x14ac:dyDescent="0.2">
      <c r="A15" s="27" t="s">
        <v>6</v>
      </c>
      <c r="B15" s="28">
        <v>58124.796289999998</v>
      </c>
      <c r="C15" s="28">
        <f>IF(OR(41538.00627="",58124.79629=""),"-",58124.79629/41538.00627*100)</f>
        <v>139.93159881623757</v>
      </c>
      <c r="D15" s="29">
        <f>IF(41538.00627="","-",41538.00627/1986828.81646*100)</f>
        <v>2.0906686034486688</v>
      </c>
      <c r="E15" s="29">
        <f>IF(58124.79629="","-",58124.79629/2455618.67545*100)</f>
        <v>2.3670123081853678</v>
      </c>
      <c r="F15" s="29">
        <f>IF(OR(2294320.13289="",44700.18474="",41538.00627=""),"-",(41538.00627-44700.18474)/2294320.13289*100)</f>
        <v>-0.1378263837146744</v>
      </c>
      <c r="G15" s="29">
        <f>IF(OR(1986828.81646="",58124.79629="",41538.00627=""),"-",(58124.79629-41538.00627)/1986828.81646*100)</f>
        <v>0.83483739930615886</v>
      </c>
    </row>
    <row r="16" spans="1:7" s="30" customFormat="1" x14ac:dyDescent="0.2">
      <c r="A16" s="27" t="s">
        <v>42</v>
      </c>
      <c r="B16" s="28">
        <f>IF(33963.77827="","-",33963.77827)</f>
        <v>33963.778270000003</v>
      </c>
      <c r="C16" s="28" t="s">
        <v>104</v>
      </c>
      <c r="D16" s="29">
        <f>IF(20889.23391="","-",20889.23391/1986828.81646*100)</f>
        <v>1.0513856924633826</v>
      </c>
      <c r="E16" s="29">
        <f>IF(33963.77827="","-",33963.77827/2455618.67545*100)</f>
        <v>1.3831047389218944</v>
      </c>
      <c r="F16" s="29">
        <f>IF(OR(2294320.13289="",8455.41692="",20889.23391=""),"-",(20889.23391-8455.41692)/2294320.13289*100)</f>
        <v>0.54193906123893709</v>
      </c>
      <c r="G16" s="29">
        <f>IF(OR(1986828.81646="",33963.77827="",20889.23391=""),"-",(33963.77827-20889.23391)/1986828.81646*100)</f>
        <v>0.65806093870207505</v>
      </c>
    </row>
    <row r="17" spans="1:7" s="30" customFormat="1" x14ac:dyDescent="0.2">
      <c r="A17" s="27" t="s">
        <v>40</v>
      </c>
      <c r="B17" s="28">
        <v>29448.79264</v>
      </c>
      <c r="C17" s="28">
        <f>IF(OR(28926.04208="",29448.79264=""),"-",29448.79264/28926.04208*100)</f>
        <v>101.80719698379144</v>
      </c>
      <c r="D17" s="29">
        <f>IF(28926.04208="","-",28926.04208/1986828.81646*100)</f>
        <v>1.4558900012099938</v>
      </c>
      <c r="E17" s="29">
        <f>IF(29448.79264="","-",29448.79264/2455618.67545*100)</f>
        <v>1.1992412720433239</v>
      </c>
      <c r="F17" s="29">
        <f>IF(OR(2294320.13289="",28064.78003="",28926.04208=""),"-",(28926.04208-28064.78003)/2294320.13289*100)</f>
        <v>3.753887862698236E-2</v>
      </c>
      <c r="G17" s="29">
        <f>IF(OR(1986828.81646="",29448.79264="",28926.04208=""),"-",(29448.79264-28926.04208)/1986828.81646*100)</f>
        <v>2.6310800189188056E-2</v>
      </c>
    </row>
    <row r="18" spans="1:7" s="30" customFormat="1" x14ac:dyDescent="0.2">
      <c r="A18" s="27" t="s">
        <v>10</v>
      </c>
      <c r="B18" s="28">
        <v>29219.908650000001</v>
      </c>
      <c r="C18" s="28">
        <f>IF(OR(30070.8087999999="",29219.90865=""),"-",29219.90865/30070.8087999999*100)</f>
        <v>97.170344982540342</v>
      </c>
      <c r="D18" s="29">
        <f>IF(30070.8087999999="","-",30070.8087999999/1986828.81646*100)</f>
        <v>1.5135077844088289</v>
      </c>
      <c r="E18" s="29">
        <f>IF(29219.90865="","-",29219.90865/2455618.67545*100)</f>
        <v>1.1899204441685296</v>
      </c>
      <c r="F18" s="29">
        <f>IF(OR(2294320.13289="",29750.475="",30070.8087999999=""),"-",(30070.8087999999-29750.475)/2294320.13289*100)</f>
        <v>1.3962035873189123E-2</v>
      </c>
      <c r="G18" s="29">
        <f>IF(OR(1986828.81646="",29219.90865="",30070.8087999999=""),"-",(29219.90865-30070.8087999999)/1986828.81646*100)</f>
        <v>-4.282704896116702E-2</v>
      </c>
    </row>
    <row r="19" spans="1:7" s="30" customFormat="1" x14ac:dyDescent="0.2">
      <c r="A19" s="27" t="s">
        <v>9</v>
      </c>
      <c r="B19" s="28">
        <v>27491.122169999999</v>
      </c>
      <c r="C19" s="28">
        <f>IF(OR(24444.20874="",27491.12217=""),"-",27491.12217/24444.20874*100)</f>
        <v>112.46476604093998</v>
      </c>
      <c r="D19" s="29">
        <f>IF(24444.20874="","-",24444.20874/1986828.81646*100)</f>
        <v>1.2303127746834814</v>
      </c>
      <c r="E19" s="29">
        <f>IF(27491.12217="","-",27491.12217/2455618.67545*100)</f>
        <v>1.1195191845070229</v>
      </c>
      <c r="F19" s="29">
        <f>IF(OR(2294320.13289="",27688.09767="",24444.20874=""),"-",(24444.20874-27688.09767)/2294320.13289*100)</f>
        <v>-0.14138780737254367</v>
      </c>
      <c r="G19" s="29">
        <f>IF(OR(1986828.81646="",27491.12217="",24444.20874=""),"-",(27491.12217-24444.20874)/1986828.81646*100)</f>
        <v>0.1533556089360929</v>
      </c>
    </row>
    <row r="20" spans="1:7" s="31" customFormat="1" x14ac:dyDescent="0.2">
      <c r="A20" s="27" t="s">
        <v>363</v>
      </c>
      <c r="B20" s="28">
        <v>26070.32114</v>
      </c>
      <c r="C20" s="28">
        <f>IF(OR(24939.33414="",26070.32114=""),"-",26070.32114/24939.33414*100)</f>
        <v>104.53495267215662</v>
      </c>
      <c r="D20" s="29">
        <f>IF(24939.33414="","-",24939.33414/1986828.81646*100)</f>
        <v>1.2552331601690403</v>
      </c>
      <c r="E20" s="29">
        <f>IF(26070.32114="","-",26070.32114/2455618.67545*100)</f>
        <v>1.0616599963437943</v>
      </c>
      <c r="F20" s="29">
        <f>IF(OR(2294320.13289="",26663.91259="",24939.33414=""),"-",(24939.33414-26663.91259)/2294320.13289*100)</f>
        <v>-7.5167297940574057E-2</v>
      </c>
      <c r="G20" s="29">
        <f>IF(OR(1986828.81646="",26070.32114="",24939.33414=""),"-",(26070.32114-24939.33414)/1986828.81646*100)</f>
        <v>5.6924229738882025E-2</v>
      </c>
    </row>
    <row r="21" spans="1:7" s="30" customFormat="1" x14ac:dyDescent="0.2">
      <c r="A21" s="27" t="s">
        <v>41</v>
      </c>
      <c r="B21" s="28">
        <v>18283.40611</v>
      </c>
      <c r="C21" s="28" t="s">
        <v>105</v>
      </c>
      <c r="D21" s="29">
        <f>IF(9783.11025="","-",9783.11025/1986828.81646*100)</f>
        <v>0.4923982463386502</v>
      </c>
      <c r="E21" s="29">
        <f>IF(18283.40611="","-",18283.40611/2455618.67545*100)</f>
        <v>0.74455396079155112</v>
      </c>
      <c r="F21" s="29">
        <f>IF(OR(2294320.13289="",11408.17969="",9783.11025=""),"-",(9783.11025-11408.17969)/2294320.13289*100)</f>
        <v>-7.0830108523391236E-2</v>
      </c>
      <c r="G21" s="29">
        <f>IF(OR(1986828.81646="",18283.40611="",9783.11025=""),"-",(18283.40611-9783.11025)/1986828.81646*100)</f>
        <v>0.4278323220188272</v>
      </c>
    </row>
    <row r="22" spans="1:7" s="30" customFormat="1" x14ac:dyDescent="0.2">
      <c r="A22" s="27" t="s">
        <v>8</v>
      </c>
      <c r="B22" s="28">
        <v>18210.137650000001</v>
      </c>
      <c r="C22" s="28">
        <f>IF(OR(18557.14315="",18210.13765=""),"-",18210.13765/18557.14315*100)</f>
        <v>98.130070468309128</v>
      </c>
      <c r="D22" s="29">
        <f>IF(18557.14315="","-",18557.14315/1986828.81646*100)</f>
        <v>0.9340081539115126</v>
      </c>
      <c r="E22" s="29">
        <f>IF(18210.13765="","-",18210.13765/2455618.67545*100)</f>
        <v>0.7415702540486232</v>
      </c>
      <c r="F22" s="29">
        <f>IF(OR(2294320.13289="",25232.13799="",18557.14315=""),"-",(18557.14315-25232.13799)/2294320.13289*100)</f>
        <v>-0.29093563467064898</v>
      </c>
      <c r="G22" s="29">
        <f>IF(OR(1986828.81646="",18210.13765="",18557.14315=""),"-",(18210.13765-18557.14315)/1986828.81646*100)</f>
        <v>-1.7465294298392085E-2</v>
      </c>
    </row>
    <row r="23" spans="1:7" s="30" customFormat="1" x14ac:dyDescent="0.2">
      <c r="A23" s="27" t="s">
        <v>51</v>
      </c>
      <c r="B23" s="28">
        <v>16182.83006</v>
      </c>
      <c r="C23" s="28" t="s">
        <v>206</v>
      </c>
      <c r="D23" s="29">
        <f>IF(9159.90182="","-",9159.90182/1986828.81646*100)</f>
        <v>0.46103125463624517</v>
      </c>
      <c r="E23" s="29">
        <f>IF(16182.83006="","-",16182.83006/2455618.67545*100)</f>
        <v>0.65901233859261332</v>
      </c>
      <c r="F23" s="29">
        <f>IF(OR(2294320.13289="",3971.71629="",9159.90182=""),"-",(9159.90182-3971.71629)/2294320.13289*100)</f>
        <v>0.22613171787255307</v>
      </c>
      <c r="G23" s="29">
        <f>IF(OR(1986828.81646="",16182.83006="",9159.90182=""),"-",(16182.83006-9159.90182)/1986828.81646*100)</f>
        <v>0.35347424910581826</v>
      </c>
    </row>
    <row r="24" spans="1:7" s="30" customFormat="1" x14ac:dyDescent="0.2">
      <c r="A24" s="27" t="s">
        <v>44</v>
      </c>
      <c r="B24" s="28">
        <v>12257.526449999999</v>
      </c>
      <c r="C24" s="28" t="s">
        <v>104</v>
      </c>
      <c r="D24" s="29">
        <f>IF(7875.60269="","-",7875.60269/1986828.81646*100)</f>
        <v>0.39639060118084196</v>
      </c>
      <c r="E24" s="29">
        <f>IF(12257.52645="","-",12257.52645/2455618.67545*100)</f>
        <v>0.49916245435597895</v>
      </c>
      <c r="F24" s="29">
        <f>IF(OR(2294320.13289="",10638.31462="",7875.60269=""),"-",(7875.60269-10638.31462)/2294320.13289*100)</f>
        <v>-0.12041527642090634</v>
      </c>
      <c r="G24" s="29">
        <f>IF(OR(1986828.81646="",12257.52645="",7875.60269=""),"-",(12257.52645-7875.60269)/1986828.81646*100)</f>
        <v>0.22054863125085034</v>
      </c>
    </row>
    <row r="25" spans="1:7" s="30" customFormat="1" x14ac:dyDescent="0.2">
      <c r="A25" s="27" t="s">
        <v>43</v>
      </c>
      <c r="B25" s="28">
        <v>6145.0096400000002</v>
      </c>
      <c r="C25" s="28">
        <f>IF(OR(6042.6794="",6145.00964=""),"-",6145.00964/6042.6794*100)</f>
        <v>101.69345803783668</v>
      </c>
      <c r="D25" s="29">
        <f>IF(6042.6794="","-",6042.6794/1986828.81646*100)</f>
        <v>0.30413689140901662</v>
      </c>
      <c r="E25" s="29">
        <f>IF(6145.00964="","-",6145.00964/2455618.67545*100)</f>
        <v>0.2502428288819683</v>
      </c>
      <c r="F25" s="29">
        <f>IF(OR(2294320.13289="",7125.90825="",6042.6794=""),"-",(6042.6794-7125.90825)/2294320.13289*100)</f>
        <v>-4.7213500612729671E-2</v>
      </c>
      <c r="G25" s="29">
        <f>IF(OR(1986828.81646="",6145.00964="",6042.6794=""),"-",(6145.00964-6042.6794)/1986828.81646*100)</f>
        <v>5.1504306335925544E-3</v>
      </c>
    </row>
    <row r="26" spans="1:7" s="30" customFormat="1" x14ac:dyDescent="0.2">
      <c r="A26" s="27" t="s">
        <v>45</v>
      </c>
      <c r="B26" s="28">
        <v>5622.52261</v>
      </c>
      <c r="C26" s="28">
        <f>IF(OR(6236.91995="",5622.52261=""),"-",5622.52261/6236.91995*100)</f>
        <v>90.149026363565881</v>
      </c>
      <c r="D26" s="29">
        <f>IF(6236.91995="","-",6236.91995/1986828.81646*100)</f>
        <v>0.31391330236051901</v>
      </c>
      <c r="E26" s="29">
        <f>IF(5622.52261="","-",5622.52261/2455618.67545*100)</f>
        <v>0.22896562345819652</v>
      </c>
      <c r="F26" s="29">
        <f>IF(OR(2294320.13289="",6336.04084="",6236.91995=""),"-",(6236.91995-6336.04084)/2294320.13289*100)</f>
        <v>-4.320272859007838E-3</v>
      </c>
      <c r="G26" s="29">
        <f>IF(OR(1986828.81646="",5622.52261="",6236.91995=""),"-",(5622.52261-6236.91995)/1986828.81646*100)</f>
        <v>-3.0923516656794464E-2</v>
      </c>
    </row>
    <row r="27" spans="1:7" s="32" customFormat="1" x14ac:dyDescent="0.2">
      <c r="A27" s="27" t="s">
        <v>47</v>
      </c>
      <c r="B27" s="28">
        <v>5167.5526</v>
      </c>
      <c r="C27" s="28">
        <f>IF(OR(10082.09339="",5167.5526=""),"-",5167.5526/10082.09339*100)</f>
        <v>51.254758313640259</v>
      </c>
      <c r="D27" s="29">
        <f>IF(10082.09339="","-",10082.09339/1986828.81646*100)</f>
        <v>0.50744650502722255</v>
      </c>
      <c r="E27" s="29">
        <f>IF(5167.5526="","-",5167.5526/2455618.67545*100)</f>
        <v>0.21043790925938571</v>
      </c>
      <c r="F27" s="29">
        <f>IF(OR(2294320.13289="",9406.37675="",10082.09339=""),"-",(10082.09339-9406.37675)/2294320.13289*100)</f>
        <v>2.9451715578542478E-2</v>
      </c>
      <c r="G27" s="29">
        <f>IF(OR(1986828.81646="",5167.5526="",10082.09339=""),"-",(5167.5526-10082.09339)/1986828.81646*100)</f>
        <v>-0.24735602530450529</v>
      </c>
    </row>
    <row r="28" spans="1:7" s="32" customFormat="1" x14ac:dyDescent="0.2">
      <c r="A28" s="27" t="s">
        <v>46</v>
      </c>
      <c r="B28" s="28">
        <v>3920.47001</v>
      </c>
      <c r="C28" s="28">
        <f>IF(OR(4390.22871="",3920.47001=""),"-",3920.47001/4390.22871*100)</f>
        <v>89.299903694538955</v>
      </c>
      <c r="D28" s="29">
        <f>IF(4390.22871="","-",4390.22871/1986828.81646*100)</f>
        <v>0.22096663153004897</v>
      </c>
      <c r="E28" s="29">
        <f>IF(3920.47001="","-",3920.47001/2455618.67545*100)</f>
        <v>0.159653045857438</v>
      </c>
      <c r="F28" s="29">
        <f>IF(OR(2294320.13289="",2899.42463="",4390.22871=""),"-",(4390.22871-2899.42463)/2294320.13289*100)</f>
        <v>6.4978032430118432E-2</v>
      </c>
      <c r="G28" s="29">
        <f>IF(OR(1986828.81646="",3920.47001="",4390.22871=""),"-",(3920.47001-4390.22871)/1986828.81646*100)</f>
        <v>-2.3643642376648497E-2</v>
      </c>
    </row>
    <row r="29" spans="1:7" s="30" customFormat="1" x14ac:dyDescent="0.2">
      <c r="A29" s="27" t="s">
        <v>364</v>
      </c>
      <c r="B29" s="28">
        <v>1906.16426</v>
      </c>
      <c r="C29" s="28">
        <f>IF(OR(2059.47472="",1906.16426=""),"-",1906.16426/2059.47472*100)</f>
        <v>92.555846473318198</v>
      </c>
      <c r="D29" s="29">
        <f>IF(2059.47472="","-",2059.47472/1986828.81646*100)</f>
        <v>0.10365637456725819</v>
      </c>
      <c r="E29" s="29">
        <f>IF(1906.16426="","-",1906.16426/2455618.67545*100)</f>
        <v>7.7624603488189767E-2</v>
      </c>
      <c r="F29" s="29">
        <f>IF(OR(2294320.13289="",902.66121="",2059.47472=""),"-",(2059.47472-902.66121)/2294320.13289*100)</f>
        <v>5.0420753992287917E-2</v>
      </c>
      <c r="G29" s="29">
        <f>IF(OR(1986828.81646="",1906.16426="",2059.47472=""),"-",(1906.16426-2059.47472)/1986828.81646*100)</f>
        <v>-7.7163396629790475E-3</v>
      </c>
    </row>
    <row r="30" spans="1:7" s="30" customFormat="1" x14ac:dyDescent="0.2">
      <c r="A30" s="27" t="s">
        <v>49</v>
      </c>
      <c r="B30" s="28">
        <v>1541.01908</v>
      </c>
      <c r="C30" s="28">
        <f>IF(OR(1077.12607="",1541.01908=""),"-",1541.01908/1077.12607*100)</f>
        <v>143.06766152266653</v>
      </c>
      <c r="D30" s="29">
        <f>IF(1077.12607="","-",1077.12607/1986828.81646*100)</f>
        <v>5.4213330362257985E-2</v>
      </c>
      <c r="E30" s="29">
        <f>IF(1541.01908="","-",1541.01908/2455618.67545*100)</f>
        <v>6.2754820013640897E-2</v>
      </c>
      <c r="F30" s="29">
        <f>IF(OR(2294320.13289="",888.74537="",1077.12607=""),"-",(1077.12607-888.74537)/2294320.13289*100)</f>
        <v>8.210741705112861E-3</v>
      </c>
      <c r="G30" s="29">
        <f>IF(OR(1986828.81646="",1541.01908="",1077.12607=""),"-",(1541.01908-1077.12607)/1986828.81646*100)</f>
        <v>2.3348413620582265E-2</v>
      </c>
    </row>
    <row r="31" spans="1:7" s="32" customFormat="1" x14ac:dyDescent="0.2">
      <c r="A31" s="27" t="s">
        <v>48</v>
      </c>
      <c r="B31" s="28">
        <v>1135.68453</v>
      </c>
      <c r="C31" s="28" t="s">
        <v>104</v>
      </c>
      <c r="D31" s="29">
        <f>IF(693.97314="","-",693.97314/1986828.81646*100)</f>
        <v>3.4928683047615317E-2</v>
      </c>
      <c r="E31" s="29">
        <f>IF(1135.68453="","-",1135.68453/2455618.67545*100)</f>
        <v>4.624840743206525E-2</v>
      </c>
      <c r="F31" s="29">
        <f>IF(OR(2294320.13289="",619.34915="",693.97314=""),"-",(693.97314-619.34915)/2294320.13289*100)</f>
        <v>3.2525535094355441E-3</v>
      </c>
      <c r="G31" s="29">
        <f>IF(OR(1986828.81646="",1135.68453="",693.97314=""),"-",(1135.68453-693.97314)/1986828.81646*100)</f>
        <v>2.2231980246139784E-2</v>
      </c>
    </row>
    <row r="32" spans="1:7" s="32" customFormat="1" x14ac:dyDescent="0.2">
      <c r="A32" s="27" t="s">
        <v>50</v>
      </c>
      <c r="B32" s="28">
        <v>851.01494000000002</v>
      </c>
      <c r="C32" s="28" t="s">
        <v>217</v>
      </c>
      <c r="D32" s="29">
        <f>IF(369.52723="","-",369.52723/1986828.81646*100)</f>
        <v>1.8598845906533566E-2</v>
      </c>
      <c r="E32" s="29">
        <f>IF(851.01494="","-",851.01494/2455618.67545*100)</f>
        <v>3.4655826187836303E-2</v>
      </c>
      <c r="F32" s="29">
        <f>IF(OR(2294320.13289="",561.45356="",369.52723=""),"-",(369.52723-561.45356)/2294320.13289*100)</f>
        <v>-8.3652811675519519E-3</v>
      </c>
      <c r="G32" s="29">
        <f>IF(OR(1986828.81646="",851.01494="",369.52723=""),"-",(851.01494-369.52723)/1986828.81646*100)</f>
        <v>2.4233980603214876E-2</v>
      </c>
    </row>
    <row r="33" spans="1:7" s="32" customFormat="1" x14ac:dyDescent="0.2">
      <c r="A33" s="27" t="s">
        <v>53</v>
      </c>
      <c r="B33" s="28">
        <v>663.50474999999994</v>
      </c>
      <c r="C33" s="28" t="s">
        <v>20</v>
      </c>
      <c r="D33" s="29">
        <f>IF(339.12162="","-",339.12162/1986828.81646*100)</f>
        <v>1.7068487088093703E-2</v>
      </c>
      <c r="E33" s="29">
        <f>IF(663.50475="","-",663.50475/2455618.67545*100)</f>
        <v>2.7019860886112967E-2</v>
      </c>
      <c r="F33" s="29">
        <f>IF(OR(2294320.13289="",141.6943="",339.12162=""),"-",(339.12162-141.6943)/2294320.13289*100)</f>
        <v>8.6050467486991078E-3</v>
      </c>
      <c r="G33" s="29">
        <f>IF(OR(1986828.81646="",663.50475="",339.12162=""),"-",(663.50475-339.12162)/1986828.81646*100)</f>
        <v>1.6326677331868194E-2</v>
      </c>
    </row>
    <row r="34" spans="1:7" s="32" customFormat="1" x14ac:dyDescent="0.2">
      <c r="A34" s="27" t="s">
        <v>52</v>
      </c>
      <c r="B34" s="28">
        <v>661.93134999999995</v>
      </c>
      <c r="C34" s="28" t="s">
        <v>370</v>
      </c>
      <c r="D34" s="29">
        <f>IF(209.6629="","-",209.6629/1986828.81646*100)</f>
        <v>1.0552640381649159E-2</v>
      </c>
      <c r="E34" s="29">
        <f>IF(661.93135="","-",661.93135/2455618.67545*100)</f>
        <v>2.6955787419995041E-2</v>
      </c>
      <c r="F34" s="29">
        <f>IF(OR(2294320.13289="",63.81918="",209.6629=""),"-",(209.6629-63.81918)/2294320.13289*100)</f>
        <v>6.3567292946294521E-3</v>
      </c>
      <c r="G34" s="29">
        <f>IF(OR(1986828.81646="",661.93135="",209.6629=""),"-",(661.93135-209.6629)/1986828.81646*100)</f>
        <v>2.2763332515270334E-2</v>
      </c>
    </row>
    <row r="35" spans="1:7" s="32" customFormat="1" x14ac:dyDescent="0.2">
      <c r="A35" s="27" t="s">
        <v>54</v>
      </c>
      <c r="B35" s="28">
        <v>9.7850300000000008</v>
      </c>
      <c r="C35" s="28">
        <f>IF(OR(30.50265="",9.78503=""),"-",9.78503/30.50265*100)</f>
        <v>32.07927835778203</v>
      </c>
      <c r="D35" s="29">
        <f>IF(30.50265="","-",30.50265/1986828.81646*100)</f>
        <v>1.5352429835574664E-3</v>
      </c>
      <c r="E35" s="29">
        <f>IF(9.78503="","-",9.78503/2455618.67545*100)</f>
        <v>3.98475141838008E-4</v>
      </c>
      <c r="F35" s="29">
        <f>IF(OR(2294320.13289="",61.68467="",30.50265=""),"-",(30.50265-61.68467)/2294320.13289*100)</f>
        <v>-1.3590962984194415E-3</v>
      </c>
      <c r="G35" s="29">
        <f>IF(OR(1986828.81646="",9.78503="",30.50265=""),"-",(9.78503-30.50265)/1986828.81646*100)</f>
        <v>-1.0427481133937488E-3</v>
      </c>
    </row>
    <row r="36" spans="1:7" s="32" customFormat="1" x14ac:dyDescent="0.2">
      <c r="A36" s="27" t="s">
        <v>55</v>
      </c>
      <c r="B36" s="28">
        <v>1.7354700000000001</v>
      </c>
      <c r="C36" s="28">
        <f>IF(OR(2.36964="",1.73547=""),"-",1.73547/2.36964*100)</f>
        <v>73.23770699346737</v>
      </c>
      <c r="D36" s="29">
        <f>IF(2.36964="","-",2.36964/1986828.81646*100)</f>
        <v>1.1926744671551864E-4</v>
      </c>
      <c r="E36" s="29">
        <f>IF(1.73547="","-",1.73547/2455618.67545*100)</f>
        <v>7.0673432212840204E-5</v>
      </c>
      <c r="F36" s="29">
        <f>IF(OR(2294320.13289="",461.08919="",2.36964=""),"-",(2.36964-461.08919)/2294320.13289*100)</f>
        <v>-1.9993702858815174E-2</v>
      </c>
      <c r="G36" s="29">
        <f>IF(OR(1986828.81646="",1.73547="",2.36964=""),"-",(1.73547-2.36964)/1986828.81646*100)</f>
        <v>-3.1918703551417281E-5</v>
      </c>
    </row>
    <row r="37" spans="1:7" s="32" customFormat="1" x14ac:dyDescent="0.2">
      <c r="A37" s="24" t="s">
        <v>141</v>
      </c>
      <c r="B37" s="25">
        <v>372346.44691</v>
      </c>
      <c r="C37" s="25">
        <f>IF(305089.00428="","-",372346.44691/305089.00428*100)</f>
        <v>122.04518736711778</v>
      </c>
      <c r="D37" s="26">
        <f>IF(305089.00428="","-",305089.00428/1986828.81646*100)</f>
        <v>15.355575767397383</v>
      </c>
      <c r="E37" s="26">
        <f>IF(372346.44691="","-",372346.44691/2455618.67545*100)</f>
        <v>15.16304019970716</v>
      </c>
      <c r="F37" s="26">
        <f>IF(2294320.13289="","-",(305089.00428-354740.98469)/2294320.13289*100)</f>
        <v>-2.1641260824162658</v>
      </c>
      <c r="G37" s="26">
        <f>IF(1986828.81646="","-",(372346.44691-305089.00428)/1986828.81646*100)</f>
        <v>3.3851654492224883</v>
      </c>
    </row>
    <row r="38" spans="1:7" s="32" customFormat="1" x14ac:dyDescent="0.2">
      <c r="A38" s="27" t="s">
        <v>365</v>
      </c>
      <c r="B38" s="28">
        <v>221850.66566999999</v>
      </c>
      <c r="C38" s="28">
        <f>IF(OR(179009.71101="",221850.66567=""),"-",221850.66567/179009.71101*100)</f>
        <v>123.93219586707605</v>
      </c>
      <c r="D38" s="29">
        <f>IF(179009.71101="","-",179009.71101/1986828.81646*100)</f>
        <v>9.0098205505669906</v>
      </c>
      <c r="E38" s="29">
        <f>IF(221850.66567="","-",221850.66567/2455618.67545*100)</f>
        <v>9.0344102644253237</v>
      </c>
      <c r="F38" s="29">
        <f>IF(OR(2294320.13289="",202793.21486="",179009.71101=""),"-",(179009.71101-202793.21486)/2294320.13289*100)</f>
        <v>-1.0366253387682884</v>
      </c>
      <c r="G38" s="29">
        <f>IF(OR(1986828.81646="",221850.66567="",179009.71101=""),"-",(221850.66567-179009.71101)/1986828.81646*100)</f>
        <v>2.1562479014337614</v>
      </c>
    </row>
    <row r="39" spans="1:7" s="32" customFormat="1" ht="14.25" customHeight="1" x14ac:dyDescent="0.2">
      <c r="A39" s="27" t="s">
        <v>12</v>
      </c>
      <c r="B39" s="28">
        <v>73988.645239999998</v>
      </c>
      <c r="C39" s="28">
        <f>IF(OR(51857.64573="",73988.64524=""),"-",73988.64524/51857.64573*100)</f>
        <v>142.67644471410523</v>
      </c>
      <c r="D39" s="29">
        <f>IF(51857.64573="","-",51857.64573/1986828.81646*100)</f>
        <v>2.6100711495818003</v>
      </c>
      <c r="E39" s="29">
        <f>IF(73988.64524="","-",73988.64524/2455618.67545*100)</f>
        <v>3.0130347997309208</v>
      </c>
      <c r="F39" s="29">
        <f>IF(OR(2294320.13289="",65619.08068="",51857.64573=""),"-",(51857.64573-65619.08068)/2294320.13289*100)</f>
        <v>-0.59980448032183076</v>
      </c>
      <c r="G39" s="29">
        <f>IF(OR(1986828.81646="",73988.64524="",51857.64573=""),"-",(73988.64524-51857.64573)/1986828.81646*100)</f>
        <v>1.1138855711500879</v>
      </c>
    </row>
    <row r="40" spans="1:7" s="30" customFormat="1" ht="14.25" customHeight="1" x14ac:dyDescent="0.2">
      <c r="A40" s="27" t="s">
        <v>11</v>
      </c>
      <c r="B40" s="28">
        <v>53030.977180000002</v>
      </c>
      <c r="C40" s="28">
        <f>IF(OR(54011.86489="",53030.97718=""),"-",53030.97718/54011.86489*100)</f>
        <v>98.18394030275077</v>
      </c>
      <c r="D40" s="29">
        <f>IF(54011.86489="","-",54011.86489/1986828.81646*100)</f>
        <v>2.7184961503746843</v>
      </c>
      <c r="E40" s="29">
        <f>IF(53030.97718="","-",53030.97718/2455618.67545*100)</f>
        <v>2.1595770430554291</v>
      </c>
      <c r="F40" s="29">
        <f>IF(OR(2294320.13289="",66516.08134="",54011.86489=""),"-",(54011.86489-66516.08134)/2294320.13289*100)</f>
        <v>-0.54500748482075567</v>
      </c>
      <c r="G40" s="29">
        <f>IF(OR(1986828.81646="",53030.97718="",54011.86489=""),"-",(53030.97718-54011.86489)/1986828.81646*100)</f>
        <v>-4.9369512958226378E-2</v>
      </c>
    </row>
    <row r="41" spans="1:7" s="30" customFormat="1" ht="14.25" customHeight="1" x14ac:dyDescent="0.2">
      <c r="A41" s="27" t="s">
        <v>13</v>
      </c>
      <c r="B41" s="28">
        <v>11259.838449999999</v>
      </c>
      <c r="C41" s="28">
        <f>IF(OR(11960.94804="",11259.83845=""),"-",11259.83845/11960.94804*100)</f>
        <v>94.138344321408823</v>
      </c>
      <c r="D41" s="29">
        <f>IF(11960.94804="","-",11960.94804/1986828.81646*100)</f>
        <v>0.60201200732085347</v>
      </c>
      <c r="E41" s="29">
        <f>IF(11259.83845="","-",11259.83845/2455618.67545*100)</f>
        <v>0.45853367066189937</v>
      </c>
      <c r="F41" s="29">
        <f>IF(OR(2294320.13289="",8512.48391="",11960.94804=""),"-",(11960.94804-8512.48391)/2294320.13289*100)</f>
        <v>0.15030440087958435</v>
      </c>
      <c r="G41" s="29">
        <f>IF(OR(1986828.81646="",11259.83845="",11960.94804=""),"-",(11259.83845-11960.94804)/1986828.81646*100)</f>
        <v>-3.5287871012923536E-2</v>
      </c>
    </row>
    <row r="42" spans="1:7" s="30" customFormat="1" ht="14.25" customHeight="1" x14ac:dyDescent="0.2">
      <c r="A42" s="27" t="s">
        <v>15</v>
      </c>
      <c r="B42" s="28">
        <v>5897.4887600000002</v>
      </c>
      <c r="C42" s="28" t="s">
        <v>104</v>
      </c>
      <c r="D42" s="29">
        <f>IF(3768.72912="","-",3768.72912/1986828.81646*100)</f>
        <v>0.18968564824396258</v>
      </c>
      <c r="E42" s="29">
        <f>IF(5897.48876="","-",5897.48876/2455618.67545*100)</f>
        <v>0.24016305214486391</v>
      </c>
      <c r="F42" s="29">
        <f>IF(OR(2294320.13289="",2554.45641="",3768.72912=""),"-",(3768.72912-2554.45641)/2294320.13289*100)</f>
        <v>5.2925164740217093E-2</v>
      </c>
      <c r="G42" s="29">
        <f>IF(OR(1986828.81646="",5897.48876="",3768.72912=""),"-",(5897.48876-3768.72912)/1986828.81646*100)</f>
        <v>0.10714358591762743</v>
      </c>
    </row>
    <row r="43" spans="1:7" s="32" customFormat="1" ht="14.25" customHeight="1" x14ac:dyDescent="0.2">
      <c r="A43" s="27" t="s">
        <v>14</v>
      </c>
      <c r="B43" s="28">
        <v>3448.0653600000001</v>
      </c>
      <c r="C43" s="28">
        <f>IF(OR(2338.18031="",3448.06536=""),"-",3448.06536/2338.18031*100)</f>
        <v>147.46789823065441</v>
      </c>
      <c r="D43" s="29">
        <f>IF(2338.18031="","-",2338.18031/1986828.81646*100)</f>
        <v>0.11768403450912371</v>
      </c>
      <c r="E43" s="29">
        <f>IF(3448.06536="","-",3448.06536/2455618.67545*100)</f>
        <v>0.14041534194506528</v>
      </c>
      <c r="F43" s="29">
        <f>IF(OR(2294320.13289="",3928.83473="",2338.18031=""),"-",(2338.18031-3928.83473)/2294320.13289*100)</f>
        <v>-6.9330099021375879E-2</v>
      </c>
      <c r="G43" s="29">
        <f>IF(OR(1986828.81646="",3448.06536="",2338.18031=""),"-",(3448.06536-2338.18031)/1986828.81646*100)</f>
        <v>5.5862137734519049E-2</v>
      </c>
    </row>
    <row r="44" spans="1:7" s="30" customFormat="1" ht="14.25" customHeight="1" x14ac:dyDescent="0.2">
      <c r="A44" s="27" t="s">
        <v>399</v>
      </c>
      <c r="B44" s="28">
        <v>1429.0472</v>
      </c>
      <c r="C44" s="28" t="s">
        <v>346</v>
      </c>
      <c r="D44" s="29">
        <f>IF(434.10654="","-",434.10654/1986828.81646*100)</f>
        <v>2.1849217023812966E-2</v>
      </c>
      <c r="E44" s="29">
        <f>IF(1429.0472="","-",1429.0472/2455618.67545*100)</f>
        <v>5.8194996409127842E-2</v>
      </c>
      <c r="F44" s="29">
        <f>IF(OR(2294320.13289="",817.7545="",434.10654=""),"-",(434.10654-817.7545)/2294320.13289*100)</f>
        <v>-1.6721640302076964E-2</v>
      </c>
      <c r="G44" s="29">
        <f>IF(OR(1986828.81646="",1429.0472="",434.10654=""),"-",(1429.0472-434.10654)/1986828.81646*100)</f>
        <v>5.0076818483673867E-2</v>
      </c>
    </row>
    <row r="45" spans="1:7" s="32" customFormat="1" ht="14.25" customHeight="1" x14ac:dyDescent="0.2">
      <c r="A45" s="27" t="s">
        <v>17</v>
      </c>
      <c r="B45" s="28">
        <v>697.31186000000002</v>
      </c>
      <c r="C45" s="28">
        <f>IF(OR(1068.53104="",697.31186=""),"-",697.31186/1068.53104*100)</f>
        <v>65.258924064573733</v>
      </c>
      <c r="D45" s="29">
        <f>IF(1068.53104="","-",1068.53104/1986828.81646*100)</f>
        <v>5.3780729932427593E-2</v>
      </c>
      <c r="E45" s="29">
        <f>IF(697.31186="","-",697.31186/2455618.67545*100)</f>
        <v>2.8396585633240285E-2</v>
      </c>
      <c r="F45" s="29">
        <f>IF(OR(2294320.13289="",3303.85509="",1068.53104=""),"-",(1068.53104-3303.85509)/2294320.13289*100)</f>
        <v>-9.7428602833394204E-2</v>
      </c>
      <c r="G45" s="29">
        <f>IF(OR(1986828.81646="",697.31186="",1068.53104=""),"-",(697.31186-1068.53104)/1986828.81646*100)</f>
        <v>-1.8684004224451194E-2</v>
      </c>
    </row>
    <row r="46" spans="1:7" s="32" customFormat="1" ht="14.25" customHeight="1" x14ac:dyDescent="0.2">
      <c r="A46" s="27" t="s">
        <v>16</v>
      </c>
      <c r="B46" s="28">
        <v>524.29943000000003</v>
      </c>
      <c r="C46" s="28">
        <f>IF(OR(387.24224="",524.29943=""),"-",524.29943/387.24224*100)</f>
        <v>135.39314047971627</v>
      </c>
      <c r="D46" s="29">
        <f>IF(387.24224="","-",387.24224/1986828.81646*100)</f>
        <v>1.9490468267415337E-2</v>
      </c>
      <c r="E46" s="29">
        <f>IF(524.29943="","-",524.29943/2455618.67545*100)</f>
        <v>2.1351011671383403E-2</v>
      </c>
      <c r="F46" s="29">
        <f>IF(OR(2294320.13289="",554.18406="",387.24224=""),"-",(387.24224-554.18406)/2294320.13289*100)</f>
        <v>-7.2763088989553837E-3</v>
      </c>
      <c r="G46" s="29">
        <f>IF(OR(1986828.81646="",524.29943="",387.24224=""),"-",(524.29943-387.24224)/1986828.81646*100)</f>
        <v>6.8982888140408328E-3</v>
      </c>
    </row>
    <row r="47" spans="1:7" s="32" customFormat="1" ht="14.25" customHeight="1" x14ac:dyDescent="0.2">
      <c r="A47" s="27" t="s">
        <v>18</v>
      </c>
      <c r="B47" s="28">
        <v>220.10776000000001</v>
      </c>
      <c r="C47" s="28">
        <f>IF(OR(252.04536="",220.10776=""),"-",220.10776/252.04536*100)</f>
        <v>87.328630052939687</v>
      </c>
      <c r="D47" s="29">
        <f>IF(252.04536="","-",252.04536/1986828.81646*100)</f>
        <v>1.2685811576312737E-2</v>
      </c>
      <c r="E47" s="29">
        <f>IF(220.10776="","-",220.10776/2455618.67545*100)</f>
        <v>8.963434029905501E-3</v>
      </c>
      <c r="F47" s="29">
        <f>IF(OR(2294320.13289="",141.03911="",252.04536=""),"-",(252.04536-141.03911)/2294320.13289*100)</f>
        <v>4.8383069306101112E-3</v>
      </c>
      <c r="G47" s="29">
        <f>IF(OR(1986828.81646="",220.10776="",252.04536=""),"-",(220.10776-252.04536)/1986828.81646*100)</f>
        <v>-1.6074661156215901E-3</v>
      </c>
    </row>
    <row r="48" spans="1:7" s="32" customFormat="1" x14ac:dyDescent="0.2">
      <c r="A48" s="24" t="s">
        <v>142</v>
      </c>
      <c r="B48" s="25">
        <v>576062.45244000002</v>
      </c>
      <c r="C48" s="25" t="s">
        <v>104</v>
      </c>
      <c r="D48" s="26">
        <f>IF(359286.05824="","-",359286.05824/1986828.81646*100)</f>
        <v>18.083392754497698</v>
      </c>
      <c r="E48" s="26">
        <f>IF(576062.45244="","-",576062.45244/2455618.67545*100)</f>
        <v>23.458953875826619</v>
      </c>
      <c r="F48" s="26">
        <f>IF(2294320.13289="","-",(359286.05824-478291.03795)/2294320.13289*100)</f>
        <v>-5.1869387364045627</v>
      </c>
      <c r="G48" s="26">
        <f>IF(1986828.81646="","-",(576062.45244-359286.05824)/1986828.81646*100)</f>
        <v>10.910672947971324</v>
      </c>
    </row>
    <row r="49" spans="1:7" s="32" customFormat="1" x14ac:dyDescent="0.2">
      <c r="A49" s="27" t="s">
        <v>56</v>
      </c>
      <c r="B49" s="33">
        <v>238363.60203000001</v>
      </c>
      <c r="C49" s="28" t="s">
        <v>206</v>
      </c>
      <c r="D49" s="29">
        <f>IF(129835.7793="","-",129835.7793/1986828.81646*100)</f>
        <v>6.534824652449565</v>
      </c>
      <c r="E49" s="29">
        <f>IF(238363.60203="","-",238363.60203/2455618.67545*100)</f>
        <v>9.7068655004555673</v>
      </c>
      <c r="F49" s="29">
        <f>IF(OR(2294320.13289="",158573.431="",129835.7793=""),"-",(129835.7793-158573.431)/2294320.13289*100)</f>
        <v>-1.2525563145279617</v>
      </c>
      <c r="G49" s="29">
        <f>IF(OR(1986828.81646="",238363.60203="",129835.7793=""),"-",(238363.60203-129835.7793)/1986828.81646*100)</f>
        <v>5.4623640361411558</v>
      </c>
    </row>
    <row r="50" spans="1:7" s="32" customFormat="1" x14ac:dyDescent="0.2">
      <c r="A50" s="27" t="s">
        <v>366</v>
      </c>
      <c r="B50" s="28">
        <v>80751.335860000007</v>
      </c>
      <c r="C50" s="28" t="s">
        <v>104</v>
      </c>
      <c r="D50" s="29">
        <f>IF(49170.41919="","-",49170.41919/1986828.81646*100)</f>
        <v>2.4748191078488886</v>
      </c>
      <c r="E50" s="29">
        <f>IF(80751.33586="","-",80751.33586/2455618.67545*100)</f>
        <v>3.2884314110863353</v>
      </c>
      <c r="F50" s="29">
        <f>IF(OR(2294320.13289="",68820.70766="",49170.41919=""),"-",(49170.41919-68820.70766)/2294320.13289*100)</f>
        <v>-0.85647544073319259</v>
      </c>
      <c r="G50" s="29">
        <f>IF(OR(1986828.81646="",80751.33586="",49170.41919=""),"-",(80751.33586-49170.41919)/1986828.81646*100)</f>
        <v>1.5895137219858122</v>
      </c>
    </row>
    <row r="51" spans="1:7" s="30" customFormat="1" ht="24" x14ac:dyDescent="0.2">
      <c r="A51" s="27" t="s">
        <v>367</v>
      </c>
      <c r="B51" s="33">
        <v>50952.615030000001</v>
      </c>
      <c r="C51" s="28">
        <f>IF(OR(35024.32976="",50952.61503=""),"-",50952.61503/35024.32976*100)</f>
        <v>145.47777324832953</v>
      </c>
      <c r="D51" s="29">
        <f>IF(35024.32976="","-",35024.32976/1986828.81646*100)</f>
        <v>1.7628257386765729</v>
      </c>
      <c r="E51" s="29">
        <f>IF(50952.61503="","-",50952.61503/2455618.67545*100)</f>
        <v>2.0749400360649548</v>
      </c>
      <c r="F51" s="29">
        <f>IF(OR(2294320.13289="",42024.30951="",35024.32976=""),"-",(35024.32976-42024.30951)/2294320.13289*100)</f>
        <v>-0.30510039334321654</v>
      </c>
      <c r="G51" s="29">
        <f>IF(OR(1986828.81646="",50952.61503="",35024.32976=""),"-",(50952.61503-35024.32976)/1986828.81646*100)</f>
        <v>0.80169389219852183</v>
      </c>
    </row>
    <row r="52" spans="1:7" s="32" customFormat="1" x14ac:dyDescent="0.2">
      <c r="A52" s="27" t="s">
        <v>19</v>
      </c>
      <c r="B52" s="33">
        <v>24152.110079999999</v>
      </c>
      <c r="C52" s="28">
        <f>IF(OR(20841.27673="",24152.11008=""),"-",24152.11008/20841.27673*100)</f>
        <v>115.88594303934468</v>
      </c>
      <c r="D52" s="29">
        <f>IF(20841.27673="","-",20841.27673/1986828.81646*100)</f>
        <v>1.0489719374582864</v>
      </c>
      <c r="E52" s="29">
        <f>IF(24152.11008="","-",24152.11008/2455618.67545*100)</f>
        <v>0.98354481180079989</v>
      </c>
      <c r="F52" s="29">
        <f>IF(OR(2294320.13289="",20474.18055="",20841.27673=""),"-",(20841.27673-20474.18055)/2294320.13289*100)</f>
        <v>1.6000216131024151E-2</v>
      </c>
      <c r="G52" s="29">
        <f>IF(OR(1986828.81646="",24152.11008="",20841.27673=""),"-",(24152.11008-20841.27673)/1986828.81646*100)</f>
        <v>0.16663908448333364</v>
      </c>
    </row>
    <row r="53" spans="1:7" s="31" customFormat="1" x14ac:dyDescent="0.2">
      <c r="A53" s="27" t="s">
        <v>60</v>
      </c>
      <c r="B53" s="28">
        <v>21416.807860000001</v>
      </c>
      <c r="C53" s="28" t="s">
        <v>20</v>
      </c>
      <c r="D53" s="29">
        <f>IF(10567.02599="","-",10567.02599/1986828.81646*100)</f>
        <v>0.53185387198216838</v>
      </c>
      <c r="E53" s="29">
        <f>IF(21416.80786="","-",21416.80786/2455618.67545*100)</f>
        <v>0.87215527696193718</v>
      </c>
      <c r="F53" s="29">
        <f>IF(OR(2294320.13289="",11161.23548="",10567.02599=""),"-",(10567.02599-11161.23548)/2294320.13289*100)</f>
        <v>-2.589915336930395E-2</v>
      </c>
      <c r="G53" s="29">
        <f>IF(OR(1986828.81646="",21416.80786="",10567.02599=""),"-",(21416.80786-10567.02599)/1986828.81646*100)</f>
        <v>0.54608538894314129</v>
      </c>
    </row>
    <row r="54" spans="1:7" s="30" customFormat="1" x14ac:dyDescent="0.2">
      <c r="A54" s="27" t="s">
        <v>58</v>
      </c>
      <c r="B54" s="28">
        <v>16308.189829999999</v>
      </c>
      <c r="C54" s="28">
        <f>IF(OR(20252.34497="",16308.18983=""),"-",16308.18983/20252.34497*100)</f>
        <v>80.524945897166404</v>
      </c>
      <c r="D54" s="29">
        <f>IF(20252.34497="","-",20252.34497/1986828.81646*100)</f>
        <v>1.0193301406854107</v>
      </c>
      <c r="E54" s="29">
        <f>IF(16308.18983="","-",16308.18983/2455618.67545*100)</f>
        <v>0.66411735637299107</v>
      </c>
      <c r="F54" s="29">
        <f>IF(OR(2294320.13289="",17267.84419="",20252.34497=""),"-",(20252.34497-17267.84419)/2294320.13289*100)</f>
        <v>0.13008214229635967</v>
      </c>
      <c r="G54" s="29">
        <f>IF(OR(1986828.81646="",16308.18983="",20252.34497=""),"-",(16308.18983-20252.34497)/1986828.81646*100)</f>
        <v>-0.19851509638497358</v>
      </c>
    </row>
    <row r="55" spans="1:7" s="32" customFormat="1" x14ac:dyDescent="0.2">
      <c r="A55" s="27" t="s">
        <v>75</v>
      </c>
      <c r="B55" s="28">
        <v>13523.79991</v>
      </c>
      <c r="C55" s="28" t="s">
        <v>344</v>
      </c>
      <c r="D55" s="29">
        <f>IF(514.34919="","-",514.34919/1986828.81646*100)</f>
        <v>2.5887946950378611E-2</v>
      </c>
      <c r="E55" s="29">
        <f>IF(13523.79991="","-",13523.79991/2455618.67545*100)</f>
        <v>0.55072882631183451</v>
      </c>
      <c r="F55" s="29">
        <f>IF(OR(2294320.13289="",1727.61902="",514.34919=""),"-",(514.34919-1727.61902)/2294320.13289*100)</f>
        <v>-5.2881453316269617E-2</v>
      </c>
      <c r="G55" s="29">
        <f>IF(OR(1986828.81646="",13523.79991="",514.34919=""),"-",(13523.79991-514.34919)/1986828.81646*100)</f>
        <v>0.65478468060370587</v>
      </c>
    </row>
    <row r="56" spans="1:7" s="32" customFormat="1" x14ac:dyDescent="0.2">
      <c r="A56" s="27" t="s">
        <v>62</v>
      </c>
      <c r="B56" s="28">
        <v>10613.0918</v>
      </c>
      <c r="C56" s="28" t="s">
        <v>303</v>
      </c>
      <c r="D56" s="29">
        <f>IF(3971.41801="","-",3971.41801/1986828.81646*100)</f>
        <v>0.19988727650306631</v>
      </c>
      <c r="E56" s="29">
        <f>IF(10613.0918="","-",10613.0918/2455618.67545*100)</f>
        <v>0.43219624879482221</v>
      </c>
      <c r="F56" s="29">
        <f>IF(OR(2294320.13289="",5687.42598="",3971.41801=""),"-",(3971.41801-5687.42598)/2294320.13289*100)</f>
        <v>-7.4793745885778404E-2</v>
      </c>
      <c r="G56" s="29">
        <f>IF(OR(1986828.81646="",10613.0918="",3971.41801=""),"-",(10613.0918-3971.41801)/1986828.81646*100)</f>
        <v>0.33428515506603612</v>
      </c>
    </row>
    <row r="57" spans="1:7" s="31" customFormat="1" x14ac:dyDescent="0.2">
      <c r="A57" s="27" t="s">
        <v>59</v>
      </c>
      <c r="B57" s="28">
        <v>10357.57941</v>
      </c>
      <c r="C57" s="28">
        <f>IF(OR(9542.39899="",10357.57941=""),"-",10357.57941/9542.39899*100)</f>
        <v>108.54271992665862</v>
      </c>
      <c r="D57" s="29">
        <f>IF(9542.39899="","-",9542.39899/1986828.81646*100)</f>
        <v>0.48028289659106183</v>
      </c>
      <c r="E57" s="29">
        <f>IF(10357.57941="","-",10357.57941/2455618.67545*100)</f>
        <v>0.42179103431447645</v>
      </c>
      <c r="F57" s="29">
        <f>IF(OR(2294320.13289="",14407.51174="",9542.39899=""),"-",(9542.39899-14407.51174)/2294320.13289*100)</f>
        <v>-0.21205030110038509</v>
      </c>
      <c r="G57" s="29">
        <f>IF(OR(1986828.81646="",10357.57941="",9542.39899=""),"-",(10357.57941-9542.39899)/1986828.81646*100)</f>
        <v>4.1029222711417838E-2</v>
      </c>
    </row>
    <row r="58" spans="1:7" s="32" customFormat="1" x14ac:dyDescent="0.2">
      <c r="A58" s="27" t="s">
        <v>66</v>
      </c>
      <c r="B58" s="33">
        <v>10298.77349</v>
      </c>
      <c r="C58" s="28">
        <f>IF(OR(7314.58667="",10298.77349=""),"-",10298.77349/7314.58667*100)</f>
        <v>140.79775050365217</v>
      </c>
      <c r="D58" s="29">
        <f>IF(7314.58667="","-",7314.58667/1986828.81646*100)</f>
        <v>0.36815384442795862</v>
      </c>
      <c r="E58" s="29">
        <f>IF(10298.77349="","-",10298.77349/2455618.67545*100)</f>
        <v>0.41939628464963991</v>
      </c>
      <c r="F58" s="29">
        <f>IF(OR(2294320.13289="",7156.31145="",7314.58667=""),"-",(7314.58667-7156.31145)/2294320.13289*100)</f>
        <v>6.8985673677818861E-3</v>
      </c>
      <c r="G58" s="29">
        <f>IF(OR(1986828.81646="",10298.77349="",7314.58667=""),"-",(10298.77349-7314.58667)/1986828.81646*100)</f>
        <v>0.15019848691932236</v>
      </c>
    </row>
    <row r="59" spans="1:7" s="30" customFormat="1" x14ac:dyDescent="0.2">
      <c r="A59" s="27" t="s">
        <v>65</v>
      </c>
      <c r="B59" s="28">
        <v>6337.1150500000003</v>
      </c>
      <c r="C59" s="28">
        <f>IF(OR(4681.38668="",6337.11505=""),"-",6337.11505/4681.38668*100)</f>
        <v>135.36833171832754</v>
      </c>
      <c r="D59" s="29">
        <f>IF(4681.38668="","-",4681.38668/1986828.81646*100)</f>
        <v>0.2356210379684841</v>
      </c>
      <c r="E59" s="29">
        <f>IF(6337.11505="","-",6337.11505/2455618.67545*100)</f>
        <v>0.25806592502961412</v>
      </c>
      <c r="F59" s="29">
        <f>IF(OR(2294320.13289="",10916.25196="",4681.38668=""),"-",(4681.38668-10916.25196)/2294320.13289*100)</f>
        <v>-0.27175219319312521</v>
      </c>
      <c r="G59" s="29">
        <f>IF(OR(1986828.81646="",6337.11505="",4681.38668=""),"-",(6337.11505-4681.38668)/1986828.81646*100)</f>
        <v>8.333523030685995E-2</v>
      </c>
    </row>
    <row r="60" spans="1:7" s="32" customFormat="1" x14ac:dyDescent="0.2">
      <c r="A60" s="27" t="s">
        <v>68</v>
      </c>
      <c r="B60" s="28">
        <v>5913.2952599999999</v>
      </c>
      <c r="C60" s="28">
        <f>IF(OR(4221.745="",5913.29526=""),"-",5913.29526/4221.745*100)</f>
        <v>140.06756116250506</v>
      </c>
      <c r="D60" s="29">
        <f>IF(4221.745="","-",4221.745/1986828.81646*100)</f>
        <v>0.21248660000422309</v>
      </c>
      <c r="E60" s="29">
        <f>IF(5913.29526="","-",5913.29526/2455618.67545*100)</f>
        <v>0.24080673921883941</v>
      </c>
      <c r="F60" s="29">
        <f>IF(OR(2294320.13289="",6168.77351="",4221.745=""),"-",(4221.745-6168.77351)/2294320.13289*100)</f>
        <v>-8.4862983246695389E-2</v>
      </c>
      <c r="G60" s="29">
        <f>IF(OR(1986828.81646="",5913.29526="",4221.745=""),"-",(5913.29526-4221.745)/1986828.81646*100)</f>
        <v>8.5138198418819616E-2</v>
      </c>
    </row>
    <row r="61" spans="1:7" s="30" customFormat="1" x14ac:dyDescent="0.2">
      <c r="A61" s="27" t="s">
        <v>57</v>
      </c>
      <c r="B61" s="28">
        <v>5073.3016200000002</v>
      </c>
      <c r="C61" s="28">
        <f>IF(OR(5506.9503="",5073.30162=""),"-",5073.30162/5506.9503*100)</f>
        <v>92.125429568521795</v>
      </c>
      <c r="D61" s="29">
        <f>IF(5506.9503="","-",5506.9503/1986828.81646*100)</f>
        <v>0.27717286232096833</v>
      </c>
      <c r="E61" s="29">
        <f>IF(5073.30162="","-",5073.30162/2455618.67545*100)</f>
        <v>0.206599732715842</v>
      </c>
      <c r="F61" s="29">
        <f>IF(OR(2294320.13289="",7914.93943="",5506.9503=""),"-",(5506.9503-7914.93943)/2294320.13289*100)</f>
        <v>-0.10495436515072633</v>
      </c>
      <c r="G61" s="29">
        <f>IF(OR(1986828.81646="",5073.30162="",5506.9503=""),"-",(5073.30162-5506.9503)/1986828.81646*100)</f>
        <v>-2.1826172260408762E-2</v>
      </c>
    </row>
    <row r="62" spans="1:7" s="32" customFormat="1" x14ac:dyDescent="0.2">
      <c r="A62" s="27" t="s">
        <v>122</v>
      </c>
      <c r="B62" s="33">
        <v>4535.7530999999999</v>
      </c>
      <c r="C62" s="28">
        <f>IF(OR(3777.24465="",4535.7531=""),"-",4535.7531/3777.24465*100)</f>
        <v>120.08099872482445</v>
      </c>
      <c r="D62" s="29">
        <f>IF(3777.24465="","-",3777.24465/1986828.81646*100)</f>
        <v>0.19011424732252699</v>
      </c>
      <c r="E62" s="29">
        <f>IF(4535.7531="","-",4535.7531/2455618.67545*100)</f>
        <v>0.18470917921198854</v>
      </c>
      <c r="F62" s="29">
        <f>IF(OR(2294320.13289="",11393.55253="",3777.24465=""),"-",(3777.24465-11393.55253)/2294320.13289*100)</f>
        <v>-0.33196360746772735</v>
      </c>
      <c r="G62" s="29">
        <f>IF(OR(1986828.81646="",4535.7531="",3777.24465=""),"-",(4535.7531-3777.24465)/1986828.81646*100)</f>
        <v>3.8176839580546254E-2</v>
      </c>
    </row>
    <row r="63" spans="1:7" s="30" customFormat="1" x14ac:dyDescent="0.2">
      <c r="A63" s="27" t="s">
        <v>63</v>
      </c>
      <c r="B63" s="28">
        <v>4047.5520900000001</v>
      </c>
      <c r="C63" s="28" t="s">
        <v>371</v>
      </c>
      <c r="D63" s="29">
        <f>IF(221.70042="","-",221.70042/1986828.81646*100)</f>
        <v>1.1158506367700622E-2</v>
      </c>
      <c r="E63" s="29">
        <f>IF(4047.55209="","-",4047.55209/2455618.67545*100)</f>
        <v>0.16482820115620245</v>
      </c>
      <c r="F63" s="29">
        <f>IF(OR(2294320.13289="",2348.39035="",221.70042=""),"-",(221.70042-2348.39035)/2294320.13289*100)</f>
        <v>-9.2693687315603707E-2</v>
      </c>
      <c r="G63" s="29">
        <f>IF(OR(1986828.81646="",4047.55209="",221.70042=""),"-",(4047.55209-221.70042)/1986828.81646*100)</f>
        <v>0.1925607097251916</v>
      </c>
    </row>
    <row r="64" spans="1:7" s="32" customFormat="1" x14ac:dyDescent="0.2">
      <c r="A64" s="27" t="s">
        <v>61</v>
      </c>
      <c r="B64" s="28">
        <v>3938.6054100000001</v>
      </c>
      <c r="C64" s="28" t="s">
        <v>104</v>
      </c>
      <c r="D64" s="29">
        <f>IF(2444.82321="","-",2444.82321/1986828.81646*100)</f>
        <v>0.12305152762763046</v>
      </c>
      <c r="E64" s="29">
        <f>IF(3938.60541="","-",3938.60541/2455618.67545*100)</f>
        <v>0.16039157257501463</v>
      </c>
      <c r="F64" s="29">
        <f>IF(OR(2294320.13289="",8603.67817="",2444.82321=""),"-",(2444.82321-8603.67817)/2294320.13289*100)</f>
        <v>-0.26843921524770414</v>
      </c>
      <c r="G64" s="29">
        <f>IF(OR(1986828.81646="",3938.60541="",2444.82321=""),"-",(3938.60541-2444.82321)/1986828.81646*100)</f>
        <v>7.5184242730157419E-2</v>
      </c>
    </row>
    <row r="65" spans="1:7" s="32" customFormat="1" x14ac:dyDescent="0.2">
      <c r="A65" s="27" t="s">
        <v>37</v>
      </c>
      <c r="B65" s="28">
        <v>3778.5904999999998</v>
      </c>
      <c r="C65" s="28">
        <f>IF(OR(3405.83772="",3778.5905=""),"-",3778.5905/3405.83772*100)</f>
        <v>110.94452556594506</v>
      </c>
      <c r="D65" s="29">
        <f>IF(3405.83772="","-",3405.83772/1986828.81646*100)</f>
        <v>0.171420793365998</v>
      </c>
      <c r="E65" s="29">
        <f>IF(3778.5905="","-",3778.5905/2455618.67545*100)</f>
        <v>0.15387529577683964</v>
      </c>
      <c r="F65" s="29">
        <f>IF(OR(2294320.13289="",2587.84366="",3405.83772=""),"-",(3405.83772-2587.84366)/2294320.13289*100)</f>
        <v>3.5653004490250807E-2</v>
      </c>
      <c r="G65" s="29">
        <f>IF(OR(1986828.81646="",3778.5905="",3405.83772=""),"-",(3778.5905-3405.83772)/1986828.81646*100)</f>
        <v>1.8761192555287479E-2</v>
      </c>
    </row>
    <row r="66" spans="1:7" s="30" customFormat="1" x14ac:dyDescent="0.2">
      <c r="A66" s="27" t="s">
        <v>71</v>
      </c>
      <c r="B66" s="28">
        <v>3323.84276</v>
      </c>
      <c r="C66" s="28" t="s">
        <v>345</v>
      </c>
      <c r="D66" s="29">
        <f>IF(312.37617="","-",312.37617/1986828.81646*100)</f>
        <v>1.5722349475309667E-2</v>
      </c>
      <c r="E66" s="29">
        <f>IF(3323.84276="","-",3323.84276/2455618.67545*100)</f>
        <v>0.13535663306481799</v>
      </c>
      <c r="F66" s="29">
        <f>IF(OR(2294320.13289="",1362.36235="",312.37617=""),"-",(312.37617-1362.36235)/2294320.13289*100)</f>
        <v>-4.5764589036552776E-2</v>
      </c>
      <c r="G66" s="29">
        <f>IF(OR(1986828.81646="",3323.84276="",312.37617=""),"-",(3323.84276-312.37617)/1986828.81646*100)</f>
        <v>0.15157151763913065</v>
      </c>
    </row>
    <row r="67" spans="1:7" s="31" customFormat="1" x14ac:dyDescent="0.2">
      <c r="A67" s="27" t="s">
        <v>76</v>
      </c>
      <c r="B67" s="28">
        <v>2892.0477999999998</v>
      </c>
      <c r="C67" s="28" t="s">
        <v>103</v>
      </c>
      <c r="D67" s="29">
        <f>IF(1747.95083="","-",1747.95083/1986828.81646*100)</f>
        <v>8.7976921590778162E-2</v>
      </c>
      <c r="E67" s="29">
        <f>IF(2892.0478="","-",2892.0478/2455618.67545*100)</f>
        <v>0.11777267492356169</v>
      </c>
      <c r="F67" s="29">
        <f>IF(OR(2294320.13289="",1510.39452="",1747.95083=""),"-",(1747.95083-1510.39452)/2294320.13289*100)</f>
        <v>1.0354104756112056E-2</v>
      </c>
      <c r="G67" s="29">
        <f>IF(OR(1986828.81646="",2892.0478="",1747.95083=""),"-",(2892.0478-1747.95083)/1986828.81646*100)</f>
        <v>5.7584073701853991E-2</v>
      </c>
    </row>
    <row r="68" spans="1:7" s="32" customFormat="1" x14ac:dyDescent="0.2">
      <c r="A68" s="27" t="s">
        <v>130</v>
      </c>
      <c r="B68" s="28">
        <v>2761.7769899999998</v>
      </c>
      <c r="C68" s="28" t="s">
        <v>95</v>
      </c>
      <c r="D68" s="29">
        <f>IF(1301.40623="","-",1301.40623/1986828.81646*100)</f>
        <v>6.5501678816938011E-2</v>
      </c>
      <c r="E68" s="29">
        <f>IF(2761.77699="","-",2761.77699/2455618.67545*100)</f>
        <v>0.1124676651798918</v>
      </c>
      <c r="F68" s="29">
        <f>IF(OR(2294320.13289="",1108.07383="",1301.40623=""),"-",(1301.40623-1108.07383)/2294320.13289*100)</f>
        <v>8.4265659891356245E-3</v>
      </c>
      <c r="G68" s="29">
        <f>IF(OR(1986828.81646="",2761.77699="",1301.40623=""),"-",(2761.77699-1301.40623)/1986828.81646*100)</f>
        <v>7.3502596091896424E-2</v>
      </c>
    </row>
    <row r="69" spans="1:7" s="32" customFormat="1" x14ac:dyDescent="0.2">
      <c r="A69" s="27" t="s">
        <v>215</v>
      </c>
      <c r="B69" s="28">
        <v>2095.8048600000002</v>
      </c>
      <c r="C69" s="28" t="s">
        <v>372</v>
      </c>
      <c r="D69" s="29">
        <f>IF(15.83932="","-",15.83932/1986828.81646*100)</f>
        <v>7.972161400508301E-4</v>
      </c>
      <c r="E69" s="29">
        <f>IF(2095.80486="","-",2095.80486/2455618.67545*100)</f>
        <v>8.5347325338122268E-2</v>
      </c>
      <c r="F69" s="29">
        <f>IF(OR(2294320.13289="",413.69755="",15.83932=""),"-",(15.83932-413.69755)/2294320.13289*100)</f>
        <v>-1.7341007660463009E-2</v>
      </c>
      <c r="G69" s="29">
        <f>IF(OR(1986828.81646="",2095.80486="",15.83932=""),"-",(2095.80486-15.83932)/1986828.81646*100)</f>
        <v>0.10468770750496487</v>
      </c>
    </row>
    <row r="70" spans="1:7" s="32" customFormat="1" x14ac:dyDescent="0.2">
      <c r="A70" s="27" t="s">
        <v>77</v>
      </c>
      <c r="B70" s="33">
        <v>2086.3466199999998</v>
      </c>
      <c r="C70" s="28" t="s">
        <v>105</v>
      </c>
      <c r="D70" s="29">
        <f>IF(1072.13903="","-",1072.13903/1986828.81646*100)</f>
        <v>5.3962325345686624E-2</v>
      </c>
      <c r="E70" s="29">
        <f>IF(2086.34662="","-",2086.34662/2455618.67545*100)</f>
        <v>8.496215804425214E-2</v>
      </c>
      <c r="F70" s="29">
        <f>IF(OR(2294320.13289="",1389.4716="",1072.13903=""),"-",(1072.13903-1389.4716)/2294320.13289*100)</f>
        <v>-1.3831224572844488E-2</v>
      </c>
      <c r="G70" s="29">
        <f>IF(OR(1986828.81646="",2086.34662="",1072.13903=""),"-",(2086.34662-1072.13903)/1986828.81646*100)</f>
        <v>5.1046551247784282E-2</v>
      </c>
    </row>
    <row r="71" spans="1:7" s="32" customFormat="1" x14ac:dyDescent="0.2">
      <c r="A71" s="27" t="s">
        <v>91</v>
      </c>
      <c r="B71" s="33">
        <v>2005.1079999999999</v>
      </c>
      <c r="C71" s="28" t="s">
        <v>373</v>
      </c>
      <c r="D71" s="29">
        <f>IF(284.8701="","-",284.8701/1986828.81646*100)</f>
        <v>1.4337928745545512E-2</v>
      </c>
      <c r="E71" s="29">
        <f>IF(2005.108="","-",2005.108/2455618.67545*100)</f>
        <v>8.1653882992747534E-2</v>
      </c>
      <c r="F71" s="29">
        <f>IF(OR(2294320.13289="",1176.88262="",284.8701=""),"-",(284.8701-1176.88262)/2294320.13289*100)</f>
        <v>-3.8879165431739124E-2</v>
      </c>
      <c r="G71" s="29">
        <f>IF(OR(1986828.81646="",2005.108="",284.8701=""),"-",(2005.108-284.8701)/1986828.81646*100)</f>
        <v>8.6582089294688511E-2</v>
      </c>
    </row>
    <row r="72" spans="1:7" s="32" customFormat="1" x14ac:dyDescent="0.2">
      <c r="A72" s="27" t="s">
        <v>368</v>
      </c>
      <c r="B72" s="28">
        <v>1250.03376</v>
      </c>
      <c r="C72" s="28">
        <f>IF(OR(1112.56548="",1250.03376=""),"-",1250.03376/1112.56548*100)</f>
        <v>112.35597207276287</v>
      </c>
      <c r="D72" s="29">
        <f>IF(1112.56548="","-",1112.56548/1986828.81646*100)</f>
        <v>5.5997047696454069E-2</v>
      </c>
      <c r="E72" s="29">
        <f>IF(1250.03376="","-",1250.03376/2455618.67545*100)</f>
        <v>5.0905043706386016E-2</v>
      </c>
      <c r="F72" s="29">
        <f>IF(OR(2294320.13289="",1194.64838="",1112.56548=""),"-",(1112.56548-1194.64838)/2294320.13289*100)</f>
        <v>-3.5776567891859898E-3</v>
      </c>
      <c r="G72" s="29">
        <f>IF(OR(1986828.81646="",1250.03376="",1112.56548=""),"-",(1250.03376-1112.56548)/1986828.81646*100)</f>
        <v>6.9189795749455621E-3</v>
      </c>
    </row>
    <row r="73" spans="1:7" s="32" customFormat="1" x14ac:dyDescent="0.2">
      <c r="A73" s="27" t="s">
        <v>88</v>
      </c>
      <c r="B73" s="28">
        <v>1136.30573</v>
      </c>
      <c r="C73" s="28" t="s">
        <v>374</v>
      </c>
      <c r="D73" s="29">
        <f>IF(40.1874="","-",40.1874/1986828.81646*100)</f>
        <v>2.0226906146651952E-3</v>
      </c>
      <c r="E73" s="29">
        <f>IF(1136.30573="","-",1136.30573/2455618.67545*100)</f>
        <v>4.6273704519361844E-2</v>
      </c>
      <c r="F73" s="29">
        <f>IF(OR(2294320.13289="",4.15058="",40.1874=""),"-",(40.1874-4.15058)/2294320.13289*100)</f>
        <v>1.570697109065022E-3</v>
      </c>
      <c r="G73" s="29">
        <f>IF(OR(1986828.81646="",1136.30573="",40.1874=""),"-",(1136.30573-40.1874)/1986828.81646*100)</f>
        <v>5.5169238583573151E-2</v>
      </c>
    </row>
    <row r="74" spans="1:7" s="32" customFormat="1" x14ac:dyDescent="0.2">
      <c r="A74" s="27" t="s">
        <v>36</v>
      </c>
      <c r="B74" s="28">
        <v>1004.7368300000001</v>
      </c>
      <c r="C74" s="28" t="s">
        <v>206</v>
      </c>
      <c r="D74" s="29">
        <f>IF(544.40187="","-",544.40187/1986828.81646*100)</f>
        <v>2.7400542285770709E-2</v>
      </c>
      <c r="E74" s="29">
        <f>IF(1004.73683="","-",1004.73683/2455618.67545*100)</f>
        <v>4.0915832740841929E-2</v>
      </c>
      <c r="F74" s="29">
        <f>IF(OR(2294320.13289="",305.41804="",544.40187=""),"-",(544.40187-305.41804)/2294320.13289*100)</f>
        <v>1.0416324495177064E-2</v>
      </c>
      <c r="G74" s="29">
        <f>IF(OR(1986828.81646="",1004.73683="",544.40187=""),"-",(1004.73683-544.40187)/1986828.81646*100)</f>
        <v>2.3169331760558739E-2</v>
      </c>
    </row>
    <row r="75" spans="1:7" s="32" customFormat="1" x14ac:dyDescent="0.2">
      <c r="A75" s="27" t="s">
        <v>70</v>
      </c>
      <c r="B75" s="33">
        <v>964.51414</v>
      </c>
      <c r="C75" s="28">
        <f>IF(OR(908.51278="",964.51414=""),"-",964.51414/908.51278*100)</f>
        <v>106.16406959074367</v>
      </c>
      <c r="D75" s="29">
        <f>IF(908.51278="","-",908.51278/1986828.81646*100)</f>
        <v>4.5726776885525948E-2</v>
      </c>
      <c r="E75" s="29">
        <f>IF(964.51414="","-",964.51414/2455618.67545*100)</f>
        <v>3.9277846745616955E-2</v>
      </c>
      <c r="F75" s="29">
        <f>IF(OR(2294320.13289="",2722.79827="",908.51278=""),"-",(908.51278-2722.79827)/2294320.13289*100)</f>
        <v>-7.9077259707199934E-2</v>
      </c>
      <c r="G75" s="29">
        <f>IF(OR(1986828.81646="",964.51414="",908.51278=""),"-",(964.51414-908.51278)/1986828.81646*100)</f>
        <v>2.8186303488279122E-3</v>
      </c>
    </row>
    <row r="76" spans="1:7" s="32" customFormat="1" x14ac:dyDescent="0.2">
      <c r="A76" s="27" t="s">
        <v>67</v>
      </c>
      <c r="B76" s="28">
        <v>962.01026999999999</v>
      </c>
      <c r="C76" s="28">
        <f>IF(OR(3143.24012="",962.01027=""),"-",962.01027/3143.24012*100)</f>
        <v>30.605688183949496</v>
      </c>
      <c r="D76" s="29">
        <f>IF(3143.24012="","-",3143.24012/1986828.81646*100)</f>
        <v>0.15820387211820378</v>
      </c>
      <c r="E76" s="29">
        <f>IF(962.01027="","-",962.01027/2455618.67545*100)</f>
        <v>3.917588181005785E-2</v>
      </c>
      <c r="F76" s="29">
        <f>IF(OR(2294320.13289="",22.26872="",3143.24012=""),"-",(3143.24012-22.26872)/2294320.13289*100)</f>
        <v>0.13603033662389227</v>
      </c>
      <c r="G76" s="29">
        <f>IF(OR(1986828.81646="",962.01027="",3143.24012=""),"-",(962.01027-3143.24012)/1986828.81646*100)</f>
        <v>-0.1097844883227721</v>
      </c>
    </row>
    <row r="77" spans="1:7" x14ac:dyDescent="0.2">
      <c r="A77" s="27" t="s">
        <v>145</v>
      </c>
      <c r="B77" s="28">
        <v>928.75843999999995</v>
      </c>
      <c r="C77" s="28" t="s">
        <v>214</v>
      </c>
      <c r="D77" s="29">
        <f>IF(368.54941="","-",368.54941/1986828.81646*100)</f>
        <v>1.8549630795906061E-2</v>
      </c>
      <c r="E77" s="29">
        <f>IF(928.75844="","-",928.75844/2455618.67545*100)</f>
        <v>3.7821769694344011E-2</v>
      </c>
      <c r="F77" s="29">
        <f>IF(OR(2294320.13289="",790.71753="",368.54941=""),"-",(368.54941-790.71753)/2294320.13289*100)</f>
        <v>-1.8400576011518642E-2</v>
      </c>
      <c r="G77" s="29">
        <f>IF(OR(1986828.81646="",928.75844="",368.54941=""),"-",(928.75844-368.54941)/1986828.81646*100)</f>
        <v>2.8196139765988663E-2</v>
      </c>
    </row>
    <row r="78" spans="1:7" x14ac:dyDescent="0.2">
      <c r="A78" s="27" t="s">
        <v>109</v>
      </c>
      <c r="B78" s="33">
        <v>889.48889999999994</v>
      </c>
      <c r="C78" s="28" t="s">
        <v>104</v>
      </c>
      <c r="D78" s="29">
        <f>IF(557.97836="","-",557.97836/1986828.81646*100)</f>
        <v>2.8083866882611906E-2</v>
      </c>
      <c r="E78" s="29">
        <f>IF(889.4889="","-",889.4889/2455618.67545*100)</f>
        <v>3.622259876472874E-2</v>
      </c>
      <c r="F78" s="29">
        <f>IF(OR(2294320.13289="",962.50047="",557.97836=""),"-",(557.97836-962.50047)/2294320.13289*100)</f>
        <v>-1.7631458844867075E-2</v>
      </c>
      <c r="G78" s="29">
        <f>IF(OR(1986828.81646="",889.4889="",557.97836=""),"-",(889.4889-557.97836)/1986828.81646*100)</f>
        <v>1.6685410300755731E-2</v>
      </c>
    </row>
    <row r="79" spans="1:7" x14ac:dyDescent="0.2">
      <c r="A79" s="27" t="s">
        <v>38</v>
      </c>
      <c r="B79" s="28">
        <v>851.80106999999998</v>
      </c>
      <c r="C79" s="28">
        <f>IF(OR(1078.97129="",851.80107=""),"-",851.80107/1078.97129*100)</f>
        <v>78.945665922213749</v>
      </c>
      <c r="D79" s="29">
        <f>IF(1078.97129="","-",1078.97129/1986828.81646*100)</f>
        <v>5.4306202983427608E-2</v>
      </c>
      <c r="E79" s="29">
        <f>IF(851.80107="","-",851.80107/2455618.67545*100)</f>
        <v>3.4687839708822242E-2</v>
      </c>
      <c r="F79" s="29">
        <f>IF(OR(2294320.13289="",777.77764="",1078.97129=""),"-",(1078.97129-777.77764)/2294320.13289*100)</f>
        <v>1.3127795275047632E-2</v>
      </c>
      <c r="G79" s="29">
        <f>IF(OR(1986828.81646="",851.80107="",1078.97129=""),"-",(851.80107-1078.97129)/1986828.81646*100)</f>
        <v>-1.1433809401091576E-2</v>
      </c>
    </row>
    <row r="80" spans="1:7" x14ac:dyDescent="0.2">
      <c r="A80" s="27" t="s">
        <v>129</v>
      </c>
      <c r="B80" s="28">
        <v>825.54255000000001</v>
      </c>
      <c r="C80" s="28">
        <f>IF(OR(583.12623="",825.54255=""),"-",825.54255/583.12623*100)</f>
        <v>141.57184285810641</v>
      </c>
      <c r="D80" s="29">
        <f>IF(583.12623="","-",583.12623/1986828.81646*100)</f>
        <v>2.9349595957591137E-2</v>
      </c>
      <c r="E80" s="29">
        <f>IF(825.54255="","-",825.54255/2455618.67545*100)</f>
        <v>3.3618515702513001E-2</v>
      </c>
      <c r="F80" s="29">
        <f>IF(OR(2294320.13289="",117.36746="",583.12623=""),"-",(583.12623-117.36746)/2294320.13289*100)</f>
        <v>2.0300513573636086E-2</v>
      </c>
      <c r="G80" s="29">
        <f>IF(OR(1986828.81646="",825.54255="",583.12623=""),"-",(825.54255-583.12623)/1986828.81646*100)</f>
        <v>1.2201167910978934E-2</v>
      </c>
    </row>
    <row r="81" spans="1:7" x14ac:dyDescent="0.2">
      <c r="A81" s="27" t="s">
        <v>93</v>
      </c>
      <c r="B81" s="28">
        <v>800.47095000000002</v>
      </c>
      <c r="C81" s="28">
        <f>IF(OR(694.84352="",800.47095=""),"-",800.47095/694.84352*100)</f>
        <v>115.20161402670921</v>
      </c>
      <c r="D81" s="29">
        <f>IF(694.84352="","-",694.84352/1986828.81646*100)</f>
        <v>3.4972490545915585E-2</v>
      </c>
      <c r="E81" s="29">
        <f>IF(800.47095="","-",800.47095/2455618.67545*100)</f>
        <v>3.2597526562356476E-2</v>
      </c>
      <c r="F81" s="29">
        <f>IF(OR(2294320.13289="",211.31273="",694.84352=""),"-",(694.84352-211.31273)/2294320.13289*100)</f>
        <v>2.1075122999113859E-2</v>
      </c>
      <c r="G81" s="29">
        <f>IF(OR(1986828.81646="",800.47095="",694.84352=""),"-",(800.47095-694.84352)/1986828.81646*100)</f>
        <v>5.3163830283174552E-3</v>
      </c>
    </row>
    <row r="82" spans="1:7" x14ac:dyDescent="0.2">
      <c r="A82" s="27" t="s">
        <v>39</v>
      </c>
      <c r="B82" s="28">
        <v>763.45407999999998</v>
      </c>
      <c r="C82" s="28">
        <f>IF(OR(1851.2364="",763.45408=""),"-",763.45408/1851.2364*100)</f>
        <v>41.240226261756732</v>
      </c>
      <c r="D82" s="29">
        <f>IF(1851.2364="","-",1851.2364/1986828.81646*100)</f>
        <v>9.3175435380407387E-2</v>
      </c>
      <c r="E82" s="29">
        <f>IF(763.45408="","-",763.45408/2455618.67545*100)</f>
        <v>3.1090090966998146E-2</v>
      </c>
      <c r="F82" s="29">
        <f>IF(OR(2294320.13289="",1443.63853="",1851.2364=""),"-",(1851.2364-1443.63853)/2294320.13289*100)</f>
        <v>1.7765518602086996E-2</v>
      </c>
      <c r="G82" s="29">
        <f>IF(OR(1986828.81646="",763.45408="",1851.2364=""),"-",(763.45408-1851.2364)/1986828.81646*100)</f>
        <v>-5.4749675009150442E-2</v>
      </c>
    </row>
    <row r="83" spans="1:7" x14ac:dyDescent="0.2">
      <c r="A83" s="27" t="s">
        <v>64</v>
      </c>
      <c r="B83" s="33">
        <v>741.10898999999995</v>
      </c>
      <c r="C83" s="28" t="s">
        <v>103</v>
      </c>
      <c r="D83" s="29">
        <f>IF(432.21897="","-",432.21897/1986828.81646*100)</f>
        <v>2.1754212865207942E-2</v>
      </c>
      <c r="E83" s="29">
        <f>IF(741.10899="","-",741.10899/2455618.67545*100)</f>
        <v>3.0180133316675864E-2</v>
      </c>
      <c r="F83" s="29">
        <f>IF(OR(2294320.13289="",1381.08767="",432.21897=""),"-",(432.21897-1381.08767)/2294320.13289*100)</f>
        <v>-4.1357293012321439E-2</v>
      </c>
      <c r="G83" s="29">
        <f>IF(OR(1986828.81646="",741.10899="",432.21897=""),"-",(741.10899-432.21897)/1986828.81646*100)</f>
        <v>1.5546886447437364E-2</v>
      </c>
    </row>
    <row r="84" spans="1:7" x14ac:dyDescent="0.2">
      <c r="A84" s="27" t="s">
        <v>220</v>
      </c>
      <c r="B84" s="28">
        <v>723.68097999999998</v>
      </c>
      <c r="C84" s="28" t="s">
        <v>373</v>
      </c>
      <c r="D84" s="29">
        <f>IF(103.21716="","-",103.21716/1986828.81646*100)</f>
        <v>5.1950706142819851E-3</v>
      </c>
      <c r="E84" s="29">
        <f>IF(723.68098="","-",723.68098/2455618.67545*100)</f>
        <v>2.9470413596173809E-2</v>
      </c>
      <c r="F84" s="29">
        <f>IF(OR(2294320.13289="",3056.10171="",103.21716=""),"-",(103.21716-3056.10171)/2294320.13289*100)</f>
        <v>-0.12870412056579264</v>
      </c>
      <c r="G84" s="29">
        <f>IF(OR(1986828.81646="",723.68098="",103.21716=""),"-",(723.68098-103.21716)/1986828.81646*100)</f>
        <v>3.1228851467209003E-2</v>
      </c>
    </row>
    <row r="85" spans="1:7" x14ac:dyDescent="0.2">
      <c r="A85" s="27" t="s">
        <v>96</v>
      </c>
      <c r="B85" s="33">
        <v>664.75986</v>
      </c>
      <c r="C85" s="28" t="s">
        <v>103</v>
      </c>
      <c r="D85" s="29">
        <f>IF(400.88229="","-",400.88229/1986828.81646*100)</f>
        <v>2.0176991932010807E-2</v>
      </c>
      <c r="E85" s="29">
        <f>IF(664.75986="","-",664.75986/2455618.67545*100)</f>
        <v>2.7070972649211534E-2</v>
      </c>
      <c r="F85" s="29">
        <f>IF(OR(2294320.13289="",643.61443="",400.88229=""),"-",(400.88229-643.61443)/2294320.13289*100)</f>
        <v>-1.0579697947132019E-2</v>
      </c>
      <c r="G85" s="29">
        <f>IF(OR(1986828.81646="",664.75986="",400.88229=""),"-",(664.75986-400.88229)/1986828.81646*100)</f>
        <v>1.3281344009805513E-2</v>
      </c>
    </row>
    <row r="86" spans="1:7" x14ac:dyDescent="0.2">
      <c r="A86" s="27" t="s">
        <v>323</v>
      </c>
      <c r="B86" s="33">
        <v>662.95096999999998</v>
      </c>
      <c r="C86" s="28" t="s">
        <v>347</v>
      </c>
      <c r="D86" s="29">
        <f>IF(50.40516="","-",50.40516/1986828.81646*100)</f>
        <v>2.5369654185813844E-3</v>
      </c>
      <c r="E86" s="29">
        <f>IF(662.95097="","-",662.95097/2455618.67545*100)</f>
        <v>2.6997309339102177E-2</v>
      </c>
      <c r="F86" s="29">
        <f>IF(OR(2294320.13289="",30.4369="",50.40516=""),"-",(50.40516-30.4369)/2294320.13289*100)</f>
        <v>8.7033451495050656E-4</v>
      </c>
      <c r="G86" s="29">
        <f>IF(OR(1986828.81646="",662.95097="",50.40516=""),"-",(662.95097-50.40516)/1986828.81646*100)</f>
        <v>3.0830326444096657E-2</v>
      </c>
    </row>
    <row r="87" spans="1:7" x14ac:dyDescent="0.2">
      <c r="A87" s="27" t="s">
        <v>87</v>
      </c>
      <c r="B87" s="28">
        <v>642.87940000000003</v>
      </c>
      <c r="C87" s="28">
        <f>IF(OR(1154.43476="",642.8794=""),"-",642.8794/1154.43476*100)</f>
        <v>55.687806905606344</v>
      </c>
      <c r="D87" s="29">
        <f>IF(1154.43476="","-",1154.43476/1986828.81646*100)</f>
        <v>5.8104389791209868E-2</v>
      </c>
      <c r="E87" s="29">
        <f>IF(642.8794="","-",642.8794/2455618.67545*100)</f>
        <v>2.6179936096234091E-2</v>
      </c>
      <c r="F87" s="29">
        <f>IF(OR(2294320.13289="",441.48425="",1154.43476=""),"-",(1154.43476-441.48425)/2294320.13289*100)</f>
        <v>3.1074587185091061E-2</v>
      </c>
      <c r="G87" s="29">
        <f>IF(OR(1986828.81646="",642.8794="",1154.43476=""),"-",(642.8794-1154.43476)/1986828.81646*100)</f>
        <v>-2.5747329400600073E-2</v>
      </c>
    </row>
    <row r="88" spans="1:7" x14ac:dyDescent="0.2">
      <c r="A88" s="27" t="s">
        <v>78</v>
      </c>
      <c r="B88" s="33">
        <v>609.43826999999999</v>
      </c>
      <c r="C88" s="28" t="s">
        <v>375</v>
      </c>
      <c r="D88" s="29">
        <f>IF(214.28593="","-",214.28593/1986828.81646*100)</f>
        <v>1.0785324242568643E-2</v>
      </c>
      <c r="E88" s="29">
        <f>IF(609.43827="","-",609.43827/2455618.67545*100)</f>
        <v>2.4818115128902026E-2</v>
      </c>
      <c r="F88" s="29">
        <f>IF(OR(2294320.13289="",98.36857="",214.28593=""),"-",(214.28593-98.36857)/2294320.13289*100)</f>
        <v>5.0523620630912886E-3</v>
      </c>
      <c r="G88" s="29">
        <f>IF(OR(1986828.81646="",609.43827="",214.28593=""),"-",(609.43827-214.28593)/1986828.81646*100)</f>
        <v>1.9888595168659588E-2</v>
      </c>
    </row>
    <row r="89" spans="1:7" x14ac:dyDescent="0.2">
      <c r="A89" s="27" t="s">
        <v>72</v>
      </c>
      <c r="B89" s="33">
        <v>591.46023000000002</v>
      </c>
      <c r="C89" s="28">
        <f>IF(OR(860.24032="",591.46023=""),"-",591.46023/860.24032*100)</f>
        <v>68.755232258818097</v>
      </c>
      <c r="D89" s="29">
        <f>IF(860.24032="","-",860.24032/1986828.81646*100)</f>
        <v>4.3297153376943627E-2</v>
      </c>
      <c r="E89" s="29">
        <f>IF(591.46023="","-",591.46023/2455618.67545*100)</f>
        <v>2.4085996572395876E-2</v>
      </c>
      <c r="F89" s="29">
        <f>IF(OR(2294320.13289="",1076.64457="",860.24032=""),"-",(860.24032-1076.64457)/2294320.13289*100)</f>
        <v>-9.4321732568074593E-3</v>
      </c>
      <c r="G89" s="29">
        <f>IF(OR(1986828.81646="",591.46023="",860.24032=""),"-",(591.46023-860.24032)/1986828.81646*100)</f>
        <v>-1.3528095011169333E-2</v>
      </c>
    </row>
    <row r="90" spans="1:7" x14ac:dyDescent="0.2">
      <c r="A90" s="27" t="s">
        <v>135</v>
      </c>
      <c r="B90" s="28">
        <v>539.57824000000005</v>
      </c>
      <c r="C90" s="28" t="s">
        <v>316</v>
      </c>
      <c r="D90" s="29">
        <f>IF(93.00495="","-",93.00495/1986828.81646*100)</f>
        <v>4.6810751499824759E-3</v>
      </c>
      <c r="E90" s="29">
        <f>IF(539.57824="","-",539.57824/2455618.67545*100)</f>
        <v>2.1973209659725389E-2</v>
      </c>
      <c r="F90" s="29">
        <f>IF(OR(2294320.13289="",73.67265="",93.00495=""),"-",(93.00495-73.67265)/2294320.13289*100)</f>
        <v>8.4261562817079057E-4</v>
      </c>
      <c r="G90" s="29">
        <f>IF(OR(1986828.81646="",539.57824="",93.00495=""),"-",(539.57824-93.00495)/1986828.81646*100)</f>
        <v>2.2476686783498276E-2</v>
      </c>
    </row>
    <row r="91" spans="1:7" x14ac:dyDescent="0.2">
      <c r="A91" s="27" t="s">
        <v>138</v>
      </c>
      <c r="B91" s="33">
        <v>526.38316999999995</v>
      </c>
      <c r="C91" s="28">
        <f>IF(OR(373.62652="",526.38317=""),"-",526.38317/373.62652*100)</f>
        <v>140.88485207099322</v>
      </c>
      <c r="D91" s="29">
        <f>IF(373.62652="","-",373.62652/1986828.81646*100)</f>
        <v>1.8805169167301641E-2</v>
      </c>
      <c r="E91" s="29">
        <f>IF(526.38317="","-",526.38317/2455618.67545*100)</f>
        <v>2.143586768021051E-2</v>
      </c>
      <c r="F91" s="29">
        <f>IF(OR(2294320.13289="",381.63628="",373.62652=""),"-",(373.62652-381.63628)/2294320.13289*100)</f>
        <v>-3.4911257087347344E-4</v>
      </c>
      <c r="G91" s="29">
        <f>IF(OR(1986828.81646="",526.38317="",373.62652=""),"-",(526.38317-373.62652)/1986828.81646*100)</f>
        <v>7.6884655957513044E-3</v>
      </c>
    </row>
    <row r="92" spans="1:7" x14ac:dyDescent="0.2">
      <c r="A92" s="27" t="s">
        <v>125</v>
      </c>
      <c r="B92" s="28">
        <v>501.03807999999998</v>
      </c>
      <c r="C92" s="28">
        <f>IF(OR(1073.12719="",501.03808=""),"-",501.03808/1073.12719*100)</f>
        <v>46.689533605051977</v>
      </c>
      <c r="D92" s="29">
        <f>IF(1073.12719="","-",1073.12719/1986828.81646*100)</f>
        <v>5.4012060883636005E-2</v>
      </c>
      <c r="E92" s="29">
        <f>IF(501.03808="","-",501.03808/2455618.67545*100)</f>
        <v>2.0403741224527996E-2</v>
      </c>
      <c r="F92" s="29">
        <f>IF(OR(2294320.13289="",533.40478="",1073.12719=""),"-",(1073.12719-533.40478)/2294320.13289*100)</f>
        <v>2.3524285136274688E-2</v>
      </c>
      <c r="G92" s="29">
        <f>IF(OR(1986828.81646="",501.03808="",1073.12719=""),"-",(501.03808-1073.12719)/1986828.81646*100)</f>
        <v>-2.8794081566589635E-2</v>
      </c>
    </row>
    <row r="93" spans="1:7" x14ac:dyDescent="0.2">
      <c r="A93" s="27" t="s">
        <v>101</v>
      </c>
      <c r="B93" s="33">
        <v>498.91782999999998</v>
      </c>
      <c r="C93" s="28" t="s">
        <v>217</v>
      </c>
      <c r="D93" s="29">
        <f>IF(214.90947="","-",214.90947/1986828.81646*100)</f>
        <v>1.0816707922674057E-2</v>
      </c>
      <c r="E93" s="29">
        <f>IF(498.91783="","-",498.91783/2455618.67545*100)</f>
        <v>2.0317398421339655E-2</v>
      </c>
      <c r="F93" s="29">
        <f>IF(OR(2294320.13289="",477.81045="",214.90947=""),"-",(214.90947-477.81045)/2294320.13289*100)</f>
        <v>-1.145877492121561E-2</v>
      </c>
      <c r="G93" s="29">
        <f>IF(OR(1986828.81646="",498.91783="",214.90947=""),"-",(498.91783-214.90947)/1986828.81646*100)</f>
        <v>1.4294556111080938E-2</v>
      </c>
    </row>
    <row r="94" spans="1:7" x14ac:dyDescent="0.2">
      <c r="A94" s="27" t="s">
        <v>131</v>
      </c>
      <c r="B94" s="28">
        <v>478.42009000000002</v>
      </c>
      <c r="C94" s="28" t="s">
        <v>214</v>
      </c>
      <c r="D94" s="29">
        <f>IF(191.7536="","-",191.7536/1986828.81646*100)</f>
        <v>9.6512391209250658E-3</v>
      </c>
      <c r="E94" s="29">
        <f>IF(478.42009="","-",478.42009/2455618.67545*100)</f>
        <v>1.9482670285211445E-2</v>
      </c>
      <c r="F94" s="29">
        <f>IF(OR(2294320.13289="",251.06181="",191.7536=""),"-",(191.7536-251.06181)/2294320.13289*100)</f>
        <v>-2.5850015065375146E-3</v>
      </c>
      <c r="G94" s="29">
        <f>IF(OR(1986828.81646="",478.42009="",191.7536=""),"-",(478.42009-191.7536)/1986828.81646*100)</f>
        <v>1.4428343681402981E-2</v>
      </c>
    </row>
    <row r="95" spans="1:7" x14ac:dyDescent="0.2">
      <c r="A95" s="27" t="s">
        <v>83</v>
      </c>
      <c r="B95" s="28">
        <v>469.34875</v>
      </c>
      <c r="C95" s="28" t="s">
        <v>205</v>
      </c>
      <c r="D95" s="29">
        <f>IF(212.65668="","-",212.65668/1986828.81646*100)</f>
        <v>1.0703321707347571E-2</v>
      </c>
      <c r="E95" s="29">
        <f>IF(469.34875="","-",469.34875/2455618.67545*100)</f>
        <v>1.9113258694939284E-2</v>
      </c>
      <c r="F95" s="29">
        <f>IF(OR(2294320.13289="",686.30107="",212.65668=""),"-",(212.65668-686.30107)/2294320.13289*100)</f>
        <v>-2.0644215391309936E-2</v>
      </c>
      <c r="G95" s="29">
        <f>IF(OR(1986828.81646="",469.34875="",212.65668=""),"-",(469.34875-212.65668)/1986828.81646*100)</f>
        <v>1.2919687286263391E-2</v>
      </c>
    </row>
    <row r="96" spans="1:7" x14ac:dyDescent="0.2">
      <c r="A96" s="27" t="s">
        <v>84</v>
      </c>
      <c r="B96" s="33">
        <v>440.56425999999999</v>
      </c>
      <c r="C96" s="28" t="s">
        <v>348</v>
      </c>
      <c r="D96" s="29">
        <f>IF(21.46641="","-",21.46641/1986828.81646*100)</f>
        <v>1.0804358091729023E-3</v>
      </c>
      <c r="E96" s="29">
        <f>IF(440.56426="","-",440.56426/2455618.67545*100)</f>
        <v>1.7941069776204775E-2</v>
      </c>
      <c r="F96" s="29">
        <f>IF(OR(2294320.13289="",4.79066="",21.46641=""),"-",(21.46641-4.79066)/2294320.13289*100)</f>
        <v>7.2682751465004511E-4</v>
      </c>
      <c r="G96" s="29">
        <f>IF(OR(1986828.81646="",440.56426="",21.46641=""),"-",(440.56426-21.46641)/1986828.81646*100)</f>
        <v>2.1093807706429425E-2</v>
      </c>
    </row>
    <row r="97" spans="1:7" x14ac:dyDescent="0.2">
      <c r="A97" s="27" t="s">
        <v>102</v>
      </c>
      <c r="B97" s="28">
        <v>405.04590000000002</v>
      </c>
      <c r="C97" s="28">
        <f>IF(OR(416.10737="",405.0459=""),"-",405.0459/416.10737*100)</f>
        <v>97.341678903692568</v>
      </c>
      <c r="D97" s="29">
        <f>IF(416.10737="","-",416.10737/1986828.81646*100)</f>
        <v>2.0943292474557146E-2</v>
      </c>
      <c r="E97" s="29">
        <f>IF(405.0459="","-",405.0459/2455618.67545*100)</f>
        <v>1.6494657906353235E-2</v>
      </c>
      <c r="F97" s="29">
        <f>IF(OR(2294320.13289="",100.98459="",416.10737=""),"-",(416.10737-100.98459)/2294320.13289*100)</f>
        <v>1.3734908894473291E-2</v>
      </c>
      <c r="G97" s="29">
        <f>IF(OR(1986828.81646="",405.0459="",416.10737=""),"-",(405.0459-416.10737)/1986828.81646*100)</f>
        <v>-5.5673996211251758E-4</v>
      </c>
    </row>
    <row r="98" spans="1:7" x14ac:dyDescent="0.2">
      <c r="A98" s="27" t="s">
        <v>81</v>
      </c>
      <c r="B98" s="28">
        <v>375.40028000000001</v>
      </c>
      <c r="C98" s="28" t="s">
        <v>376</v>
      </c>
      <c r="D98" s="29">
        <f>IF(11.756="","-",11.756/1986828.81646*100)</f>
        <v>5.9169667273832193E-4</v>
      </c>
      <c r="E98" s="29">
        <f>IF(375.40028="","-",375.40028/2455618.67545*100)</f>
        <v>1.5287401246498775E-2</v>
      </c>
      <c r="F98" s="29" t="str">
        <f>IF(OR(2294320.13289="",""="",11.756=""),"-",(11.756-"")/2294320.13289*100)</f>
        <v>-</v>
      </c>
      <c r="G98" s="29">
        <f>IF(OR(1986828.81646="",375.40028="",11.756=""),"-",(375.40028-11.756)/1986828.81646*100)</f>
        <v>1.8302748429425201E-2</v>
      </c>
    </row>
    <row r="99" spans="1:7" x14ac:dyDescent="0.2">
      <c r="A99" s="27" t="s">
        <v>143</v>
      </c>
      <c r="B99" s="28">
        <v>332.14800000000002</v>
      </c>
      <c r="C99" s="28">
        <f>IF(OR(223.9968="",332.148=""),"-",332.148/223.9968*100)</f>
        <v>148.28247546393521</v>
      </c>
      <c r="D99" s="29">
        <f>IF(223.9968="","-",223.9968/1986828.81646*100)</f>
        <v>1.1274086531475956E-2</v>
      </c>
      <c r="E99" s="29">
        <f>IF(332.148="","-",332.148/2455618.67545*100)</f>
        <v>1.3526041454263367E-2</v>
      </c>
      <c r="F99" s="29">
        <f>IF(OR(2294320.13289="",197.6455="",223.9968=""),"-",(223.9968-197.6455)/2294320.13289*100)</f>
        <v>1.1485450361631555E-3</v>
      </c>
      <c r="G99" s="29">
        <f>IF(OR(1986828.81646="",332.148="",223.9968=""),"-",(332.148-223.9968)/1986828.81646*100)</f>
        <v>5.4434080633427029E-3</v>
      </c>
    </row>
    <row r="100" spans="1:7" ht="16.5" customHeight="1" x14ac:dyDescent="0.2">
      <c r="A100" s="27" t="s">
        <v>126</v>
      </c>
      <c r="B100" s="33">
        <v>312.08550000000002</v>
      </c>
      <c r="C100" s="28">
        <f>IF(OR(329.95236="",312.0855=""),"-",312.0855/329.95236*100)</f>
        <v>94.585018273547135</v>
      </c>
      <c r="D100" s="29">
        <f>IF(329.95236="","-",329.95236/1986828.81646*100)</f>
        <v>1.6606984822572047E-2</v>
      </c>
      <c r="E100" s="29">
        <f>IF(312.0855="","-",312.0855/2455618.67545*100)</f>
        <v>1.2709037568416822E-2</v>
      </c>
      <c r="F100" s="29">
        <f>IF(OR(2294320.13289="",398.35659="",329.95236=""),"-",(329.95236-398.35659)/2294320.13289*100)</f>
        <v>-2.9814596934140923E-3</v>
      </c>
      <c r="G100" s="29">
        <f>IF(OR(1986828.81646="",312.0855="",329.95236=""),"-",(312.0855-329.95236)/1986828.81646*100)</f>
        <v>-8.9926519345707718E-4</v>
      </c>
    </row>
    <row r="101" spans="1:7" ht="15.75" customHeight="1" x14ac:dyDescent="0.2">
      <c r="A101" s="27" t="s">
        <v>107</v>
      </c>
      <c r="B101" s="33">
        <v>298.33006</v>
      </c>
      <c r="C101" s="28" t="s">
        <v>205</v>
      </c>
      <c r="D101" s="29">
        <f>IF(136.25444="","-",136.25444/1986828.81646*100)</f>
        <v>6.8578852325470669E-3</v>
      </c>
      <c r="E101" s="29">
        <f>IF(298.33006="","-",298.33006/2455618.67545*100)</f>
        <v>1.2148875677748708E-2</v>
      </c>
      <c r="F101" s="29">
        <f>IF(OR(2294320.13289="",423.15841="",136.25444=""),"-",(136.25444-423.15841)/2294320.13289*100)</f>
        <v>-1.2504966760615332E-2</v>
      </c>
      <c r="G101" s="29">
        <f>IF(OR(1986828.81646="",298.33006="",136.25444=""),"-",(298.33006-136.25444)/1986828.81646*100)</f>
        <v>8.1575029845185974E-3</v>
      </c>
    </row>
    <row r="102" spans="1:7" x14ac:dyDescent="0.2">
      <c r="A102" s="27" t="s">
        <v>90</v>
      </c>
      <c r="B102" s="33">
        <v>277.37867</v>
      </c>
      <c r="C102" s="28" t="s">
        <v>217</v>
      </c>
      <c r="D102" s="29">
        <f>IF(118.95241="","-",118.95241/1986828.81646*100)</f>
        <v>5.9870487590340839E-3</v>
      </c>
      <c r="E102" s="29">
        <f>IF(277.37867="","-",277.37867/2455618.67545*100)</f>
        <v>1.1295673582103274E-2</v>
      </c>
      <c r="F102" s="29">
        <f>IF(OR(2294320.13289="",109.51939="",118.95241=""),"-",(118.95241-109.51939)/2294320.13289*100)</f>
        <v>4.1114663401910966E-4</v>
      </c>
      <c r="G102" s="29">
        <f>IF(OR(1986828.81646="",277.37867="",118.95241=""),"-",(277.37867-118.95241)/1986828.81646*100)</f>
        <v>7.9738253586573923E-3</v>
      </c>
    </row>
    <row r="103" spans="1:7" x14ac:dyDescent="0.2">
      <c r="A103" s="27" t="s">
        <v>86</v>
      </c>
      <c r="B103" s="33">
        <v>259.20857999999998</v>
      </c>
      <c r="C103" s="28">
        <f>IF(OR(306.14438="",259.20858=""),"-",259.20858/306.14438*100)</f>
        <v>84.66873701878832</v>
      </c>
      <c r="D103" s="29">
        <f>IF(306.14438="","-",306.14438/1986828.81646*100)</f>
        <v>1.5408694370835018E-2</v>
      </c>
      <c r="E103" s="29">
        <f>IF(259.20858="","-",259.20858/2455618.67545*100)</f>
        <v>1.0555734185907313E-2</v>
      </c>
      <c r="F103" s="29">
        <f>IF(OR(2294320.13289="",135.5068="",306.14438=""),"-",(306.14438-135.5068)/2294320.13289*100)</f>
        <v>7.4373919120458301E-3</v>
      </c>
      <c r="G103" s="29">
        <f>IF(OR(1986828.81646="",259.20858="",306.14438=""),"-",(259.20858-306.14438)/1986828.81646*100)</f>
        <v>-2.3623474559638777E-3</v>
      </c>
    </row>
    <row r="104" spans="1:7" x14ac:dyDescent="0.2">
      <c r="A104" s="27" t="s">
        <v>354</v>
      </c>
      <c r="B104" s="33">
        <v>211.45376999999999</v>
      </c>
      <c r="C104" s="28" t="s">
        <v>104</v>
      </c>
      <c r="D104" s="29">
        <f>IF(129.72873="","-",129.72873/1986828.81646*100)</f>
        <v>6.5294367046247132E-3</v>
      </c>
      <c r="E104" s="29">
        <f>IF(211.45377="","-",211.45377/2455618.67545*100)</f>
        <v>8.6110181566057039E-3</v>
      </c>
      <c r="F104" s="29">
        <f>IF(OR(2294320.13289="",43.23246="",129.72873=""),"-",(129.72873-43.23246)/2294320.13289*100)</f>
        <v>3.7700174775107129E-3</v>
      </c>
      <c r="G104" s="29">
        <f>IF(OR(1986828.81646="",211.45377="",129.72873=""),"-",(211.45377-129.72873)/1986828.81646*100)</f>
        <v>4.1133407832091061E-3</v>
      </c>
    </row>
    <row r="105" spans="1:7" x14ac:dyDescent="0.2">
      <c r="A105" s="27" t="s">
        <v>69</v>
      </c>
      <c r="B105" s="28">
        <v>193.19476</v>
      </c>
      <c r="C105" s="28" t="s">
        <v>377</v>
      </c>
      <c r="D105" s="29">
        <f>IF(50.8221="","-",50.8221/1986828.81646*100)</f>
        <v>2.5579506185415338E-3</v>
      </c>
      <c r="E105" s="29">
        <f>IF(193.19476="","-",193.19476/2455618.67545*100)</f>
        <v>7.8674576770188659E-3</v>
      </c>
      <c r="F105" s="29">
        <f>IF(OR(2294320.13289="",236.3049="",50.8221=""),"-",(50.8221-236.3049)/2294320.13289*100)</f>
        <v>-8.0844341354560593E-3</v>
      </c>
      <c r="G105" s="29">
        <f>IF(OR(1986828.81646="",193.19476="",50.8221=""),"-",(193.19476-50.8221)/1986828.81646*100)</f>
        <v>7.165824192829566E-3</v>
      </c>
    </row>
    <row r="106" spans="1:7" x14ac:dyDescent="0.2">
      <c r="A106" s="27" t="s">
        <v>400</v>
      </c>
      <c r="B106" s="28">
        <v>189.88813999999999</v>
      </c>
      <c r="C106" s="28" t="str">
        <f>IF(OR(""="",189.88814=""),"-",189.88814/""*100)</f>
        <v>-</v>
      </c>
      <c r="D106" s="29" t="str">
        <f>IF(""="","-",""/1986828.81646*100)</f>
        <v>-</v>
      </c>
      <c r="E106" s="29">
        <f>IF(189.88814="","-",189.88814/2455618.67545*100)</f>
        <v>7.7328024052921154E-3</v>
      </c>
      <c r="F106" s="29" t="str">
        <f>IF(OR(2294320.13289="",""="",""=""),"-",(""-"")/2294320.13289*100)</f>
        <v>-</v>
      </c>
      <c r="G106" s="29" t="str">
        <f>IF(OR(1986828.81646="",189.88814="",""=""),"-",(189.88814-"")/1986828.81646*100)</f>
        <v>-</v>
      </c>
    </row>
    <row r="107" spans="1:7" x14ac:dyDescent="0.2">
      <c r="A107" s="27" t="s">
        <v>322</v>
      </c>
      <c r="B107" s="28">
        <v>173.40701000000001</v>
      </c>
      <c r="C107" s="28" t="str">
        <f>IF(OR(""="",173.40701=""),"-",173.40701/""*100)</f>
        <v>-</v>
      </c>
      <c r="D107" s="29" t="str">
        <f>IF(""="","-",""/1986828.81646*100)</f>
        <v>-</v>
      </c>
      <c r="E107" s="29">
        <f>IF(173.40701="","-",173.40701/2455618.67545*100)</f>
        <v>7.0616424175965605E-3</v>
      </c>
      <c r="F107" s="29" t="str">
        <f>IF(OR(2294320.13289="",""="",""=""),"-",(""-"")/2294320.13289*100)</f>
        <v>-</v>
      </c>
      <c r="G107" s="29" t="str">
        <f>IF(OR(1986828.81646="",173.40701="",""=""),"-",(173.40701-"")/1986828.81646*100)</f>
        <v>-</v>
      </c>
    </row>
    <row r="108" spans="1:7" x14ac:dyDescent="0.2">
      <c r="A108" s="27" t="s">
        <v>216</v>
      </c>
      <c r="B108" s="33">
        <v>164.61404999999999</v>
      </c>
      <c r="C108" s="28" t="str">
        <f>IF(OR(""="",164.61405=""),"-",164.61405/""*100)</f>
        <v>-</v>
      </c>
      <c r="D108" s="29" t="str">
        <f>IF(""="","-",""/1986828.81646*100)</f>
        <v>-</v>
      </c>
      <c r="E108" s="29">
        <f>IF(164.61405="","-",164.61405/2455618.67545*100)</f>
        <v>6.7035672780031271E-3</v>
      </c>
      <c r="F108" s="29" t="str">
        <f>IF(OR(2294320.13289="",1063.66979="",""=""),"-",(""-1063.66979)/2294320.13289*100)</f>
        <v>-</v>
      </c>
      <c r="G108" s="29" t="str">
        <f>IF(OR(1986828.81646="",164.61405="",""=""),"-",(164.61405-"")/1986828.81646*100)</f>
        <v>-</v>
      </c>
    </row>
    <row r="109" spans="1:7" x14ac:dyDescent="0.2">
      <c r="A109" s="27" t="s">
        <v>74</v>
      </c>
      <c r="B109" s="33">
        <v>151.18419</v>
      </c>
      <c r="C109" s="28">
        <f>IF(OR(215.83129="",151.18419=""),"-",151.18419/215.83129*100)</f>
        <v>70.047392108901349</v>
      </c>
      <c r="D109" s="29">
        <f>IF(215.83129="","-",215.83129/1986828.81646*100)</f>
        <v>1.0863104471403526E-2</v>
      </c>
      <c r="E109" s="29">
        <f>IF(151.18419="","-",151.18419/2455618.67545*100)</f>
        <v>6.156663960551409E-3</v>
      </c>
      <c r="F109" s="29">
        <f>IF(OR(2294320.13289="",711.11685="",215.83129=""),"-",(215.83129-711.11685)/2294320.13289*100)</f>
        <v>-2.1587465188483628E-2</v>
      </c>
      <c r="G109" s="29">
        <f>IF(OR(1986828.81646="",151.18419="",215.83129=""),"-",(151.18419-215.83129)/1986828.81646*100)</f>
        <v>-3.2537830871199021E-3</v>
      </c>
    </row>
    <row r="110" spans="1:7" x14ac:dyDescent="0.2">
      <c r="A110" s="27" t="s">
        <v>98</v>
      </c>
      <c r="B110" s="28">
        <v>130.35845</v>
      </c>
      <c r="C110" s="28">
        <f>IF(OR(129.41661="",130.35845=""),"-",130.35845/129.41661*100)</f>
        <v>100.72775820661661</v>
      </c>
      <c r="D110" s="29">
        <f>IF(129.41661="","-",129.41661/1986828.81646*100)</f>
        <v>6.5137272485601425E-3</v>
      </c>
      <c r="E110" s="29">
        <f>IF(130.35845="","-",130.35845/2455618.67545*100)</f>
        <v>5.3085787017038135E-3</v>
      </c>
      <c r="F110" s="29">
        <f>IF(OR(2294320.13289="",79.41187="",129.41661=""),"-",(129.41661-79.41187)/2294320.13289*100)</f>
        <v>2.1795014254184487E-3</v>
      </c>
      <c r="G110" s="29">
        <f>IF(OR(1986828.81646="",130.35845="",129.41661=""),"-",(130.35845-129.41661)/1986828.81646*100)</f>
        <v>4.7404184608018795E-5</v>
      </c>
    </row>
    <row r="111" spans="1:7" x14ac:dyDescent="0.2">
      <c r="A111" s="27" t="s">
        <v>324</v>
      </c>
      <c r="B111" s="33">
        <v>127.69588</v>
      </c>
      <c r="C111" s="28" t="s">
        <v>378</v>
      </c>
      <c r="D111" s="29">
        <f>IF(16.97773="","-",16.97773/1986828.81646*100)</f>
        <v>8.5451398023558953E-4</v>
      </c>
      <c r="E111" s="29">
        <f>IF(127.69588="","-",127.69588/2455618.67545*100)</f>
        <v>5.2001510363411507E-3</v>
      </c>
      <c r="F111" s="29">
        <f>IF(OR(2294320.13289="",17.48765="",16.97773=""),"-",(16.97773-17.48765)/2294320.13289*100)</f>
        <v>-2.2225320376615697E-5</v>
      </c>
      <c r="G111" s="29">
        <f>IF(OR(1986828.81646="",127.69588="",16.97773=""),"-",(127.69588-16.97773)/1986828.81646*100)</f>
        <v>5.5726064109171865E-3</v>
      </c>
    </row>
    <row r="112" spans="1:7" x14ac:dyDescent="0.2">
      <c r="A112" s="27" t="s">
        <v>219</v>
      </c>
      <c r="B112" s="28">
        <v>111.51571</v>
      </c>
      <c r="C112" s="28">
        <f>IF(OR(336.27312="",111.51571=""),"-",111.51571/336.27312*100)</f>
        <v>33.162243238472342</v>
      </c>
      <c r="D112" s="29">
        <f>IF(336.27312="","-",336.27312/1986828.81646*100)</f>
        <v>1.6925117917262204E-2</v>
      </c>
      <c r="E112" s="29">
        <f>IF(111.51571="","-",111.51571/2455618.67545*100)</f>
        <v>4.5412470231993322E-3</v>
      </c>
      <c r="F112" s="29">
        <f>IF(OR(2294320.13289="",128.68687="",336.27312=""),"-",(336.27312-128.68687)/2294320.13289*100)</f>
        <v>9.0478328208939886E-3</v>
      </c>
      <c r="G112" s="29">
        <f>IF(OR(1986828.81646="",111.51571="",336.27312=""),"-",(111.51571-336.27312)/1986828.81646*100)</f>
        <v>-1.1312369145141445E-2</v>
      </c>
    </row>
    <row r="113" spans="1:7" x14ac:dyDescent="0.2">
      <c r="A113" s="27" t="s">
        <v>85</v>
      </c>
      <c r="B113" s="33">
        <v>105.61203</v>
      </c>
      <c r="C113" s="28">
        <f>IF(OR(1154.38636="",105.61203=""),"-",105.61203/1154.38636*100)</f>
        <v>9.1487593460477132</v>
      </c>
      <c r="D113" s="29">
        <f>IF(1154.38636="","-",1154.38636/1986828.81646*100)</f>
        <v>5.8101953748426562E-2</v>
      </c>
      <c r="E113" s="29">
        <f>IF(105.61203="","-",105.61203/2455618.67545*100)</f>
        <v>4.3008318455896354E-3</v>
      </c>
      <c r="F113" s="29">
        <f>IF(OR(2294320.13289="",1915.06864="",1154.38636=""),"-",(1154.38636-1915.06864)/2294320.13289*100)</f>
        <v>-3.3155019175193305E-2</v>
      </c>
      <c r="G113" s="29">
        <f>IF(OR(1986828.81646="",105.61203="",1154.38636=""),"-",(105.61203-1154.38636)/1986828.81646*100)</f>
        <v>-5.2786345824631063E-2</v>
      </c>
    </row>
    <row r="114" spans="1:7" x14ac:dyDescent="0.2">
      <c r="A114" s="27" t="s">
        <v>80</v>
      </c>
      <c r="B114" s="28">
        <v>105.34275</v>
      </c>
      <c r="C114" s="28" t="s">
        <v>349</v>
      </c>
      <c r="D114" s="29">
        <f>IF(20.50316="","-",20.50316/1986828.81646*100)</f>
        <v>1.0319540279535089E-3</v>
      </c>
      <c r="E114" s="29">
        <f>IF(105.34275="","-",105.34275/2455618.67545*100)</f>
        <v>4.2898659736205014E-3</v>
      </c>
      <c r="F114" s="29" t="str">
        <f>IF(OR(2294320.13289="",""="",20.50316=""),"-",(20.50316-"")/2294320.13289*100)</f>
        <v>-</v>
      </c>
      <c r="G114" s="29">
        <f>IF(OR(1986828.81646="",105.34275="",20.50316=""),"-",(105.34275-20.50316)/1986828.81646*100)</f>
        <v>4.2701006396294152E-3</v>
      </c>
    </row>
    <row r="115" spans="1:7" x14ac:dyDescent="0.2">
      <c r="A115" s="27" t="s">
        <v>369</v>
      </c>
      <c r="B115" s="33">
        <v>90.631100000000004</v>
      </c>
      <c r="C115" s="28">
        <f>IF(OR(72.2805="",90.6311=""),"-",90.6311/72.2805*100)</f>
        <v>125.38803688408353</v>
      </c>
      <c r="D115" s="29">
        <f>IF(72.2805="","-",72.2805/1986828.81646*100)</f>
        <v>3.6379832727000917E-3</v>
      </c>
      <c r="E115" s="29">
        <f>IF(90.6311="","-",90.6311/2455618.67545*100)</f>
        <v>3.6907644051612188E-3</v>
      </c>
      <c r="F115" s="29">
        <f>IF(OR(2294320.13289="",406.86074="",72.2805=""),"-",(72.2805-406.86074)/2294320.13289*100)</f>
        <v>-1.4582979733458203E-2</v>
      </c>
      <c r="G115" s="29">
        <f>IF(OR(1986828.81646="",90.6311="",72.2805=""),"-",(90.6311-72.2805)/1986828.81646*100)</f>
        <v>9.2361253510988867E-4</v>
      </c>
    </row>
    <row r="116" spans="1:7" x14ac:dyDescent="0.2">
      <c r="A116" s="27" t="s">
        <v>321</v>
      </c>
      <c r="B116" s="28">
        <v>75.189430000000002</v>
      </c>
      <c r="C116" s="28" t="s">
        <v>303</v>
      </c>
      <c r="D116" s="29">
        <f>IF(27.49258="","-",27.49258/1986828.81646*100)</f>
        <v>1.3837417583354996E-3</v>
      </c>
      <c r="E116" s="29">
        <f>IF(75.18943="","-",75.18943/2455618.67545*100)</f>
        <v>3.0619342796055784E-3</v>
      </c>
      <c r="F116" s="29">
        <f>IF(OR(2294320.13289="",9.16672="",27.49258=""),"-",(27.49258-9.16672)/2294320.13289*100)</f>
        <v>7.9874903843153537E-4</v>
      </c>
      <c r="G116" s="29">
        <f>IF(OR(1986828.81646="",75.18943="",27.49258=""),"-",(75.18943-27.49258)/1986828.81646*100)</f>
        <v>2.4006522154728501E-3</v>
      </c>
    </row>
    <row r="117" spans="1:7" x14ac:dyDescent="0.2">
      <c r="A117" s="27" t="s">
        <v>343</v>
      </c>
      <c r="B117" s="33">
        <v>66.801640000000006</v>
      </c>
      <c r="C117" s="28" t="str">
        <f>IF(OR(""="",66.80164=""),"-",66.80164/""*100)</f>
        <v>-</v>
      </c>
      <c r="D117" s="29" t="str">
        <f>IF(""="","-",""/1986828.81646*100)</f>
        <v>-</v>
      </c>
      <c r="E117" s="29">
        <f>IF(66.80164="","-",66.80164/2455618.67545*100)</f>
        <v>2.7203588516347471E-3</v>
      </c>
      <c r="F117" s="29" t="str">
        <f>IF(OR(2294320.13289="",""="",""=""),"-",(""-"")/2294320.13289*100)</f>
        <v>-</v>
      </c>
      <c r="G117" s="29" t="str">
        <f>IF(OR(1986828.81646="",66.80164="",""=""),"-",(66.80164-"")/1986828.81646*100)</f>
        <v>-</v>
      </c>
    </row>
    <row r="118" spans="1:7" x14ac:dyDescent="0.2">
      <c r="A118" s="27" t="s">
        <v>300</v>
      </c>
      <c r="B118" s="33">
        <v>60.503999999999998</v>
      </c>
      <c r="C118" s="28">
        <f>IF(OR(109.128="",60.504=""),"-",60.504/109.128*100)</f>
        <v>55.443149329228056</v>
      </c>
      <c r="D118" s="29">
        <f>IF(109.128="","-",109.128/1986828.81646*100)</f>
        <v>5.4925718358784957E-3</v>
      </c>
      <c r="E118" s="29">
        <f>IF(60.504="","-",60.504/2455618.67545*100)</f>
        <v>2.4639004665051446E-3</v>
      </c>
      <c r="F118" s="29">
        <f>IF(OR(2294320.13289="",63.86311="",109.128=""),"-",(109.128-63.86311)/2294320.13289*100)</f>
        <v>1.9729108135830582E-3</v>
      </c>
      <c r="G118" s="29">
        <f>IF(OR(1986828.81646="",60.504="",109.128=""),"-",(60.504-109.128)/1986828.81646*100)</f>
        <v>-2.4473170308972579E-3</v>
      </c>
    </row>
    <row r="119" spans="1:7" x14ac:dyDescent="0.2">
      <c r="A119" s="27" t="s">
        <v>94</v>
      </c>
      <c r="B119" s="33">
        <v>49.793750000000003</v>
      </c>
      <c r="C119" s="28">
        <f>IF(OR(116.12427="",49.79375=""),"-",49.79375/116.12427*100)</f>
        <v>42.879709814322197</v>
      </c>
      <c r="D119" s="29">
        <f>IF(116.12427="","-",116.12427/1986828.81646*100)</f>
        <v>5.8447043367783717E-3</v>
      </c>
      <c r="E119" s="29">
        <f>IF(49.79375="","-",49.79375/2455618.67545*100)</f>
        <v>2.0277476506353389E-3</v>
      </c>
      <c r="F119" s="29">
        <f>IF(OR(2294320.13289="",81.87974="",116.12427=""),"-",(116.12427-81.87974)/2294320.13289*100)</f>
        <v>1.4925785425098665E-3</v>
      </c>
      <c r="G119" s="29">
        <f>IF(OR(1986828.81646="",49.79375="",116.12427=""),"-",(49.79375-116.12427)/1986828.81646*100)</f>
        <v>-3.3385120776627006E-3</v>
      </c>
    </row>
    <row r="120" spans="1:7" x14ac:dyDescent="0.2">
      <c r="A120" s="34" t="s">
        <v>320</v>
      </c>
      <c r="B120" s="35">
        <v>46.730200000000004</v>
      </c>
      <c r="C120" s="35" t="s">
        <v>105</v>
      </c>
      <c r="D120" s="36">
        <f>IF(24.012="","-",24.012/1986828.81646*100)</f>
        <v>1.2085590767091346E-3</v>
      </c>
      <c r="E120" s="36">
        <f>IF(46.7302="","-",46.7302/2455618.67545*100)</f>
        <v>1.9029909027482269E-3</v>
      </c>
      <c r="F120" s="36">
        <f>IF(OR(2294320.13289="",42.59489="",24.012=""),"-",(24.012-42.59489)/2294320.13289*100)</f>
        <v>-8.0995192142573362E-4</v>
      </c>
      <c r="G120" s="36">
        <f>IF(OR(1986828.81646="",46.7302="",24.012=""),"-",(46.7302-24.012)/1986828.81646*100)</f>
        <v>1.1434402305719417E-3</v>
      </c>
    </row>
    <row r="121" spans="1:7" x14ac:dyDescent="0.2">
      <c r="A121" s="37" t="s">
        <v>79</v>
      </c>
      <c r="B121" s="38">
        <v>45.119230000000002</v>
      </c>
      <c r="C121" s="38" t="s">
        <v>304</v>
      </c>
      <c r="D121" s="39">
        <f>IF(19.0101="","-",19.0101/1986828.81646*100)</f>
        <v>9.5680613460554387E-4</v>
      </c>
      <c r="E121" s="39">
        <f>IF(45.11923="","-",45.11923/2455618.67545*100)</f>
        <v>1.8373874759578361E-3</v>
      </c>
      <c r="F121" s="39" t="str">
        <f>IF(OR(2294320.13289="",""="",19.0101=""),"-",(19.0101-"")/2294320.13289*100)</f>
        <v>-</v>
      </c>
      <c r="G121" s="39">
        <f>IF(OR(1986828.81646="",45.11923="",19.0101=""),"-",(45.11923-19.0101)/1986828.81646*100)</f>
        <v>1.3141106965883212E-3</v>
      </c>
    </row>
    <row r="122" spans="1:7" x14ac:dyDescent="0.2">
      <c r="A122" s="40" t="s">
        <v>299</v>
      </c>
      <c r="B122" s="41"/>
      <c r="C122" s="41"/>
      <c r="D122" s="41"/>
      <c r="E122" s="41"/>
    </row>
    <row r="123" spans="1:7" ht="13.5" x14ac:dyDescent="0.2">
      <c r="A123" s="42" t="s">
        <v>407</v>
      </c>
      <c r="B123" s="42"/>
      <c r="C123" s="42"/>
      <c r="D123" s="42"/>
      <c r="E123" s="42"/>
    </row>
  </sheetData>
  <mergeCells count="10">
    <mergeCell ref="A123:E123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G127"/>
  <sheetViews>
    <sheetView zoomScaleNormal="100" workbookViewId="0">
      <selection activeCell="A2" sqref="A2:G2"/>
    </sheetView>
  </sheetViews>
  <sheetFormatPr defaultRowHeight="12" x14ac:dyDescent="0.2"/>
  <cols>
    <col min="1" max="1" width="29.625" style="3" customWidth="1"/>
    <col min="2" max="2" width="12.625" style="3" customWidth="1"/>
    <col min="3" max="3" width="10.25" style="3" customWidth="1"/>
    <col min="4" max="5" width="8.875" style="3" customWidth="1"/>
    <col min="6" max="6" width="9.625" style="3" customWidth="1"/>
    <col min="7" max="7" width="10.125" style="3" customWidth="1"/>
    <col min="8" max="16384" width="9" style="3"/>
  </cols>
  <sheetData>
    <row r="2" spans="1:7" x14ac:dyDescent="0.2">
      <c r="A2" s="43" t="s">
        <v>416</v>
      </c>
      <c r="B2" s="43"/>
      <c r="C2" s="43"/>
      <c r="D2" s="43"/>
      <c r="E2" s="43"/>
      <c r="F2" s="43"/>
      <c r="G2" s="43"/>
    </row>
    <row r="3" spans="1:7" x14ac:dyDescent="0.2">
      <c r="A3" s="112"/>
    </row>
    <row r="4" spans="1:7" ht="55.5" customHeight="1" x14ac:dyDescent="0.2">
      <c r="A4" s="4"/>
      <c r="B4" s="5" t="s">
        <v>355</v>
      </c>
      <c r="C4" s="6"/>
      <c r="D4" s="5" t="s">
        <v>108</v>
      </c>
      <c r="E4" s="6"/>
      <c r="F4" s="7" t="s">
        <v>120</v>
      </c>
      <c r="G4" s="8"/>
    </row>
    <row r="5" spans="1:7" ht="21" customHeight="1" x14ac:dyDescent="0.2">
      <c r="A5" s="9"/>
      <c r="B5" s="10" t="s">
        <v>310</v>
      </c>
      <c r="C5" s="11" t="s">
        <v>358</v>
      </c>
      <c r="D5" s="12" t="s">
        <v>357</v>
      </c>
      <c r="E5" s="12"/>
      <c r="F5" s="12" t="s">
        <v>406</v>
      </c>
      <c r="G5" s="5"/>
    </row>
    <row r="6" spans="1:7" ht="30" customHeight="1" x14ac:dyDescent="0.2">
      <c r="A6" s="13"/>
      <c r="B6" s="14"/>
      <c r="C6" s="15"/>
      <c r="D6" s="16">
        <v>2020</v>
      </c>
      <c r="E6" s="16">
        <v>2021</v>
      </c>
      <c r="F6" s="16">
        <v>2020</v>
      </c>
      <c r="G6" s="17">
        <v>2021</v>
      </c>
    </row>
    <row r="7" spans="1:7" x14ac:dyDescent="0.2">
      <c r="A7" s="18" t="s">
        <v>123</v>
      </c>
      <c r="B7" s="19">
        <v>5718897.8837799998</v>
      </c>
      <c r="C7" s="19">
        <f>IF(4325799.3036="","-",5718897.88378/4325799.3036*100)</f>
        <v>132.20442009458552</v>
      </c>
      <c r="D7" s="20">
        <v>100</v>
      </c>
      <c r="E7" s="20">
        <v>100</v>
      </c>
      <c r="F7" s="20">
        <f>IF(4798692.63363="","-",(4325799.3036-4798692.63363)/4798692.63363*100)</f>
        <v>-9.8546284610080725</v>
      </c>
      <c r="G7" s="20">
        <f>IF(4325799.3036="","-",(5718897.88378-4325799.3036)/4325799.3036*100)</f>
        <v>32.204420094585537</v>
      </c>
    </row>
    <row r="8" spans="1:7" x14ac:dyDescent="0.2">
      <c r="A8" s="106" t="s">
        <v>127</v>
      </c>
      <c r="B8" s="22"/>
      <c r="C8" s="22"/>
      <c r="D8" s="23"/>
      <c r="E8" s="23"/>
      <c r="F8" s="23"/>
      <c r="G8" s="23"/>
    </row>
    <row r="9" spans="1:7" ht="16.5" customHeight="1" x14ac:dyDescent="0.2">
      <c r="A9" s="24" t="s">
        <v>139</v>
      </c>
      <c r="B9" s="25">
        <v>2589041.9228400001</v>
      </c>
      <c r="C9" s="25">
        <f>IF(1982594.61051="","-",2589041.92284/1982594.61051*100)</f>
        <v>130.58856859163953</v>
      </c>
      <c r="D9" s="26">
        <f>IF(1982594.61051="","-",1982594.61051/4325799.3036*100)</f>
        <v>45.831867624095565</v>
      </c>
      <c r="E9" s="26">
        <f>IF(2589041.92284="","-",2589041.92284/5718897.88378*100)</f>
        <v>45.271693523031225</v>
      </c>
      <c r="F9" s="26">
        <f>IF(4798692.63363="","-",(1982594.61051-2344405.60061)/4798692.63363*100)</f>
        <v>-7.5397825558647202</v>
      </c>
      <c r="G9" s="26">
        <f>IF(4325799.3036="","-",(2589041.92284-1982594.61051)/4325799.3036*100)</f>
        <v>14.019312265025906</v>
      </c>
    </row>
    <row r="10" spans="1:7" x14ac:dyDescent="0.2">
      <c r="A10" s="27" t="s">
        <v>2</v>
      </c>
      <c r="B10" s="28">
        <f>IF(687971.20081="","-",687971.20081)</f>
        <v>687971.20080999995</v>
      </c>
      <c r="C10" s="28">
        <f>IF(OR(513670.18152="",687971.20081=""),"-",687971.20081/513670.18152*100)</f>
        <v>133.93247760152755</v>
      </c>
      <c r="D10" s="29">
        <f>IF(513670.18152="","-",513670.18152/4325799.3036*100)</f>
        <v>11.874572662039947</v>
      </c>
      <c r="E10" s="29">
        <f>IF(687971.20081="","-",687971.20081/5718897.88378*100)</f>
        <v>12.029786416736542</v>
      </c>
      <c r="F10" s="29">
        <f>IF(OR(4798692.63363="",701357.34308="",513670.18152=""),"-",(513670.18152-701357.34308)/4798692.63363*100)</f>
        <v>-3.9112144888101108</v>
      </c>
      <c r="G10" s="29">
        <f>IF(OR(4325799.3036="",687971.20081="",513670.18152=""),"-",(687971.20081-513670.18152)/4325799.3036*100)</f>
        <v>4.0293367088238199</v>
      </c>
    </row>
    <row r="11" spans="1:7" s="32" customFormat="1" x14ac:dyDescent="0.2">
      <c r="A11" s="27" t="s">
        <v>4</v>
      </c>
      <c r="B11" s="28">
        <f>IF(446097.6006="","-",446097.6006)</f>
        <v>446097.60060000001</v>
      </c>
      <c r="C11" s="28">
        <f>IF(OR(361349.29444="",446097.6006=""),"-",446097.6006/361349.29444*100)</f>
        <v>123.45329227536985</v>
      </c>
      <c r="D11" s="29">
        <f>IF(361349.29444="","-",361349.29444/4325799.3036*100)</f>
        <v>8.3533531973912716</v>
      </c>
      <c r="E11" s="29">
        <f>IF(446097.6006="","-",446097.6006/5718897.88378*100)</f>
        <v>7.8004120665491659</v>
      </c>
      <c r="F11" s="29">
        <f>IF(OR(4798692.63363="",399024.58471="",361349.29444=""),"-",(361349.29444-399024.58471)/4798692.63363*100)</f>
        <v>-0.78511572101879545</v>
      </c>
      <c r="G11" s="29">
        <f>IF(OR(4325799.3036="",446097.6006="",361349.29444=""),"-",(446097.6006-361349.29444)/4325799.3036*100)</f>
        <v>1.9591363401781274</v>
      </c>
    </row>
    <row r="12" spans="1:7" s="32" customFormat="1" x14ac:dyDescent="0.2">
      <c r="A12" s="27" t="s">
        <v>3</v>
      </c>
      <c r="B12" s="28">
        <f>IF(366018.06587="","-",366018.06587)</f>
        <v>366018.06586999999</v>
      </c>
      <c r="C12" s="28">
        <f>IF(OR(277658.81248="",366018.06587=""),"-",366018.06587/277658.81248*100)</f>
        <v>131.82296020097129</v>
      </c>
      <c r="D12" s="29">
        <f>IF(277658.81248="","-",277658.81248/4325799.3036*100)</f>
        <v>6.4186707009020934</v>
      </c>
      <c r="E12" s="29">
        <f>IF(366018.06587="","-",366018.06587/5718897.88378*100)</f>
        <v>6.4001504014978892</v>
      </c>
      <c r="F12" s="29">
        <f>IF(OR(4798692.63363="",336243.34045="",277658.81248=""),"-",(277658.81248-336243.34045)/4798692.63363*100)</f>
        <v>-1.2208435180747006</v>
      </c>
      <c r="G12" s="29">
        <f>IF(OR(4325799.3036="",366018.06587="",277658.81248=""),"-",(366018.06587-277658.81248)/4325799.3036*100)</f>
        <v>2.0426110225794796</v>
      </c>
    </row>
    <row r="13" spans="1:7" s="32" customFormat="1" x14ac:dyDescent="0.2">
      <c r="A13" s="27" t="s">
        <v>5</v>
      </c>
      <c r="B13" s="28">
        <f>IF(213532.52961="","-",213532.52961)</f>
        <v>213532.52961</v>
      </c>
      <c r="C13" s="28">
        <f>IF(OR(175340.28438="",213532.52961=""),"-",213532.52961/175340.28438*100)</f>
        <v>121.78178583720624</v>
      </c>
      <c r="D13" s="29">
        <f>IF(175340.28438="","-",175340.28438/4325799.3036*100)</f>
        <v>4.0533615194324657</v>
      </c>
      <c r="E13" s="29">
        <f>IF(213532.52961="","-",213532.52961/5718897.88378*100)</f>
        <v>3.7338056029226059</v>
      </c>
      <c r="F13" s="29">
        <f>IF(OR(4798692.63363="",164485.2882="",175340.28438=""),"-",(175340.28438-164485.2882)/4798692.63363*100)</f>
        <v>0.22620736539628422</v>
      </c>
      <c r="G13" s="29">
        <f>IF(OR(4325799.3036="",213532.52961="",175340.28438=""),"-",(213532.52961-175340.28438)/4325799.3036*100)</f>
        <v>0.88289452537050894</v>
      </c>
    </row>
    <row r="14" spans="1:7" s="32" customFormat="1" x14ac:dyDescent="0.2">
      <c r="A14" s="27" t="s">
        <v>363</v>
      </c>
      <c r="B14" s="28">
        <f>IF(140153.13137="","-",140153.13137)</f>
        <v>140153.13136999999</v>
      </c>
      <c r="C14" s="28">
        <f>IF(OR(98371.49939="",140153.13137=""),"-",140153.13137/98371.49939*100)</f>
        <v>142.47331009396746</v>
      </c>
      <c r="D14" s="29">
        <f>IF(98371.49939="","-",98371.49939/4325799.3036*100)</f>
        <v>2.2740652648432778</v>
      </c>
      <c r="E14" s="29">
        <f>IF(140153.13137="","-",140153.13137/5718897.88378*100)</f>
        <v>2.4507017648890677</v>
      </c>
      <c r="F14" s="29">
        <f>IF(OR(4798692.63363="",119578.059="",98371.49939=""),"-",(98371.49939-119578.059)/4798692.63363*100)</f>
        <v>-0.4419236910774626</v>
      </c>
      <c r="G14" s="29">
        <f>IF(OR(4325799.3036="",140153.13137="",98371.49939=""),"-",(140153.13137-98371.49939)/4325799.3036*100)</f>
        <v>0.96587079167608725</v>
      </c>
    </row>
    <row r="15" spans="1:7" s="32" customFormat="1" x14ac:dyDescent="0.2">
      <c r="A15" s="27" t="s">
        <v>42</v>
      </c>
      <c r="B15" s="28">
        <f>IF(101417.27265="","-",101417.27265)</f>
        <v>101417.27265</v>
      </c>
      <c r="C15" s="28">
        <f>IF(OR(82966.12953="",101417.27265=""),"-",101417.27265/82966.12953*100)</f>
        <v>122.2393683115327</v>
      </c>
      <c r="D15" s="29">
        <f>IF(82966.12953="","-",82966.12953/4325799.3036*100)</f>
        <v>1.9179375580590217</v>
      </c>
      <c r="E15" s="29">
        <f>IF(101417.27265="","-",101417.27265/5718897.88378*100)</f>
        <v>1.7733709310956709</v>
      </c>
      <c r="F15" s="29">
        <f>IF(OR(4798692.63363="",93328.59869="",82966.12953=""),"-",(82966.12953-93328.59869)/4798692.63363*100)</f>
        <v>-0.21594359028911675</v>
      </c>
      <c r="G15" s="29">
        <f>IF(OR(4325799.3036="",101417.27265="",82966.12953=""),"-",(101417.27265-82966.12953)/4325799.3036*100)</f>
        <v>0.42653719752196206</v>
      </c>
    </row>
    <row r="16" spans="1:7" s="32" customFormat="1" x14ac:dyDescent="0.2">
      <c r="A16" s="27" t="s">
        <v>7</v>
      </c>
      <c r="B16" s="28">
        <f>IF(93910.60055="","-",93910.60055)</f>
        <v>93910.600550000003</v>
      </c>
      <c r="C16" s="28">
        <f>IF(OR(76388.78536="",93910.60055=""),"-",93910.60055/76388.78536*100)</f>
        <v>122.93768006314588</v>
      </c>
      <c r="D16" s="29">
        <f>IF(76388.78536="","-",76388.78536/4325799.3036*100)</f>
        <v>1.7658883364382625</v>
      </c>
      <c r="E16" s="29">
        <f>IF(93910.60055="","-",93910.60055/5718897.88378*100)</f>
        <v>1.6421101138446668</v>
      </c>
      <c r="F16" s="29">
        <f>IF(OR(4798692.63363="",93235.99267="",76388.78536=""),"-",(76388.78536-93235.99267)/4798692.63363*100)</f>
        <v>-0.35107910833738565</v>
      </c>
      <c r="G16" s="29">
        <f>IF(OR(4325799.3036="",93910.60055="",76388.78536=""),"-",(93910.60055-76388.78536)/4325799.3036*100)</f>
        <v>0.40505381688461761</v>
      </c>
    </row>
    <row r="17" spans="1:7" s="32" customFormat="1" x14ac:dyDescent="0.2">
      <c r="A17" s="27" t="s">
        <v>8</v>
      </c>
      <c r="B17" s="28">
        <f>IF(83449.21523="","-",83449.21523)</f>
        <v>83449.215230000002</v>
      </c>
      <c r="C17" s="28" t="s">
        <v>103</v>
      </c>
      <c r="D17" s="29">
        <f>IF(49264.65442="","-",49264.65442/4325799.3036*100)</f>
        <v>1.1388566820240864</v>
      </c>
      <c r="E17" s="29">
        <f>IF(83449.21523="","-",83449.21523/5718897.88378*100)</f>
        <v>1.4591835162274811</v>
      </c>
      <c r="F17" s="29">
        <f>IF(OR(4798692.63363="",77995.20255="",49264.65442=""),"-",(49264.65442-77995.20255)/4798692.63363*100)</f>
        <v>-0.5987161571602182</v>
      </c>
      <c r="G17" s="29">
        <f>IF(OR(4325799.3036="",83449.21523="",49264.65442=""),"-",(83449.21523-49264.65442)/4325799.3036*100)</f>
        <v>0.79024842372023718</v>
      </c>
    </row>
    <row r="18" spans="1:7" s="32" customFormat="1" x14ac:dyDescent="0.2">
      <c r="A18" s="27" t="s">
        <v>40</v>
      </c>
      <c r="B18" s="28">
        <f>IF(75425.22895="","-",75425.22895)</f>
        <v>75425.228950000004</v>
      </c>
      <c r="C18" s="28">
        <f>IF(OR(62819.99937="",75425.22895=""),"-",75425.22895/62819.99937*100)</f>
        <v>120.06563149699696</v>
      </c>
      <c r="D18" s="29">
        <f>IF(62819.99937="","-",62819.99937/4325799.3036*100)</f>
        <v>1.4522171501974255</v>
      </c>
      <c r="E18" s="29">
        <f>IF(75425.22895="","-",75425.22895/5718897.88378*100)</f>
        <v>1.3188770018769149</v>
      </c>
      <c r="F18" s="29">
        <f>IF(OR(4798692.63363="",66680.15756="",62819.99937=""),"-",(62819.99937-66680.15756)/4798692.63363*100)</f>
        <v>-8.0441872082979593E-2</v>
      </c>
      <c r="G18" s="29">
        <f>IF(OR(4325799.3036="",75425.22895="",62819.99937=""),"-",(75425.22895-62819.99937)/4325799.3036*100)</f>
        <v>0.29139654189480613</v>
      </c>
    </row>
    <row r="19" spans="1:7" s="32" customFormat="1" x14ac:dyDescent="0.2">
      <c r="A19" s="27" t="s">
        <v>6</v>
      </c>
      <c r="B19" s="28">
        <f>IF(68060.36526="","-",68060.36526)</f>
        <v>68060.365260000006</v>
      </c>
      <c r="C19" s="28">
        <f>IF(OR(51903.73933="",68060.36526=""),"-",68060.36526/51903.73933*100)</f>
        <v>131.12805770558731</v>
      </c>
      <c r="D19" s="29">
        <f>IF(51903.73933="","-",51903.73933/4325799.3036*100)</f>
        <v>1.1998647114026963</v>
      </c>
      <c r="E19" s="29">
        <f>IF(68060.36526="","-",68060.36526/5718897.88378*100)</f>
        <v>1.1900958304052527</v>
      </c>
      <c r="F19" s="29">
        <f>IF(OR(4798692.63363="",47747.56646="",51903.73933=""),"-",(51903.73933-47747.56646)/4798692.63363*100)</f>
        <v>8.661052472652396E-2</v>
      </c>
      <c r="G19" s="29">
        <f>IF(OR(4325799.3036="",68060.36526="",51903.73933=""),"-",(68060.36526-51903.73933)/4325799.3036*100)</f>
        <v>0.37349457975440986</v>
      </c>
    </row>
    <row r="20" spans="1:7" s="32" customFormat="1" x14ac:dyDescent="0.2">
      <c r="A20" s="27" t="s">
        <v>10</v>
      </c>
      <c r="B20" s="28">
        <f>IF(60908.65651="","-",60908.65651)</f>
        <v>60908.656510000001</v>
      </c>
      <c r="C20" s="28">
        <f>IF(OR(46127.48813="",60908.65651=""),"-",60908.65651/46127.48813*100)</f>
        <v>132.04416494204625</v>
      </c>
      <c r="D20" s="29">
        <f>IF(46127.48813="","-",46127.48813/4325799.3036*100)</f>
        <v>1.0663344481010009</v>
      </c>
      <c r="E20" s="29">
        <f>IF(60908.65651="","-",60908.65651/5718897.88378*100)</f>
        <v>1.0650418620474025</v>
      </c>
      <c r="F20" s="29">
        <f>IF(OR(4798692.63363="",47528.18611="",46127.48813=""),"-",(46127.48813-47528.18611)/4798692.63363*100)</f>
        <v>-2.9189158109100187E-2</v>
      </c>
      <c r="G20" s="29">
        <f>IF(OR(4325799.3036="",60908.65651="",46127.48813=""),"-",(60908.65651-46127.48813)/4325799.3036*100)</f>
        <v>0.34169796938334324</v>
      </c>
    </row>
    <row r="21" spans="1:7" s="32" customFormat="1" ht="15.75" customHeight="1" x14ac:dyDescent="0.2">
      <c r="A21" s="27" t="s">
        <v>41</v>
      </c>
      <c r="B21" s="28">
        <f>IF(43390.42783="","-",43390.42783)</f>
        <v>43390.427830000001</v>
      </c>
      <c r="C21" s="28">
        <f>IF(OR(32387.71086="",43390.42783=""),"-",43390.42783/32387.71086*100)</f>
        <v>133.97188834234271</v>
      </c>
      <c r="D21" s="29">
        <f>IF(32387.71086="","-",32387.71086/4325799.3036*100)</f>
        <v>0.74871043677515092</v>
      </c>
      <c r="E21" s="29">
        <f>IF(43390.42783="","-",43390.42783/5718897.88378*100)</f>
        <v>0.75872010152628189</v>
      </c>
      <c r="F21" s="29">
        <f>IF(OR(4798692.63363="",34319.66967="",32387.71086=""),"-",(32387.71086-34319.66967)/4798692.63363*100)</f>
        <v>-4.0260107439691585E-2</v>
      </c>
      <c r="G21" s="29">
        <f>IF(OR(4325799.3036="",43390.42783="",32387.71086=""),"-",(43390.42783-32387.71086)/4325799.3036*100)</f>
        <v>0.25435107358872061</v>
      </c>
    </row>
    <row r="22" spans="1:7" s="32" customFormat="1" x14ac:dyDescent="0.2">
      <c r="A22" s="27" t="s">
        <v>9</v>
      </c>
      <c r="B22" s="28">
        <f>IF(36876.22367="","-",36876.22367)</f>
        <v>36876.223669999999</v>
      </c>
      <c r="C22" s="28" t="s">
        <v>105</v>
      </c>
      <c r="D22" s="29">
        <f>IF(19621.10915="","-",19621.10915/4325799.3036*100)</f>
        <v>0.45358343679215524</v>
      </c>
      <c r="E22" s="29">
        <f>IF(36876.22367="","-",36876.22367/5718897.88378*100)</f>
        <v>0.64481346615033541</v>
      </c>
      <c r="F22" s="29">
        <f>IF(OR(4798692.63363="",18324.46215="",19621.10915=""),"-",(19621.10915-18324.46215)/4798692.63363*100)</f>
        <v>2.7020838778314179E-2</v>
      </c>
      <c r="G22" s="29">
        <f>IF(OR(4325799.3036="",36876.22367="",19621.10915=""),"-",(36876.22367-19621.10915)/4325799.3036*100)</f>
        <v>0.39888846682369233</v>
      </c>
    </row>
    <row r="23" spans="1:7" s="32" customFormat="1" x14ac:dyDescent="0.2">
      <c r="A23" s="27" t="s">
        <v>44</v>
      </c>
      <c r="B23" s="28">
        <f>IF(32205.3304="","-",32205.3304)</f>
        <v>32205.330399999999</v>
      </c>
      <c r="C23" s="28">
        <f>IF(OR(23969.0611="",32205.3304=""),"-",32205.3304/23969.0611*100)</f>
        <v>134.36208563046301</v>
      </c>
      <c r="D23" s="29">
        <f>IF(23969.0611="","-",23969.0611/4325799.3036*100)</f>
        <v>0.55409554206670097</v>
      </c>
      <c r="E23" s="29">
        <f>IF(32205.3304="","-",32205.3304/5718897.88378*100)</f>
        <v>0.56313875600648688</v>
      </c>
      <c r="F23" s="29">
        <f>IF(OR(4798692.63363="",27618.81841="",23969.0611=""),"-",(23969.0611-27618.81841)/4798692.63363*100)</f>
        <v>-7.6057326206348821E-2</v>
      </c>
      <c r="G23" s="29">
        <f>IF(OR(4325799.3036="",32205.3304="",23969.0611=""),"-",(32205.3304-23969.0611)/4325799.3036*100)</f>
        <v>0.19039878463953802</v>
      </c>
    </row>
    <row r="24" spans="1:7" s="32" customFormat="1" x14ac:dyDescent="0.2">
      <c r="A24" s="27" t="s">
        <v>52</v>
      </c>
      <c r="B24" s="28">
        <f>IF(24772.2871="","-",24772.2871)</f>
        <v>24772.287100000001</v>
      </c>
      <c r="C24" s="28">
        <f>IF(OR(21156.79917="",24772.2871=""),"-",24772.2871/21156.79917*100)</f>
        <v>117.08901191030215</v>
      </c>
      <c r="D24" s="29">
        <f>IF(21156.79917="","-",21156.79917/4325799.3036*100)</f>
        <v>0.48908415960012214</v>
      </c>
      <c r="E24" s="29">
        <f>IF(24772.2871="","-",24772.2871/5718897.88378*100)</f>
        <v>0.4331654036044153</v>
      </c>
      <c r="F24" s="29">
        <f>IF(OR(4798692.63363="",18916.44895="",21156.79917=""),"-",(21156.79917-18916.44895)/4798692.63363*100)</f>
        <v>4.6686678873726281E-2</v>
      </c>
      <c r="G24" s="29">
        <f>IF(OR(4325799.3036="",24772.2871="",21156.79917=""),"-",(24772.2871-21156.79917)/4325799.3036*100)</f>
        <v>8.3579650285465976E-2</v>
      </c>
    </row>
    <row r="25" spans="1:7" s="32" customFormat="1" x14ac:dyDescent="0.2">
      <c r="A25" s="27" t="s">
        <v>51</v>
      </c>
      <c r="B25" s="28">
        <f>IF(21884.03133="","-",21884.03133)</f>
        <v>21884.031330000002</v>
      </c>
      <c r="C25" s="28">
        <f>IF(OR(15888.29471="",21884.03133=""),"-",21884.03133/15888.29471*100)</f>
        <v>137.73681650193913</v>
      </c>
      <c r="D25" s="29">
        <f>IF(15888.29471="","-",15888.29471/4325799.3036*100)</f>
        <v>0.3672915360816093</v>
      </c>
      <c r="E25" s="29">
        <f>IF(21884.03133="","-",21884.03133/5718897.88378*100)</f>
        <v>0.38266169067413724</v>
      </c>
      <c r="F25" s="29">
        <f>IF(OR(4798692.63363="",16244.13994="",15888.29471=""),"-",(15888.29471-16244.13994)/4798692.63363*100)</f>
        <v>-7.4154620261814453E-3</v>
      </c>
      <c r="G25" s="29">
        <f>IF(OR(4325799.3036="",21884.03133="",15888.29471=""),"-",(21884.03133-15888.29471)/4325799.3036*100)</f>
        <v>0.13860413299827046</v>
      </c>
    </row>
    <row r="26" spans="1:7" s="32" customFormat="1" x14ac:dyDescent="0.2">
      <c r="A26" s="27" t="s">
        <v>50</v>
      </c>
      <c r="B26" s="28">
        <f>IF(21558.53482="","-",21558.53482)</f>
        <v>21558.534820000001</v>
      </c>
      <c r="C26" s="28">
        <f>IF(OR(17524.05056="",21558.53482=""),"-",21558.53482/17524.05056*100)</f>
        <v>123.02255546562404</v>
      </c>
      <c r="D26" s="29">
        <f>IF(17524.05056="","-",17524.05056/4325799.3036*100)</f>
        <v>0.40510549218999131</v>
      </c>
      <c r="E26" s="29">
        <f>IF(21558.53482="","-",21558.53482/5718897.88378*100)</f>
        <v>0.37697009560433931</v>
      </c>
      <c r="F26" s="29">
        <f>IF(OR(4798692.63363="",20423.61853="",17524.05056=""),"-",(17524.05056-20423.61853)/4798692.63363*100)</f>
        <v>-6.0424123638996317E-2</v>
      </c>
      <c r="G26" s="29">
        <f>IF(OR(4325799.3036="",21558.53482="",17524.05056=""),"-",(21558.53482-17524.05056)/4325799.3036*100)</f>
        <v>9.3265636633730054E-2</v>
      </c>
    </row>
    <row r="27" spans="1:7" s="32" customFormat="1" x14ac:dyDescent="0.2">
      <c r="A27" s="27" t="s">
        <v>48</v>
      </c>
      <c r="B27" s="28">
        <f>IF(13318.33555="","-",13318.33555)</f>
        <v>13318.33555</v>
      </c>
      <c r="C27" s="28">
        <f>IF(OR(10377.08495="",13318.33555=""),"-",13318.33555/10377.08495*100)</f>
        <v>128.34370744936419</v>
      </c>
      <c r="D27" s="29">
        <f>IF(10377.08495="","-",10377.08495/4325799.3036*100)</f>
        <v>0.23988826623010509</v>
      </c>
      <c r="E27" s="29">
        <f>IF(13318.33555="","-",13318.33555/5718897.88378*100)</f>
        <v>0.23288290542437567</v>
      </c>
      <c r="F27" s="29">
        <f>IF(OR(4798692.63363="",10595.87797="",10377.08495=""),"-",(10377.08495-10595.87797)/4798692.63363*100)</f>
        <v>-4.5594297594028612E-3</v>
      </c>
      <c r="G27" s="29">
        <f>IF(OR(4325799.3036="",13318.33555="",10377.08495=""),"-",(13318.33555-10377.08495)/4325799.3036*100)</f>
        <v>6.7993228385612878E-2</v>
      </c>
    </row>
    <row r="28" spans="1:7" s="32" customFormat="1" x14ac:dyDescent="0.2">
      <c r="A28" s="27" t="s">
        <v>43</v>
      </c>
      <c r="B28" s="28">
        <f>IF(12514.33761="","-",12514.33761)</f>
        <v>12514.33761</v>
      </c>
      <c r="C28" s="28">
        <f>IF(OR(11011.42542="",12514.33761=""),"-",12514.33761/11011.42542*100)</f>
        <v>113.64866157355313</v>
      </c>
      <c r="D28" s="29">
        <f>IF(11011.42542="","-",11011.42542/4325799.3036*100)</f>
        <v>0.25455238782890627</v>
      </c>
      <c r="E28" s="29">
        <f>IF(12514.33761="","-",12514.33761/5718897.88378*100)</f>
        <v>0.21882428860101349</v>
      </c>
      <c r="F28" s="29">
        <f>IF(OR(4798692.63363="",13263.15546="",11011.42542=""),"-",(11011.42542-13263.15546)/4798692.63363*100)</f>
        <v>-4.6923823047542543E-2</v>
      </c>
      <c r="G28" s="29">
        <f>IF(OR(4325799.3036="",12514.33761="",11011.42542=""),"-",(12514.33761-11011.42542)/4325799.3036*100)</f>
        <v>3.4742993942165859E-2</v>
      </c>
    </row>
    <row r="29" spans="1:7" s="32" customFormat="1" x14ac:dyDescent="0.2">
      <c r="A29" s="27" t="s">
        <v>45</v>
      </c>
      <c r="B29" s="28">
        <f>IF(12499.03278="","-",12499.03278)</f>
        <v>12499.03278</v>
      </c>
      <c r="C29" s="28">
        <f>IF(OR(9512.16051="",12499.03278=""),"-",12499.03278/9512.16051*100)</f>
        <v>131.40056632622992</v>
      </c>
      <c r="D29" s="29">
        <f>IF(9512.16051="","-",9512.16051/4325799.3036*100)</f>
        <v>0.21989370847796444</v>
      </c>
      <c r="E29" s="29">
        <f>IF(12499.03278="","-",12499.03278/5718897.88378*100)</f>
        <v>0.21855667007886068</v>
      </c>
      <c r="F29" s="29">
        <f>IF(OR(4798692.63363="",9009.0761="",9512.16051=""),"-",(9512.16051-9009.0761)/4798692.63363*100)</f>
        <v>1.0483780654637141E-2</v>
      </c>
      <c r="G29" s="29">
        <f>IF(OR(4325799.3036="",12499.03278="",9512.16051=""),"-",(12499.03278-9512.16051)/4325799.3036*100)</f>
        <v>6.9047869777829882E-2</v>
      </c>
    </row>
    <row r="30" spans="1:7" s="32" customFormat="1" x14ac:dyDescent="0.2">
      <c r="A30" s="27" t="s">
        <v>49</v>
      </c>
      <c r="B30" s="28">
        <f>IF(12230.53764="","-",12230.53764)</f>
        <v>12230.53764</v>
      </c>
      <c r="C30" s="28">
        <f>IF(OR(9891.98391="",12230.53764=""),"-",12230.53764/9891.98391*100)</f>
        <v>123.64089702608503</v>
      </c>
      <c r="D30" s="29">
        <f>IF(9891.98391="","-",9891.98391/4325799.3036*100)</f>
        <v>0.22867412969824399</v>
      </c>
      <c r="E30" s="29">
        <f>IF(12230.53764="","-",12230.53764/5718897.88378*100)</f>
        <v>0.21386179450219567</v>
      </c>
      <c r="F30" s="29">
        <f>IF(OR(4798692.63363="",11527.86011="",9891.98391=""),"-",(9891.98391-11527.86011)/4798692.63363*100)</f>
        <v>-3.4090039202251017E-2</v>
      </c>
      <c r="G30" s="29">
        <f>IF(OR(4325799.3036="",12230.53764="",9891.98391=""),"-",(12230.53764-9891.98391)/4325799.3036*100)</f>
        <v>5.4060615527257987E-2</v>
      </c>
    </row>
    <row r="31" spans="1:7" s="32" customFormat="1" x14ac:dyDescent="0.2">
      <c r="A31" s="27" t="s">
        <v>364</v>
      </c>
      <c r="B31" s="28">
        <f>IF(6711.08327="","-",6711.08327)</f>
        <v>6711.0832700000001</v>
      </c>
      <c r="C31" s="28">
        <f>IF(OR(4717.99332="",6711.08327=""),"-",6711.08327/4717.99332*100)</f>
        <v>142.24444196542441</v>
      </c>
      <c r="D31" s="29">
        <f>IF(4717.99332="","-",4717.99332/4325799.3036*100)</f>
        <v>0.10906639418231005</v>
      </c>
      <c r="E31" s="29">
        <f>IF(6711.08327="","-",6711.08327/5718897.88378*100)</f>
        <v>0.11734924117169582</v>
      </c>
      <c r="F31" s="29">
        <f>IF(OR(4798692.63363="",4660.97357="",4717.99332=""),"-",(4717.99332-4660.97357)/4798692.63363*100)</f>
        <v>1.1882350955423986E-3</v>
      </c>
      <c r="G31" s="29">
        <f>IF(OR(4325799.3036="",6711.08327="",4717.99332=""),"-",(6711.08327-4717.99332)/4325799.3036*100)</f>
        <v>4.6074489594127001E-2</v>
      </c>
    </row>
    <row r="32" spans="1:7" s="32" customFormat="1" x14ac:dyDescent="0.2">
      <c r="A32" s="27" t="s">
        <v>53</v>
      </c>
      <c r="B32" s="28">
        <f>IF(6254.84707="","-",6254.84707)</f>
        <v>6254.8470699999998</v>
      </c>
      <c r="C32" s="28">
        <f>IF(OR(5463.07472="",6254.84707=""),"-",6254.84707/5463.07472*100)</f>
        <v>114.49316347626306</v>
      </c>
      <c r="D32" s="29">
        <f>IF(5463.07472="","-",5463.07472/4325799.3036*100)</f>
        <v>0.12629052659594125</v>
      </c>
      <c r="E32" s="29">
        <f>IF(6254.84707="","-",6254.84707/5718897.88378*100)</f>
        <v>0.10937154670552984</v>
      </c>
      <c r="F32" s="29">
        <f>IF(OR(4798692.63363="",5893.41843="",5463.07472=""),"-",(5463.07472-5893.41843)/4798692.63363*100)</f>
        <v>-8.9679365372160539E-3</v>
      </c>
      <c r="G32" s="29">
        <f>IF(OR(4325799.3036="",6254.84707="",5463.07472=""),"-",(6254.84707-5463.07472)/4325799.3036*100)</f>
        <v>1.8303492474583238E-2</v>
      </c>
    </row>
    <row r="33" spans="1:7" s="32" customFormat="1" x14ac:dyDescent="0.2">
      <c r="A33" s="27" t="s">
        <v>46</v>
      </c>
      <c r="B33" s="28">
        <f>IF(4786.12016="","-",4786.12016)</f>
        <v>4786.1201600000004</v>
      </c>
      <c r="C33" s="28">
        <f>IF(OR(3321.08699="",4786.12016=""),"-",4786.12016/3321.08699*100)</f>
        <v>144.11306221159842</v>
      </c>
      <c r="D33" s="29">
        <f>IF(3321.08699="","-",3321.08699/4325799.3036*100)</f>
        <v>7.6773949897216393E-2</v>
      </c>
      <c r="E33" s="29">
        <f>IF(4786.12016="","-",4786.12016/5718897.88378*100)</f>
        <v>8.3689554478222919E-2</v>
      </c>
      <c r="F33" s="29">
        <f>IF(OR(4798692.63363="",3941.2503="",3321.08699=""),"-",(3321.08699-3941.2503)/4798692.63363*100)</f>
        <v>-1.2923588930322343E-2</v>
      </c>
      <c r="G33" s="29">
        <f>IF(OR(4325799.3036="",4786.12016="",3321.08699=""),"-",(4786.12016-3321.08699)/4325799.3036*100)</f>
        <v>3.3867340280460449E-2</v>
      </c>
    </row>
    <row r="34" spans="1:7" s="32" customFormat="1" x14ac:dyDescent="0.2">
      <c r="A34" s="27" t="s">
        <v>54</v>
      </c>
      <c r="B34" s="28">
        <f>IF(2110.05397="","-",2110.05397)</f>
        <v>2110.0539699999999</v>
      </c>
      <c r="C34" s="28" t="s">
        <v>20</v>
      </c>
      <c r="D34" s="29">
        <f>IF(1067.96113="","-",1067.96113/4325799.3036*100)</f>
        <v>2.4688180265580634E-2</v>
      </c>
      <c r="E34" s="29">
        <f>IF(2110.05397="","-",2110.05397/5718897.88378*100)</f>
        <v>3.6896164486247565E-2</v>
      </c>
      <c r="F34" s="29">
        <f>IF(OR(4798692.63363="",1727.18506="",1067.96113=""),"-",(1067.96113-1727.18506)/4798692.63363*100)</f>
        <v>-1.3737573550346903E-2</v>
      </c>
      <c r="G34" s="29">
        <f>IF(OR(4325799.3036="",2110.05397="",1067.96113=""),"-",(2110.05397-1067.96113)/4325799.3036*100)</f>
        <v>2.4090180030607374E-2</v>
      </c>
    </row>
    <row r="35" spans="1:7" s="32" customFormat="1" x14ac:dyDescent="0.2">
      <c r="A35" s="27" t="s">
        <v>47</v>
      </c>
      <c r="B35" s="28">
        <f>IF(863.30904="","-",863.30904)</f>
        <v>863.30903999999998</v>
      </c>
      <c r="C35" s="28" t="s">
        <v>104</v>
      </c>
      <c r="D35" s="29">
        <f>IF(554.92676="","-",554.92676/4325799.3036*100)</f>
        <v>1.2828305731571525E-2</v>
      </c>
      <c r="E35" s="29">
        <f>IF(863.30904="","-",863.30904/5718897.88378*100)</f>
        <v>1.5095723993403106E-2</v>
      </c>
      <c r="F35" s="29">
        <f>IF(OR(4798692.63363="",639.16563="",554.92676=""),"-",(554.92676-639.16563)/4798692.63363*100)</f>
        <v>-1.7554545879775805E-3</v>
      </c>
      <c r="G35" s="29">
        <f>IF(OR(4325799.3036="",863.30904="",554.92676=""),"-",(863.30904-554.92676)/4325799.3036*100)</f>
        <v>7.1289086329862621E-3</v>
      </c>
    </row>
    <row r="36" spans="1:7" s="32" customFormat="1" x14ac:dyDescent="0.2">
      <c r="A36" s="27" t="s">
        <v>55</v>
      </c>
      <c r="B36" s="28">
        <f>IF(80.7223="","-",80.7223)</f>
        <v>80.722300000000004</v>
      </c>
      <c r="C36" s="28">
        <f>IF(OR(109.98602="",80.7223=""),"-",80.7223/109.98602*100)</f>
        <v>73.393236704082938</v>
      </c>
      <c r="D36" s="29">
        <f>IF(109.98602="","-",109.98602/4325799.3036*100)</f>
        <v>2.5425594735397883E-3</v>
      </c>
      <c r="E36" s="29">
        <f>IF(80.7223="","-",80.7223/5718897.88378*100)</f>
        <v>1.4115009856872157E-3</v>
      </c>
      <c r="F36" s="29">
        <f>IF(OR(4798692.63363="",96.16085="",109.98602=""),"-",(109.98602-96.16085)/4798692.63363*100)</f>
        <v>2.8810284499388464E-4</v>
      </c>
      <c r="G36" s="29">
        <f>IF(OR(4325799.3036="",80.7223="",109.98602=""),"-",(80.7223-109.98602)/4325799.3036*100)</f>
        <v>-6.7649278078264633E-4</v>
      </c>
    </row>
    <row r="37" spans="1:7" s="32" customFormat="1" ht="24" x14ac:dyDescent="0.2">
      <c r="A37" s="27" t="s">
        <v>379</v>
      </c>
      <c r="B37" s="28">
        <f>IF(42.84089="","-",42.84089)</f>
        <v>42.840890000000002</v>
      </c>
      <c r="C37" s="28">
        <f>IF(OR(159.03288="",42.84089=""),"-",42.84089/159.03288*100)</f>
        <v>26.938385320067148</v>
      </c>
      <c r="D37" s="29">
        <f>IF(159.03288="","-",159.03288/4325799.3036*100)</f>
        <v>3.6763813769087779E-3</v>
      </c>
      <c r="E37" s="29">
        <f>IF(42.84089="","-",42.84089/5718897.88378*100)</f>
        <v>7.4911094533626488E-4</v>
      </c>
      <c r="F37" s="29" t="str">
        <f>IF(OR(4798692.63363="",""="",159.03288=""),"-",(159.03288-"")/4798692.63363*100)</f>
        <v>-</v>
      </c>
      <c r="G37" s="29">
        <f>IF(OR(4325799.3036="",42.84089="",159.03288=""),"-",(42.84089-159.03288)/4325799.3036*100)</f>
        <v>-2.6860235957619012E-3</v>
      </c>
    </row>
    <row r="38" spans="1:7" s="32" customFormat="1" x14ac:dyDescent="0.2">
      <c r="A38" s="24" t="s">
        <v>207</v>
      </c>
      <c r="B38" s="25">
        <v>1435079.99707</v>
      </c>
      <c r="C38" s="25">
        <f>IF(1066316.18298="","-",1435079.99707/1066316.18298*100)</f>
        <v>134.58297079009225</v>
      </c>
      <c r="D38" s="26">
        <f>IF(1066316.18298="","-",1066316.18298/4325799.3036*100)</f>
        <v>24.650153836138315</v>
      </c>
      <c r="E38" s="26">
        <f>IF(1435079.99707="","-",1435079.99707/5718897.88378*100)</f>
        <v>25.093646122624246</v>
      </c>
      <c r="F38" s="26">
        <f>IF(4798692.63363="","-",(1066316.18298-1152602.79478)/4798692.63363*100)</f>
        <v>-1.7981274982125297</v>
      </c>
      <c r="G38" s="26">
        <f>IF(4325799.3036="","-",(1435079.99707-1066316.18298)/4325799.3036*100)</f>
        <v>8.5247555008645168</v>
      </c>
    </row>
    <row r="39" spans="1:7" s="32" customFormat="1" x14ac:dyDescent="0.2">
      <c r="A39" s="27" t="s">
        <v>365</v>
      </c>
      <c r="B39" s="28">
        <v>751567.12523999996</v>
      </c>
      <c r="C39" s="28" t="s">
        <v>104</v>
      </c>
      <c r="D39" s="29">
        <f>IF(472842.78069="","-",472842.78069/4325799.3036*100)</f>
        <v>10.930760941601998</v>
      </c>
      <c r="E39" s="29">
        <f>IF(751567.12524="","-",751567.12524/5718897.88378*100)</f>
        <v>13.141817540956675</v>
      </c>
      <c r="F39" s="29">
        <f>IF(OR(4798692.63363="",547754.29408="",472842.78069=""),"-",(472842.78069-547754.29408)/4798692.63363*100)</f>
        <v>-1.5610817176538512</v>
      </c>
      <c r="G39" s="29">
        <f>IF(OR(4325799.3036="",751567.12524="",472842.78069=""),"-",(751567.12524-472842.78069)/4325799.3036*100)</f>
        <v>6.4433027283082938</v>
      </c>
    </row>
    <row r="40" spans="1:7" s="32" customFormat="1" x14ac:dyDescent="0.2">
      <c r="A40" s="27" t="s">
        <v>12</v>
      </c>
      <c r="B40" s="28">
        <v>539846.44530000002</v>
      </c>
      <c r="C40" s="28">
        <f>IF(OR(432121.74317="",539846.4453=""),"-",539846.4453/432121.74317*100)</f>
        <v>124.92924825761899</v>
      </c>
      <c r="D40" s="29">
        <f>IF(432121.74317="","-",432121.74317/4325799.3036*100)</f>
        <v>9.9894080340338789</v>
      </c>
      <c r="E40" s="29">
        <f>IF(539846.4453="","-",539846.4453/5718897.88378*100)</f>
        <v>9.4396937359402475</v>
      </c>
      <c r="F40" s="29">
        <f>IF(OR(4798692.63363="",477622.95731="",432121.74317=""),"-",(432121.74317-477622.95731)/4798692.63363*100)</f>
        <v>-0.94820022064177056</v>
      </c>
      <c r="G40" s="29">
        <f>IF(OR(4325799.3036="",539846.4453="",432121.74317=""),"-",(539846.4453-432121.74317)/4325799.3036*100)</f>
        <v>2.4902843282708425</v>
      </c>
    </row>
    <row r="41" spans="1:7" s="32" customFormat="1" x14ac:dyDescent="0.2">
      <c r="A41" s="27" t="s">
        <v>11</v>
      </c>
      <c r="B41" s="28">
        <v>112025.18842000001</v>
      </c>
      <c r="C41" s="28">
        <f>IF(OR(93141.56839="",112025.18842=""),"-",112025.18842/93141.56839*100)</f>
        <v>120.27410570426622</v>
      </c>
      <c r="D41" s="29">
        <f>IF(93141.56839="","-",93141.56839/4325799.3036*100)</f>
        <v>2.1531643484358156</v>
      </c>
      <c r="E41" s="29">
        <f>IF(112025.18842="","-",112025.18842/5718897.88378*100)</f>
        <v>1.9588597435482642</v>
      </c>
      <c r="F41" s="29">
        <f>IF(OR(4798692.63363="",108853.01703="",93141.56839=""),"-",(93141.56839-108853.01703)/4798692.63363*100)</f>
        <v>-0.32741102295011926</v>
      </c>
      <c r="G41" s="29">
        <f>IF(OR(4325799.3036="",112025.18842="",93141.56839=""),"-",(112025.18842-93141.56839)/4325799.3036*100)</f>
        <v>0.43653481598845212</v>
      </c>
    </row>
    <row r="42" spans="1:7" s="32" customFormat="1" x14ac:dyDescent="0.2">
      <c r="A42" s="27" t="s">
        <v>13</v>
      </c>
      <c r="B42" s="28">
        <v>12925.528270000001</v>
      </c>
      <c r="C42" s="28">
        <f>IF(OR(55619.71959="",12925.52827=""),"-",12925.52827/55619.71959*100)</f>
        <v>23.239110814078813</v>
      </c>
      <c r="D42" s="29">
        <f>IF(55619.71959="","-",55619.71959/4325799.3036*100)</f>
        <v>1.2857674544381283</v>
      </c>
      <c r="E42" s="29">
        <f>IF(12925.52827="","-",12925.52827/5718897.88378*100)</f>
        <v>0.22601432186190148</v>
      </c>
      <c r="F42" s="29">
        <f>IF(OR(4798692.63363="",8102.35469="",55619.71959=""),"-",(55619.71959-8102.35469)/4798692.63363*100)</f>
        <v>0.9902148049031263</v>
      </c>
      <c r="G42" s="29">
        <f>IF(OR(4325799.3036="",12925.52827="",55619.71959=""),"-",(12925.52827-55619.71959)/4325799.3036*100)</f>
        <v>-0.98696653088989128</v>
      </c>
    </row>
    <row r="43" spans="1:7" s="32" customFormat="1" x14ac:dyDescent="0.2">
      <c r="A43" s="27" t="s">
        <v>15</v>
      </c>
      <c r="B43" s="28">
        <v>9770.0119300000006</v>
      </c>
      <c r="C43" s="28" t="s">
        <v>104</v>
      </c>
      <c r="D43" s="29">
        <f>IF(6046.45456="","-",6046.45456/4325799.3036*100)</f>
        <v>0.1397765854501859</v>
      </c>
      <c r="E43" s="29">
        <f>IF(9770.01193="","-",9770.01193/5718897.88378*100)</f>
        <v>0.17083732090600559</v>
      </c>
      <c r="F43" s="29">
        <f>IF(OR(4798692.63363="",6529.21192="",6046.45456=""),"-",(6046.45456-6529.21192)/4798692.63363*100)</f>
        <v>-1.0060185072424921E-2</v>
      </c>
      <c r="G43" s="29">
        <f>IF(OR(4325799.3036="",9770.01193="",6046.45456=""),"-",(9770.01193-6046.45456)/4325799.3036*100)</f>
        <v>8.6077903958724944E-2</v>
      </c>
    </row>
    <row r="44" spans="1:7" s="32" customFormat="1" x14ac:dyDescent="0.2">
      <c r="A44" s="27" t="s">
        <v>16</v>
      </c>
      <c r="B44" s="28">
        <v>6510.3738599999997</v>
      </c>
      <c r="C44" s="28" t="s">
        <v>311</v>
      </c>
      <c r="D44" s="29">
        <f>IF(1542.83385="","-",1542.83385/4325799.3036*100)</f>
        <v>3.566586754766983E-2</v>
      </c>
      <c r="E44" s="29">
        <f>IF(6510.37386="","-",6510.37386/5718897.88378*100)</f>
        <v>0.1138396591844172</v>
      </c>
      <c r="F44" s="29">
        <f>IF(OR(4798692.63363="",2114.53558="",1542.83385=""),"-",(1542.83385-2114.53558)/4798692.63363*100)</f>
        <v>-1.1913697618251765E-2</v>
      </c>
      <c r="G44" s="29">
        <f>IF(OR(4325799.3036="",6510.37386="",1542.83385=""),"-",(6510.37386-1542.83385)/4325799.3036*100)</f>
        <v>0.11483519371474152</v>
      </c>
    </row>
    <row r="45" spans="1:7" s="32" customFormat="1" x14ac:dyDescent="0.2">
      <c r="A45" s="27" t="s">
        <v>14</v>
      </c>
      <c r="B45" s="28">
        <v>1289.0528099999999</v>
      </c>
      <c r="C45" s="28">
        <f>IF(OR(4125.71112="",1289.05281=""),"-",1289.05281/4125.71112*100)</f>
        <v>31.244378787238013</v>
      </c>
      <c r="D45" s="29">
        <f>IF(4125.71112="","-",4125.71112/4325799.3036*100)</f>
        <v>9.5374538448108684E-2</v>
      </c>
      <c r="E45" s="29">
        <f>IF(1289.05281="","-",1289.05281/5718897.88378*100)</f>
        <v>2.2540231285752201E-2</v>
      </c>
      <c r="F45" s="29">
        <f>IF(OR(4798692.63363="",581.38877="",4125.71112=""),"-",(4125.71112-581.38877)/4798692.63363*100)</f>
        <v>7.3860166103593E-2</v>
      </c>
      <c r="G45" s="29">
        <f>IF(OR(4325799.3036="",1289.05281="",4125.71112=""),"-",(1289.05281-4125.71112)/4325799.3036*100)</f>
        <v>-6.5575356388801645E-2</v>
      </c>
    </row>
    <row r="46" spans="1:7" s="32" customFormat="1" x14ac:dyDescent="0.2">
      <c r="A46" s="27" t="s">
        <v>17</v>
      </c>
      <c r="B46" s="28">
        <v>772.44578999999999</v>
      </c>
      <c r="C46" s="28">
        <f>IF(OR(745.51663="",772.44579=""),"-",772.44579/745.51663*100)</f>
        <v>103.61214745806542</v>
      </c>
      <c r="D46" s="29">
        <f>IF(745.51663="","-",745.51663/4325799.3036*100)</f>
        <v>1.7234193675595838E-2</v>
      </c>
      <c r="E46" s="29">
        <f>IF(772.44579="","-",772.44579/5718897.88378*100)</f>
        <v>1.3506899505773991E-2</v>
      </c>
      <c r="F46" s="29">
        <f>IF(OR(4798692.63363="",884.04879="",745.51663=""),"-",(745.51663-884.04879)/4798692.63363*100)</f>
        <v>-2.8868729584625762E-3</v>
      </c>
      <c r="G46" s="29">
        <f>IF(OR(4325799.3036="",772.44579="",745.51663=""),"-",(772.44579-745.51663)/4325799.3036*100)</f>
        <v>6.2252448877110741E-4</v>
      </c>
    </row>
    <row r="47" spans="1:7" s="32" customFormat="1" x14ac:dyDescent="0.2">
      <c r="A47" s="27" t="s">
        <v>399</v>
      </c>
      <c r="B47" s="28">
        <v>358.93963000000002</v>
      </c>
      <c r="C47" s="28" t="s">
        <v>375</v>
      </c>
      <c r="D47" s="29">
        <f>IF(129.08415="","-",129.08415/4325799.3036*100)</f>
        <v>2.9840531411749519E-3</v>
      </c>
      <c r="E47" s="29">
        <f>IF(358.93963="","-",358.93963/5718897.88378*100)</f>
        <v>6.2763776744122063E-3</v>
      </c>
      <c r="F47" s="29">
        <f>IF(OR(4798692.63363="",160.85103="",129.08415=""),"-",(129.08415-160.85103)/4798692.63363*100)</f>
        <v>-6.6199030497124725E-4</v>
      </c>
      <c r="G47" s="29">
        <f>IF(OR(4325799.3036="",358.93963="",129.08415=""),"-",(358.93963-129.08415)/4325799.3036*100)</f>
        <v>5.3135955662277391E-3</v>
      </c>
    </row>
    <row r="48" spans="1:7" s="32" customFormat="1" x14ac:dyDescent="0.2">
      <c r="A48" s="27" t="s">
        <v>18</v>
      </c>
      <c r="B48" s="28">
        <v>14.885820000000001</v>
      </c>
      <c r="C48" s="28" t="s">
        <v>382</v>
      </c>
      <c r="D48" s="29">
        <f>IF(0.77083="","-",0.77083/4325799.3036*100)</f>
        <v>1.7819365761109229E-5</v>
      </c>
      <c r="E48" s="29">
        <f>IF(14.88582="","-",14.88582/5718897.88378*100)</f>
        <v>2.6029176079921492E-4</v>
      </c>
      <c r="F48" s="29">
        <f>IF(OR(4798692.63363="",0.13558="",0.77083=""),"-",(0.77083-0.13558)/4798692.63363*100)</f>
        <v>1.3237980602217928E-5</v>
      </c>
      <c r="G48" s="29">
        <f>IF(OR(4325799.3036="",14.88582="",0.77083=""),"-",(14.88582-0.77083)/4325799.3036*100)</f>
        <v>3.2629784715747852E-4</v>
      </c>
    </row>
    <row r="49" spans="1:7" s="32" customFormat="1" x14ac:dyDescent="0.2">
      <c r="A49" s="24" t="s">
        <v>140</v>
      </c>
      <c r="B49" s="25">
        <v>1694775.9638700001</v>
      </c>
      <c r="C49" s="25">
        <f>IF(1276888.51011="","-",1694775.96387/1276888.51011*100)</f>
        <v>132.72701183003053</v>
      </c>
      <c r="D49" s="26">
        <f>IF(1276888.51011="","-",1276888.51011/4325799.3036*100)</f>
        <v>29.517978539766109</v>
      </c>
      <c r="E49" s="26">
        <f>IF(1694775.96387="","-",1694775.96387/5718897.88378*100)</f>
        <v>29.634660354344533</v>
      </c>
      <c r="F49" s="26">
        <f>IF(4798692.63363="","-",(1276888.51011-1301684.23824)/4798692.63363*100)</f>
        <v>-0.51671840693083315</v>
      </c>
      <c r="G49" s="26">
        <f>IF(4325799.3036="","-",(1694775.96387-1276888.51011)/4325799.3036*100)</f>
        <v>9.6603523286951258</v>
      </c>
    </row>
    <row r="50" spans="1:7" s="32" customFormat="1" x14ac:dyDescent="0.2">
      <c r="A50" s="27" t="s">
        <v>59</v>
      </c>
      <c r="B50" s="28">
        <v>665041.8983</v>
      </c>
      <c r="C50" s="28">
        <f>IF(OR(508457.31741="",665041.8983=""),"-",665041.8983/508457.31741*100)</f>
        <v>130.79601286645195</v>
      </c>
      <c r="D50" s="29">
        <f>IF(508457.31741="","-",508457.31741/4325799.3036*100)</f>
        <v>11.754066282891433</v>
      </c>
      <c r="E50" s="29">
        <f>IF(665041.8983="","-",665041.8983/5718897.88378*100)</f>
        <v>11.628847232719421</v>
      </c>
      <c r="F50" s="29">
        <f>IF(OR(4798692.63363="",493371.68709="",508457.31741=""),"-",(508457.31741-493371.68709)/4798692.63363*100)</f>
        <v>0.31436958921431024</v>
      </c>
      <c r="G50" s="29">
        <f>IF(OR(4325799.3036="",665041.8983="",508457.31741=""),"-",(665041.8983-508457.31741)/4325799.3036*100)</f>
        <v>3.6197837648105349</v>
      </c>
    </row>
    <row r="51" spans="1:7" s="32" customFormat="1" x14ac:dyDescent="0.2">
      <c r="A51" s="27" t="s">
        <v>56</v>
      </c>
      <c r="B51" s="33">
        <v>426756.73914000002</v>
      </c>
      <c r="C51" s="28">
        <f>IF(OR(302650.3442="",426756.73914=""),"-",426756.73914/302650.3442*100)</f>
        <v>141.00652694384084</v>
      </c>
      <c r="D51" s="29">
        <f>IF(302650.3442="","-",302650.3442/4325799.3036*100)</f>
        <v>6.9964028138829626</v>
      </c>
      <c r="E51" s="29">
        <f>IF(426756.73914="","-",426756.73914/5718897.88378*100)</f>
        <v>7.4622199558829703</v>
      </c>
      <c r="F51" s="29">
        <f>IF(OR(4798692.63363="",323158.83836="",302650.3442=""),"-",(302650.3442-323158.83836)/4798692.63363*100)</f>
        <v>-0.42737669873400969</v>
      </c>
      <c r="G51" s="29">
        <f>IF(OR(4325799.3036="",426756.73914="",302650.3442=""),"-",(426756.73914-302650.3442)/4325799.3036*100)</f>
        <v>2.8689818049745552</v>
      </c>
    </row>
    <row r="52" spans="1:7" s="32" customFormat="1" x14ac:dyDescent="0.2">
      <c r="A52" s="27" t="s">
        <v>19</v>
      </c>
      <c r="B52" s="33">
        <v>86270.228900000002</v>
      </c>
      <c r="C52" s="28" t="s">
        <v>104</v>
      </c>
      <c r="D52" s="29">
        <f>IF(54133.35996="","-",54133.35996/4325799.3036*100)</f>
        <v>1.2514071079291482</v>
      </c>
      <c r="E52" s="29">
        <f>IF(86270.2289="","-",86270.2289/5718897.88378*100)</f>
        <v>1.5085114414209171</v>
      </c>
      <c r="F52" s="29">
        <f>IF(OR(4798692.63363="",62899.00932="",54133.35996=""),"-",(54133.35996-62899.00932)/4798692.63363*100)</f>
        <v>-0.18266744776627145</v>
      </c>
      <c r="G52" s="29">
        <f>IF(OR(4325799.3036="",86270.2289="",54133.35996=""),"-",(86270.2289-54133.35996)/4325799.3036*100)</f>
        <v>0.74291169526184853</v>
      </c>
    </row>
    <row r="53" spans="1:7" s="32" customFormat="1" x14ac:dyDescent="0.2">
      <c r="A53" s="27" t="s">
        <v>76</v>
      </c>
      <c r="B53" s="28">
        <v>54142.331709999999</v>
      </c>
      <c r="C53" s="28">
        <f>IF(OR(43444.75648="",54142.33171=""),"-",54142.33171/43444.75648*100)</f>
        <v>124.62339784301631</v>
      </c>
      <c r="D53" s="29">
        <f>IF(43444.75648="","-",43444.75648/4325799.3036*100)</f>
        <v>1.0043174320141151</v>
      </c>
      <c r="E53" s="29">
        <f>IF(54142.33171="","-",54142.33171/5718897.88378*100)</f>
        <v>0.94672667374528696</v>
      </c>
      <c r="F53" s="29">
        <f>IF(OR(4798692.63363="",41002.15422="",43444.75648=""),"-",(43444.75648-41002.15422)/4798692.63363*100)</f>
        <v>5.0901410998526041E-2</v>
      </c>
      <c r="G53" s="29">
        <f>IF(OR(4325799.3036="",54142.33171="",43444.75648=""),"-",(54142.33171-43444.75648)/4325799.3036*100)</f>
        <v>0.2472970768916003</v>
      </c>
    </row>
    <row r="54" spans="1:7" s="32" customFormat="1" ht="24" x14ac:dyDescent="0.2">
      <c r="A54" s="27" t="s">
        <v>367</v>
      </c>
      <c r="B54" s="33">
        <v>52181.01283</v>
      </c>
      <c r="C54" s="28">
        <f>IF(OR(39221.38907="",52181.01283=""),"-",52181.01283/39221.38907*100)</f>
        <v>133.04223554364799</v>
      </c>
      <c r="D54" s="29">
        <f>IF(39221.38907="","-",39221.38907/4325799.3036*100)</f>
        <v>0.90668536187888615</v>
      </c>
      <c r="E54" s="29">
        <f>IF(52181.01283="","-",52181.01283/5718897.88378*100)</f>
        <v>0.91243127417952941</v>
      </c>
      <c r="F54" s="29">
        <f>IF(OR(4798692.63363="",46868.68347="",39221.38907=""),"-",(39221.38907-46868.68347)/4798692.63363*100)</f>
        <v>-0.15936203845202654</v>
      </c>
      <c r="G54" s="29">
        <f>IF(OR(4325799.3036="",52181.01283="",39221.38907=""),"-",(52181.01283-39221.38907)/4325799.3036*100)</f>
        <v>0.29958911291179857</v>
      </c>
    </row>
    <row r="55" spans="1:7" s="32" customFormat="1" x14ac:dyDescent="0.2">
      <c r="A55" s="27" t="s">
        <v>36</v>
      </c>
      <c r="B55" s="28">
        <v>45307.879670000002</v>
      </c>
      <c r="C55" s="28">
        <f>IF(OR(34170.44702="",45307.87967=""),"-",45307.87967/34170.44702*100)</f>
        <v>132.59375753405055</v>
      </c>
      <c r="D55" s="29">
        <f>IF(34170.44702="","-",34170.44702/4325799.3036*100)</f>
        <v>0.78992215361361773</v>
      </c>
      <c r="E55" s="29">
        <f>IF(45307.87967="","-",45307.87967/5718897.88378*100)</f>
        <v>0.79224844700414576</v>
      </c>
      <c r="F55" s="29">
        <f>IF(OR(4798692.63363="",33537.15796="",34170.44702=""),"-",(34170.44702-33537.15796)/4798692.63363*100)</f>
        <v>1.3197116555492897E-2</v>
      </c>
      <c r="G55" s="29">
        <f>IF(OR(4325799.3036="",45307.87967="",34170.44702=""),"-",(45307.87967-34170.44702)/4325799.3036*100)</f>
        <v>0.25746531145657292</v>
      </c>
    </row>
    <row r="56" spans="1:7" s="32" customFormat="1" x14ac:dyDescent="0.2">
      <c r="A56" s="27" t="s">
        <v>72</v>
      </c>
      <c r="B56" s="33">
        <v>43192.587959999997</v>
      </c>
      <c r="C56" s="28">
        <f>IF(OR(34198.89317="",43192.58796=""),"-",43192.58796/34198.89317*100)</f>
        <v>126.29820428776173</v>
      </c>
      <c r="D56" s="29">
        <f>IF(34198.89317="","-",34198.89317/4325799.3036*100)</f>
        <v>0.79057974653468388</v>
      </c>
      <c r="E56" s="29">
        <f>IF(43192.58796="","-",43192.58796/5718897.88378*100)</f>
        <v>0.75526069599010115</v>
      </c>
      <c r="F56" s="29">
        <f>IF(OR(4798692.63363="",40506.69423="",34198.89317=""),"-",(34198.89317-40506.69423)/4798692.63363*100)</f>
        <v>-0.13144832439973184</v>
      </c>
      <c r="G56" s="29">
        <f>IF(OR(4325799.3036="",43192.58796="",34198.89317=""),"-",(43192.58796-34198.89317)/4325799.3036*100)</f>
        <v>0.20790827680136006</v>
      </c>
    </row>
    <row r="57" spans="1:7" s="32" customFormat="1" x14ac:dyDescent="0.2">
      <c r="A57" s="27" t="s">
        <v>69</v>
      </c>
      <c r="B57" s="28">
        <v>36685.355710000003</v>
      </c>
      <c r="C57" s="28">
        <f>IF(OR(32767.56654="",36685.35571=""),"-",36685.35571/32767.56654*100)</f>
        <v>111.95630186702294</v>
      </c>
      <c r="D57" s="29">
        <f>IF(32767.56654="","-",32767.56654/4325799.3036*100)</f>
        <v>0.757491604215903</v>
      </c>
      <c r="E57" s="29">
        <f>IF(36685.35571="","-",36685.35571/5718897.88378*100)</f>
        <v>0.6414759706419555</v>
      </c>
      <c r="F57" s="29">
        <f>IF(OR(4798692.63363="",29479.46223="",32767.56654=""),"-",(32767.56654-29479.46223)/4798692.63363*100)</f>
        <v>6.8520836007633451E-2</v>
      </c>
      <c r="G57" s="29">
        <f>IF(OR(4325799.3036="",36685.35571="",32767.56654=""),"-",(36685.35571-32767.56654)/4325799.3036*100)</f>
        <v>9.0567982817408021E-2</v>
      </c>
    </row>
    <row r="58" spans="1:7" s="32" customFormat="1" x14ac:dyDescent="0.2">
      <c r="A58" s="27" t="s">
        <v>366</v>
      </c>
      <c r="B58" s="28">
        <v>30713.494910000001</v>
      </c>
      <c r="C58" s="28">
        <f>IF(OR(24093.21152="",30713.49491=""),"-",30713.49491/24093.21152*100)</f>
        <v>127.47779549648017</v>
      </c>
      <c r="D58" s="29">
        <f>IF(24093.21152="","-",24093.21152/4325799.3036*100)</f>
        <v>0.55696554160405087</v>
      </c>
      <c r="E58" s="29">
        <f>IF(30713.49491="","-",30713.49491/5718897.88378*100)</f>
        <v>0.53705268976929887</v>
      </c>
      <c r="F58" s="29">
        <f>IF(OR(4798692.63363="",28456.8942="",24093.21152=""),"-",(24093.21152-28456.8942)/4798692.63363*100)</f>
        <v>-9.0934823568790735E-2</v>
      </c>
      <c r="G58" s="29">
        <f>IF(OR(4325799.3036="",30713.49491="",24093.21152=""),"-",(30713.49491-24093.21152)/4325799.3036*100)</f>
        <v>0.15304185250782423</v>
      </c>
    </row>
    <row r="59" spans="1:7" s="32" customFormat="1" x14ac:dyDescent="0.2">
      <c r="A59" s="27" t="s">
        <v>66</v>
      </c>
      <c r="B59" s="33">
        <v>24921.56365</v>
      </c>
      <c r="C59" s="28">
        <f>IF(OR(28951.48413="",24921.56365=""),"-",24921.56365/28951.48413*100)</f>
        <v>86.080435593890229</v>
      </c>
      <c r="D59" s="29">
        <f>IF(28951.48413="","-",28951.48413/4325799.3036*100)</f>
        <v>0.66927478826643916</v>
      </c>
      <c r="E59" s="29">
        <f>IF(24921.56365="","-",24921.56365/5718897.88378*100)</f>
        <v>0.43577563643307582</v>
      </c>
      <c r="F59" s="29">
        <f>IF(OR(4798692.63363="",19697.80127="",28951.48413=""),"-",(28951.48413-19697.80127)/4798692.63363*100)</f>
        <v>0.19283758236876272</v>
      </c>
      <c r="G59" s="29">
        <f>IF(OR(4325799.3036="",24921.56365="",28951.48413=""),"-",(24921.56365-28951.48413)/4325799.3036*100)</f>
        <v>-9.3160135206601838E-2</v>
      </c>
    </row>
    <row r="60" spans="1:7" s="32" customFormat="1" x14ac:dyDescent="0.2">
      <c r="A60" s="27" t="s">
        <v>70</v>
      </c>
      <c r="B60" s="33">
        <v>18885.626420000001</v>
      </c>
      <c r="C60" s="28">
        <f>IF(OR(13945.62401="",18885.62642=""),"-",18885.62642/13945.62401*100)</f>
        <v>135.4233156326147</v>
      </c>
      <c r="D60" s="29">
        <f>IF(13945.62401="","-",13945.62401/4325799.3036*100)</f>
        <v>0.32238259408831621</v>
      </c>
      <c r="E60" s="29">
        <f>IF(18885.62642="","-",18885.62642/5718897.88378*100)</f>
        <v>0.33023192237028082</v>
      </c>
      <c r="F60" s="29">
        <f>IF(OR(4798692.63363="",18104.08715="",13945.62401=""),"-",(13945.62401-18104.08715)/4798692.63363*100)</f>
        <v>-8.6658251684153087E-2</v>
      </c>
      <c r="G60" s="29">
        <f>IF(OR(4325799.3036="",18885.62642="",13945.62401=""),"-",(18885.62642-13945.62401)/4325799.3036*100)</f>
        <v>0.11419860384851536</v>
      </c>
    </row>
    <row r="61" spans="1:7" s="32" customFormat="1" x14ac:dyDescent="0.2">
      <c r="A61" s="27" t="s">
        <v>79</v>
      </c>
      <c r="B61" s="28">
        <v>18144.889060000001</v>
      </c>
      <c r="C61" s="28">
        <f>IF(OR(15738.68513="",18144.88906=""),"-",18144.88906/15738.68513*100)</f>
        <v>115.28846857361333</v>
      </c>
      <c r="D61" s="29">
        <f>IF(15738.68513="","-",15738.68513/4325799.3036*100)</f>
        <v>0.36383299421454923</v>
      </c>
      <c r="E61" s="29">
        <f>IF(18144.88906="","-",18144.88906/5718897.88378*100)</f>
        <v>0.31727947287645636</v>
      </c>
      <c r="F61" s="29">
        <f>IF(OR(4798692.63363="",13742.97142="",15738.68513=""),"-",(15738.68513-13742.97142)/4798692.63363*100)</f>
        <v>4.1588696388131244E-2</v>
      </c>
      <c r="G61" s="29">
        <f>IF(OR(4325799.3036="",18144.88906="",15738.68513=""),"-",(18144.88906-15738.68513)/4325799.3036*100)</f>
        <v>5.5624492980927698E-2</v>
      </c>
    </row>
    <row r="62" spans="1:7" s="32" customFormat="1" x14ac:dyDescent="0.2">
      <c r="A62" s="27" t="s">
        <v>81</v>
      </c>
      <c r="B62" s="28">
        <v>15536.87773</v>
      </c>
      <c r="C62" s="28" t="s">
        <v>311</v>
      </c>
      <c r="D62" s="29">
        <f>IF(3671.42455="","-",3671.42455/4325799.3036*100)</f>
        <v>8.4872743563127878E-2</v>
      </c>
      <c r="E62" s="29">
        <f>IF(15536.87773="","-",15536.87773/5718897.88378*100)</f>
        <v>0.27167608245053404</v>
      </c>
      <c r="F62" s="29">
        <f>IF(OR(4798692.63363="",3346.42903="",3671.42455=""),"-",(3671.42455-3346.42903)/4798692.63363*100)</f>
        <v>6.7725846352896246E-3</v>
      </c>
      <c r="G62" s="29">
        <f>IF(OR(4325799.3036="",15536.87773="",3671.42455=""),"-",(15536.87773-3671.42455)/4325799.3036*100)</f>
        <v>0.27429504577628877</v>
      </c>
    </row>
    <row r="63" spans="1:7" s="32" customFormat="1" x14ac:dyDescent="0.2">
      <c r="A63" s="27" t="s">
        <v>61</v>
      </c>
      <c r="B63" s="33">
        <v>12037.87665</v>
      </c>
      <c r="C63" s="28">
        <f>IF(OR(10307.78335="",12037.87665=""),"-",12037.87665/10307.78335*100)</f>
        <v>116.7843389917581</v>
      </c>
      <c r="D63" s="29">
        <f>IF(10307.78335="","-",10307.78335/4325799.3036*100)</f>
        <v>0.23828621317271226</v>
      </c>
      <c r="E63" s="29">
        <f>IF(12037.87665="","-",12037.87665/5718897.88378*100)</f>
        <v>0.21049294627452533</v>
      </c>
      <c r="F63" s="29">
        <f>IF(OR(4798692.63363="",10034.08417="",10307.78335=""),"-",(10307.78335-10034.08417)/4798692.63363*100)</f>
        <v>5.7036197334639077E-3</v>
      </c>
      <c r="G63" s="29">
        <f>IF(OR(4325799.3036="",12037.87665="",10307.78335=""),"-",(12037.87665-10307.78335)/4325799.3036*100)</f>
        <v>3.99947657895314E-2</v>
      </c>
    </row>
    <row r="64" spans="1:7" s="32" customFormat="1" x14ac:dyDescent="0.2">
      <c r="A64" s="27" t="s">
        <v>82</v>
      </c>
      <c r="B64" s="33">
        <v>11430.418589999999</v>
      </c>
      <c r="C64" s="28">
        <f>IF(OR(8042.88264="",11430.41859=""),"-",11430.41859/8042.88264*100)</f>
        <v>142.1184306874332</v>
      </c>
      <c r="D64" s="29">
        <f>IF(8042.88264="","-",8042.88264/4325799.3036*100)</f>
        <v>0.18592824297943233</v>
      </c>
      <c r="E64" s="29">
        <f>IF(11430.41859="","-",11430.41859/5718897.88378*100)</f>
        <v>0.19987100350959364</v>
      </c>
      <c r="F64" s="29">
        <f>IF(OR(4798692.63363="",8351.0988="",8042.88264=""),"-",(8042.88264-8351.0988)/4798692.63363*100)</f>
        <v>-6.4229193976703611E-3</v>
      </c>
      <c r="G64" s="29">
        <f>IF(OR(4325799.3036="",11430.41859="",8042.88264=""),"-",(11430.41859-8042.88264)/4325799.3036*100)</f>
        <v>7.831005814765464E-2</v>
      </c>
    </row>
    <row r="65" spans="1:7" s="32" customFormat="1" x14ac:dyDescent="0.2">
      <c r="A65" s="27" t="s">
        <v>78</v>
      </c>
      <c r="B65" s="33">
        <v>10757.473190000001</v>
      </c>
      <c r="C65" s="28" t="s">
        <v>104</v>
      </c>
      <c r="D65" s="29">
        <f>IF(6622.94488="","-",6622.94488/4325799.3036*100)</f>
        <v>0.15310337847824512</v>
      </c>
      <c r="E65" s="29">
        <f>IF(10757.47319="","-",10757.47319/5718897.88378*100)</f>
        <v>0.18810395654222928</v>
      </c>
      <c r="F65" s="29">
        <f>IF(OR(4798692.63363="",7179.27893="",6622.94488=""),"-",(6622.94488-7179.27893)/4798692.63363*100)</f>
        <v>-1.1593450393157565E-2</v>
      </c>
      <c r="G65" s="29">
        <f>IF(OR(4325799.3036="",10757.47319="",6622.94488=""),"-",(10757.47319-6622.94488)/4325799.3036*100)</f>
        <v>9.5578366443380289E-2</v>
      </c>
    </row>
    <row r="66" spans="1:7" s="32" customFormat="1" x14ac:dyDescent="0.2">
      <c r="A66" s="27" t="s">
        <v>71</v>
      </c>
      <c r="B66" s="28">
        <v>10354.15523</v>
      </c>
      <c r="C66" s="28">
        <f>IF(OR(8622.53419="",10354.15523=""),"-",10354.15523/8622.53419*100)</f>
        <v>120.08250708948478</v>
      </c>
      <c r="D66" s="29">
        <f>IF(8622.53419="","-",8622.53419/4325799.3036*100)</f>
        <v>0.19932811452496624</v>
      </c>
      <c r="E66" s="29">
        <f>IF(10354.15523="","-",10354.15523/5718897.88378*100)</f>
        <v>0.18105158442095229</v>
      </c>
      <c r="F66" s="29">
        <f>IF(OR(4798692.63363="",8330.80222="",8622.53419=""),"-",(8622.53419-8330.80222)/4798692.63363*100)</f>
        <v>6.0794052104003651E-3</v>
      </c>
      <c r="G66" s="29">
        <f>IF(OR(4325799.3036="",10354.15523="",8622.53419=""),"-",(10354.15523-8622.53419)/4325799.3036*100)</f>
        <v>4.0030082730812711E-2</v>
      </c>
    </row>
    <row r="67" spans="1:7" s="32" customFormat="1" x14ac:dyDescent="0.2">
      <c r="A67" s="27" t="s">
        <v>62</v>
      </c>
      <c r="B67" s="28">
        <v>10134.65832</v>
      </c>
      <c r="C67" s="28">
        <f>IF(OR(7902.57345="",10134.65832=""),"-",10134.65832/7902.57345*100)</f>
        <v>128.24503795026416</v>
      </c>
      <c r="D67" s="29">
        <f>IF(7902.57345="","-",7902.57345/4325799.3036*100)</f>
        <v>0.18268469929761535</v>
      </c>
      <c r="E67" s="29">
        <f>IF(10134.65832="","-",10134.65832/5718897.88378*100)</f>
        <v>0.17721348633875816</v>
      </c>
      <c r="F67" s="29">
        <f>IF(OR(4798692.63363="",8892.24803="",7902.57345=""),"-",(7902.57345-8892.24803)/4798692.63363*100)</f>
        <v>-2.0623837689961722E-2</v>
      </c>
      <c r="G67" s="29">
        <f>IF(OR(4325799.3036="",10134.65832="",7902.57345=""),"-",(10134.65832-7902.57345)/4325799.3036*100)</f>
        <v>5.1599362645937445E-2</v>
      </c>
    </row>
    <row r="68" spans="1:7" s="32" customFormat="1" x14ac:dyDescent="0.2">
      <c r="A68" s="27" t="s">
        <v>74</v>
      </c>
      <c r="B68" s="33">
        <v>9660.4022000000004</v>
      </c>
      <c r="C68" s="28">
        <f>IF(OR(7643.0725="",9660.4022=""),"-",9660.4022/7643.0725*100)</f>
        <v>126.39422431227756</v>
      </c>
      <c r="D68" s="29">
        <f>IF(7643.0725="","-",7643.0725/4325799.3036*100)</f>
        <v>0.17668578599195092</v>
      </c>
      <c r="E68" s="29">
        <f>IF(9660.4022="","-",9660.4022/5718897.88378*100)</f>
        <v>0.16892069759453018</v>
      </c>
      <c r="F68" s="29">
        <f>IF(OR(4798692.63363="",5475.42174="",7643.0725=""),"-",(7643.0725-5475.42174)/4798692.63363*100)</f>
        <v>4.5171694157045181E-2</v>
      </c>
      <c r="G68" s="29">
        <f>IF(OR(4325799.3036="",9660.4022="",7643.0725=""),"-",(9660.4022-7643.0725)/4325799.3036*100)</f>
        <v>4.6634842682626208E-2</v>
      </c>
    </row>
    <row r="69" spans="1:7" s="32" customFormat="1" x14ac:dyDescent="0.2">
      <c r="A69" s="27" t="s">
        <v>83</v>
      </c>
      <c r="B69" s="28">
        <v>8361.5782199999994</v>
      </c>
      <c r="C69" s="28">
        <f>IF(OR(7768.12179="",8361.57822=""),"-",8361.57822/7768.12179*100)</f>
        <v>107.63963859016685</v>
      </c>
      <c r="D69" s="29">
        <f>IF(7768.12179="","-",7768.12179/4325799.3036*100)</f>
        <v>0.17957656481046735</v>
      </c>
      <c r="E69" s="29">
        <f>IF(8361.57822="","-",8361.57822/5718897.88378*100)</f>
        <v>0.14620960873799124</v>
      </c>
      <c r="F69" s="29">
        <f>IF(OR(4798692.63363="",8693.54979="",7768.12179=""),"-",(7768.12179-8693.54979)/4798692.63363*100)</f>
        <v>-1.9285002617472364E-2</v>
      </c>
      <c r="G69" s="29">
        <f>IF(OR(4325799.3036="",8361.57822="",7768.12179=""),"-",(8361.57822-7768.12179)/4325799.3036*100)</f>
        <v>1.3719000544156434E-2</v>
      </c>
    </row>
    <row r="70" spans="1:7" s="32" customFormat="1" x14ac:dyDescent="0.2">
      <c r="A70" s="27" t="s">
        <v>63</v>
      </c>
      <c r="B70" s="28">
        <v>8133.1569799999997</v>
      </c>
      <c r="C70" s="28">
        <f>IF(OR(5887.80146="",8133.15698=""),"-",8133.15698/5887.80146*100)</f>
        <v>138.13572069734838</v>
      </c>
      <c r="D70" s="29">
        <f>IF(5887.80146="","-",5887.80146/4325799.3036*100)</f>
        <v>0.13610898349121459</v>
      </c>
      <c r="E70" s="29">
        <f>IF(8133.15698="","-",8133.15698/5718897.88378*100)</f>
        <v>0.14221546083323761</v>
      </c>
      <c r="F70" s="29">
        <f>IF(OR(4798692.63363="",7097.4184="",5887.80146=""),"-",(5887.80146-7097.4184)/4798692.63363*100)</f>
        <v>-2.5207218556212836E-2</v>
      </c>
      <c r="G70" s="29">
        <f>IF(OR(4325799.3036="",8133.15698="",5887.80146=""),"-",(8133.15698-5887.80146)/4325799.3036*100)</f>
        <v>5.1906141788209612E-2</v>
      </c>
    </row>
    <row r="71" spans="1:7" s="32" customFormat="1" x14ac:dyDescent="0.2">
      <c r="A71" s="27" t="s">
        <v>65</v>
      </c>
      <c r="B71" s="28">
        <v>6927.8696</v>
      </c>
      <c r="C71" s="28">
        <f>IF(OR(5446.88848="",6927.8696=""),"-",6927.8696/5446.88848*100)</f>
        <v>127.18948855732771</v>
      </c>
      <c r="D71" s="29">
        <f>IF(5446.88848="","-",5446.88848/4325799.3036*100)</f>
        <v>0.12591634742432481</v>
      </c>
      <c r="E71" s="29">
        <f>IF(6927.8696="","-",6927.8696/5718897.88378*100)</f>
        <v>0.12113994235932939</v>
      </c>
      <c r="F71" s="29">
        <f>IF(OR(4798692.63363="",5157.00037="",5446.88848=""),"-",(5446.88848-5157.00037)/4798692.63363*100)</f>
        <v>6.0409809948738531E-3</v>
      </c>
      <c r="G71" s="29">
        <f>IF(OR(4325799.3036="",6927.8696="",5446.88848=""),"-",(6927.8696-5446.88848)/4325799.3036*100)</f>
        <v>3.4236010874741783E-2</v>
      </c>
    </row>
    <row r="72" spans="1:7" s="32" customFormat="1" x14ac:dyDescent="0.2">
      <c r="A72" s="27" t="s">
        <v>68</v>
      </c>
      <c r="B72" s="28">
        <v>6474.5393700000004</v>
      </c>
      <c r="C72" s="28">
        <f>IF(OR(4987.39382="",6474.53937=""),"-",6474.53937/4987.39382*100)</f>
        <v>129.81808944054873</v>
      </c>
      <c r="D72" s="29">
        <f>IF(4987.39382="","-",4987.39382/4325799.3036*100)</f>
        <v>0.11529415652384543</v>
      </c>
      <c r="E72" s="29">
        <f>IF(6474.53937="","-",6474.53937/5718897.88378*100)</f>
        <v>0.11321306135511108</v>
      </c>
      <c r="F72" s="29">
        <f>IF(OR(4798692.63363="",5323.65631="",4987.39382=""),"-",(4987.39382-5323.65631)/4798692.63363*100)</f>
        <v>-7.0073771269161759E-3</v>
      </c>
      <c r="G72" s="29">
        <f>IF(OR(4325799.3036="",6474.53937="",4987.39382=""),"-",(6474.53937-4987.39382)/4325799.3036*100)</f>
        <v>3.4378514712006487E-2</v>
      </c>
    </row>
    <row r="73" spans="1:7" s="32" customFormat="1" x14ac:dyDescent="0.2">
      <c r="A73" s="27" t="s">
        <v>84</v>
      </c>
      <c r="B73" s="33">
        <v>6430.5927199999996</v>
      </c>
      <c r="C73" s="28">
        <f>IF(OR(5122.9246="",6430.59272=""),"-",6430.59272/5122.9246*100)</f>
        <v>125.52581234554962</v>
      </c>
      <c r="D73" s="29">
        <f>IF(5122.9246="","-",5122.9246/4325799.3036*100)</f>
        <v>0.11842723715214017</v>
      </c>
      <c r="E73" s="29">
        <f>IF(6430.59272="","-",6430.59272/5718897.88378*100)</f>
        <v>0.11244461521578339</v>
      </c>
      <c r="F73" s="29">
        <f>IF(OR(4798692.63363="",5940.62428="",5122.9246=""),"-",(5122.9246-5940.62428)/4798692.63363*100)</f>
        <v>-1.704005116454908E-2</v>
      </c>
      <c r="G73" s="29">
        <f>IF(OR(4325799.3036="",6430.59272="",5122.9246=""),"-",(6430.59272-5122.9246)/4325799.3036*100)</f>
        <v>3.0229514321474339E-2</v>
      </c>
    </row>
    <row r="74" spans="1:7" s="32" customFormat="1" x14ac:dyDescent="0.2">
      <c r="A74" s="27" t="s">
        <v>85</v>
      </c>
      <c r="B74" s="33">
        <v>5427.0805899999996</v>
      </c>
      <c r="C74" s="28">
        <f>IF(OR(3983.20467="",5427.08059=""),"-",5427.08059/3983.20467*100)</f>
        <v>136.2491019071837</v>
      </c>
      <c r="D74" s="29">
        <f>IF(3983.20467="","-",3983.20467/4325799.3036*100)</f>
        <v>9.2080200454170688E-2</v>
      </c>
      <c r="E74" s="29">
        <f>IF(5427.08059="","-",5427.08059/5718897.88378*100)</f>
        <v>9.4897315886551217E-2</v>
      </c>
      <c r="F74" s="29">
        <f>IF(OR(4798692.63363="",6981.05512="",3983.20467=""),"-",(3983.20467-6981.05512)/4798692.63363*100)</f>
        <v>-6.2472233145140159E-2</v>
      </c>
      <c r="G74" s="29">
        <f>IF(OR(4325799.3036="",5427.08059="",3983.20467=""),"-",(5427.08059-3983.20467)/4325799.3036*100)</f>
        <v>3.3378245698971347E-2</v>
      </c>
    </row>
    <row r="75" spans="1:7" s="32" customFormat="1" x14ac:dyDescent="0.2">
      <c r="A75" s="27" t="s">
        <v>130</v>
      </c>
      <c r="B75" s="33">
        <v>4437.0698400000001</v>
      </c>
      <c r="C75" s="28">
        <f>IF(OR(4411.43568="",4437.06984=""),"-",4437.06984/4411.43568*100)</f>
        <v>100.58108429680199</v>
      </c>
      <c r="D75" s="29">
        <f>IF(4411.43568="","-",4411.43568/4325799.3036*100)</f>
        <v>0.10197966596205078</v>
      </c>
      <c r="E75" s="29">
        <f>IF(4437.06984="","-",4437.06984/5718897.88378*100)</f>
        <v>7.7586100157242988E-2</v>
      </c>
      <c r="F75" s="29">
        <f>IF(OR(4798692.63363="",3825.44556="",4411.43568=""),"-",(4411.43568-3825.44556)/4798692.63363*100)</f>
        <v>1.2211453509093032E-2</v>
      </c>
      <c r="G75" s="29">
        <f>IF(OR(4325799.3036="",4437.06984="",4411.43568=""),"-",(4437.06984-4411.43568)/4325799.3036*100)</f>
        <v>5.9258782483661134E-4</v>
      </c>
    </row>
    <row r="76" spans="1:7" s="32" customFormat="1" x14ac:dyDescent="0.2">
      <c r="A76" s="27" t="s">
        <v>39</v>
      </c>
      <c r="B76" s="28">
        <v>4188.9663700000001</v>
      </c>
      <c r="C76" s="28">
        <f>IF(OR(3399.77166="",4188.96637=""),"-",4188.96637/3399.77166*100)</f>
        <v>123.21316808670615</v>
      </c>
      <c r="D76" s="29">
        <f>IF(3399.77166="","-",3399.77166/4325799.3036*100)</f>
        <v>7.8592912462921119E-2</v>
      </c>
      <c r="E76" s="29">
        <f>IF(4188.96637="","-",4188.96637/5718897.88378*100)</f>
        <v>7.3247791010236291E-2</v>
      </c>
      <c r="F76" s="29">
        <f>IF(OR(4798692.63363="",3161.6736="",3399.77166=""),"-",(3399.77166-3161.6736)/4798692.63363*100)</f>
        <v>4.9617276658098664E-3</v>
      </c>
      <c r="G76" s="29">
        <f>IF(OR(4325799.3036="",4188.96637="",3399.77166=""),"-",(4188.96637-3399.77166)/4325799.3036*100)</f>
        <v>1.8243904874255715E-2</v>
      </c>
    </row>
    <row r="77" spans="1:7" s="32" customFormat="1" x14ac:dyDescent="0.2">
      <c r="A77" s="27" t="s">
        <v>75</v>
      </c>
      <c r="B77" s="28">
        <v>3889.7166200000001</v>
      </c>
      <c r="C77" s="28">
        <f>IF(OR(4315.81902="",3889.71662=""),"-",3889.71662/4315.81902*100)</f>
        <v>90.12696320152925</v>
      </c>
      <c r="D77" s="29">
        <f>IF(4315.81902="","-",4315.81902/4325799.3036*100)</f>
        <v>9.9769284636212915E-2</v>
      </c>
      <c r="E77" s="29">
        <f>IF(3889.71662="","-",3889.71662/5718897.88378*100)</f>
        <v>6.8015143809999762E-2</v>
      </c>
      <c r="F77" s="29">
        <f>IF(OR(4798692.63363="",4161.66596="",4315.81902=""),"-",(4315.81902-4161.66596)/4798692.63363*100)</f>
        <v>3.2123970374695497E-3</v>
      </c>
      <c r="G77" s="29">
        <f>IF(OR(4325799.3036="",3889.71662="",4315.81902=""),"-",(3889.71662-4315.81902)/4325799.3036*100)</f>
        <v>-9.8502581857043258E-3</v>
      </c>
    </row>
    <row r="78" spans="1:7" s="32" customFormat="1" x14ac:dyDescent="0.2">
      <c r="A78" s="27" t="s">
        <v>73</v>
      </c>
      <c r="B78" s="28">
        <v>3798.8132900000001</v>
      </c>
      <c r="C78" s="28" t="s">
        <v>304</v>
      </c>
      <c r="D78" s="29">
        <f>IF(1575.11621="","-",1575.11621/4325799.3036*100)</f>
        <v>3.641214257649824E-2</v>
      </c>
      <c r="E78" s="29">
        <f>IF(3798.81329="","-",3798.81329/5718897.88378*100)</f>
        <v>6.6425618488034827E-2</v>
      </c>
      <c r="F78" s="29">
        <f>IF(OR(4798692.63363="",1217.6933="",1575.11621=""),"-",(1575.11621-1217.6933)/4798692.63363*100)</f>
        <v>7.4483393142357876E-3</v>
      </c>
      <c r="G78" s="29">
        <f>IF(OR(4325799.3036="",3798.81329="",1575.11621=""),"-",(3798.81329-1575.11621)/4325799.3036*100)</f>
        <v>5.1405461139849999E-2</v>
      </c>
    </row>
    <row r="79" spans="1:7" s="32" customFormat="1" x14ac:dyDescent="0.2">
      <c r="A79" s="27" t="s">
        <v>88</v>
      </c>
      <c r="B79" s="28">
        <v>3632.5428999999999</v>
      </c>
      <c r="C79" s="28" t="s">
        <v>217</v>
      </c>
      <c r="D79" s="29">
        <f>IF(1591.00542="","-",1591.00542/4325799.3036*100)</f>
        <v>3.6779455271444043E-2</v>
      </c>
      <c r="E79" s="29">
        <f>IF(3632.5429="","-",3632.5429/5718897.88378*100)</f>
        <v>6.3518233299857604E-2</v>
      </c>
      <c r="F79" s="29">
        <f>IF(OR(4798692.63363="",2210.15688="",1591.00542=""),"-",(1591.00542-2210.15688)/4798692.63363*100)</f>
        <v>-1.2902502978850703E-2</v>
      </c>
      <c r="G79" s="29">
        <f>IF(OR(4325799.3036="",3632.5429="",1591.00542=""),"-",(3632.5429-1591.00542)/4325799.3036*100)</f>
        <v>4.7194456716958634E-2</v>
      </c>
    </row>
    <row r="80" spans="1:7" s="32" customFormat="1" x14ac:dyDescent="0.2">
      <c r="A80" s="27" t="s">
        <v>58</v>
      </c>
      <c r="B80" s="28">
        <v>3154.5603900000001</v>
      </c>
      <c r="C80" s="28">
        <f>IF(OR(4177.72331="",3154.56039=""),"-",3154.56039/4177.72331*100)</f>
        <v>75.509078891105403</v>
      </c>
      <c r="D80" s="29">
        <f>IF(4177.72331="","-",4177.72331/4325799.3036*100)</f>
        <v>9.6576910226122401E-2</v>
      </c>
      <c r="E80" s="29">
        <f>IF(3154.56039="","-",3154.56039/5718897.88378*100)</f>
        <v>5.5160285322579349E-2</v>
      </c>
      <c r="F80" s="29">
        <f>IF(OR(4798692.63363="",2710.02347="",4177.72331=""),"-",(4177.72331-2710.02347)/4798692.63363*100)</f>
        <v>3.0585410486892339E-2</v>
      </c>
      <c r="G80" s="29">
        <f>IF(OR(4325799.3036="",3154.56039="",4177.72331=""),"-",(3154.56039-4177.72331)/4325799.3036*100)</f>
        <v>-2.36525748928876E-2</v>
      </c>
    </row>
    <row r="81" spans="1:7" s="32" customFormat="1" x14ac:dyDescent="0.2">
      <c r="A81" s="27" t="s">
        <v>91</v>
      </c>
      <c r="B81" s="33">
        <v>3105.4723199999999</v>
      </c>
      <c r="C81" s="28" t="s">
        <v>104</v>
      </c>
      <c r="D81" s="29">
        <f>IF(1947.11452="","-",1947.11452/4325799.3036*100)</f>
        <v>4.5011670291305005E-2</v>
      </c>
      <c r="E81" s="29">
        <f>IF(3105.47232="","-",3105.47232/5718897.88378*100)</f>
        <v>5.4301936896054295E-2</v>
      </c>
      <c r="F81" s="29">
        <f>IF(OR(4798692.63363="",2114.21468="",1947.11452=""),"-",(1947.11452-2114.21468)/4798692.63363*100)</f>
        <v>-3.4822017736442531E-3</v>
      </c>
      <c r="G81" s="29">
        <f>IF(OR(4325799.3036="",3105.47232="",1947.11452=""),"-",(3105.47232-1947.11452)/4325799.3036*100)</f>
        <v>2.6777890482251356E-2</v>
      </c>
    </row>
    <row r="82" spans="1:7" s="32" customFormat="1" x14ac:dyDescent="0.2">
      <c r="A82" s="27" t="s">
        <v>80</v>
      </c>
      <c r="B82" s="28">
        <v>3070.6716200000001</v>
      </c>
      <c r="C82" s="28">
        <f>IF(OR(3563.01756="",3070.67162=""),"-",3070.67162/3563.01756*100)</f>
        <v>86.181770600086523</v>
      </c>
      <c r="D82" s="29">
        <f>IF(3563.01756="","-",3563.01756/4325799.3036*100)</f>
        <v>8.2366686707698131E-2</v>
      </c>
      <c r="E82" s="29">
        <f>IF(3070.67162="","-",3070.67162/5718897.88378*100)</f>
        <v>5.369341580147937E-2</v>
      </c>
      <c r="F82" s="29">
        <f>IF(OR(4798692.63363="",4141.65801="",3563.01756=""),"-",(3563.01756-4141.65801)/4798692.63363*100)</f>
        <v>-1.2058293668254477E-2</v>
      </c>
      <c r="G82" s="29">
        <f>IF(OR(4325799.3036="",3070.67162="",3563.01756=""),"-",(3070.67162-3563.01756)/4325799.3036*100)</f>
        <v>-1.1381617718377767E-2</v>
      </c>
    </row>
    <row r="83" spans="1:7" s="32" customFormat="1" x14ac:dyDescent="0.2">
      <c r="A83" s="27" t="s">
        <v>87</v>
      </c>
      <c r="B83" s="28">
        <v>2883.0729799999999</v>
      </c>
      <c r="C83" s="28">
        <f>IF(OR(2310.23654="",2883.07298=""),"-",2883.07298/2310.23654*100)</f>
        <v>124.79557526174354</v>
      </c>
      <c r="D83" s="29">
        <f>IF(2310.23654="","-",2310.23654/4325799.3036*100)</f>
        <v>5.3406003789343244E-2</v>
      </c>
      <c r="E83" s="29">
        <f>IF(2883.07298="","-",2883.07298/5718897.88378*100)</f>
        <v>5.0413087251951157E-2</v>
      </c>
      <c r="F83" s="29">
        <f>IF(OR(4798692.63363="",2385.78366="",2310.23654=""),"-",(2310.23654-2385.78366)/4798692.63363*100)</f>
        <v>-1.5743271296551472E-3</v>
      </c>
      <c r="G83" s="29">
        <f>IF(OR(4325799.3036="",2883.07298="",2310.23654=""),"-",(2883.07298-2310.23654)/4325799.3036*100)</f>
        <v>1.3242325863876216E-2</v>
      </c>
    </row>
    <row r="84" spans="1:7" s="32" customFormat="1" x14ac:dyDescent="0.2">
      <c r="A84" s="27" t="s">
        <v>37</v>
      </c>
      <c r="B84" s="28">
        <v>2709.5389399999999</v>
      </c>
      <c r="C84" s="28">
        <f>IF(OR(2979.3152="",2709.53894=""),"-",2709.53894/2979.3152*100)</f>
        <v>90.945024547922955</v>
      </c>
      <c r="D84" s="29">
        <f>IF(2979.3152="","-",2979.3152/4325799.3036*100)</f>
        <v>6.8873172121521345E-2</v>
      </c>
      <c r="E84" s="29">
        <f>IF(2709.53894="","-",2709.53894/5718897.88378*100)</f>
        <v>4.7378690703410241E-2</v>
      </c>
      <c r="F84" s="29">
        <f>IF(OR(4798692.63363="",2385.7342="",2979.3152=""),"-",(2979.3152-2385.7342)/4798692.63363*100)</f>
        <v>1.2369639927343757E-2</v>
      </c>
      <c r="G84" s="29">
        <f>IF(OR(4325799.3036="",2709.53894="",2979.3152=""),"-",(2709.53894-2979.3152)/4325799.3036*100)</f>
        <v>-6.2364488286705284E-3</v>
      </c>
    </row>
    <row r="85" spans="1:7" s="32" customFormat="1" x14ac:dyDescent="0.2">
      <c r="A85" s="27" t="s">
        <v>89</v>
      </c>
      <c r="B85" s="28">
        <v>2434.7218600000001</v>
      </c>
      <c r="C85" s="28" t="s">
        <v>304</v>
      </c>
      <c r="D85" s="29">
        <f>IF(1007.71686="","-",1007.71686/4325799.3036*100)</f>
        <v>2.3295506547457292E-2</v>
      </c>
      <c r="E85" s="29">
        <f>IF(2434.72186="","-",2434.72186/5718897.88378*100)</f>
        <v>4.2573270400672561E-2</v>
      </c>
      <c r="F85" s="29">
        <f>IF(OR(4798692.63363="",1049.86232="",1007.71686=""),"-",(1007.71686-1049.86232)/4798692.63363*100)</f>
        <v>-8.7826962920354342E-4</v>
      </c>
      <c r="G85" s="29">
        <f>IF(OR(4325799.3036="",2434.72186="",1007.71686=""),"-",(2434.72186-1007.71686)/4325799.3036*100)</f>
        <v>3.2988238701051699E-2</v>
      </c>
    </row>
    <row r="86" spans="1:7" s="32" customFormat="1" x14ac:dyDescent="0.2">
      <c r="A86" s="27" t="s">
        <v>368</v>
      </c>
      <c r="B86" s="28">
        <v>2098.46135</v>
      </c>
      <c r="C86" s="28">
        <f>IF(OR(1540.76146="",2098.46135=""),"-",2098.46135/1540.76146*100)</f>
        <v>136.19638110626158</v>
      </c>
      <c r="D86" s="29">
        <f>IF(1540.76146="","-",1540.76146/4325799.3036*100)</f>
        <v>3.5617959869699768E-2</v>
      </c>
      <c r="E86" s="29">
        <f>IF(2098.46135="","-",2098.46135/5718897.88378*100)</f>
        <v>3.6693457247272743E-2</v>
      </c>
      <c r="F86" s="29">
        <f>IF(OR(4798692.63363="",2064.17463="",1540.76146=""),"-",(1540.76146-2064.17463)/4798692.63363*100)</f>
        <v>-1.0907411871555127E-2</v>
      </c>
      <c r="G86" s="29">
        <f>IF(OR(4325799.3036="",2098.46135="",1540.76146=""),"-",(2098.46135-1540.76146)/4325799.3036*100)</f>
        <v>1.2892412496711837E-2</v>
      </c>
    </row>
    <row r="87" spans="1:7" s="32" customFormat="1" x14ac:dyDescent="0.2">
      <c r="A87" s="27" t="s">
        <v>93</v>
      </c>
      <c r="B87" s="28">
        <v>2042.19454</v>
      </c>
      <c r="C87" s="28" t="s">
        <v>301</v>
      </c>
      <c r="D87" s="29">
        <f>IF(711.82697="","-",711.82697/4325799.3036*100)</f>
        <v>1.6455385930817596E-2</v>
      </c>
      <c r="E87" s="29">
        <f>IF(2042.19454="","-",2042.19454/5718897.88378*100)</f>
        <v>3.5709582187017086E-2</v>
      </c>
      <c r="F87" s="29">
        <f>IF(OR(4798692.63363="",687.53702="",711.82697=""),"-",(711.82697-687.53702)/4798692.63363*100)</f>
        <v>5.06178491820296E-4</v>
      </c>
      <c r="G87" s="29">
        <f>IF(OR(4325799.3036="",2042.19454="",711.82697=""),"-",(2042.19454-711.82697)/4325799.3036*100)</f>
        <v>3.0754260117727757E-2</v>
      </c>
    </row>
    <row r="88" spans="1:7" s="32" customFormat="1" x14ac:dyDescent="0.2">
      <c r="A88" s="27" t="s">
        <v>403</v>
      </c>
      <c r="B88" s="28">
        <v>1854.63534</v>
      </c>
      <c r="C88" s="28">
        <f>IF(OR(1506.66492="",1854.63534=""),"-",1854.63534/1506.66492*100)</f>
        <v>123.09540863273037</v>
      </c>
      <c r="D88" s="29">
        <f>IF(1506.66492="","-",1506.66492/4325799.3036*100)</f>
        <v>3.4829746233167334E-2</v>
      </c>
      <c r="E88" s="29">
        <f>IF(1854.63534="","-",1854.63534/5718897.88378*100)</f>
        <v>3.2429943280857257E-2</v>
      </c>
      <c r="F88" s="29">
        <f>IF(OR(4798692.63363="",2315.87666="",1506.66492=""),"-",(1506.66492-2315.87666)/4798692.63363*100)</f>
        <v>-1.686317090469424E-2</v>
      </c>
      <c r="G88" s="29">
        <f>IF(OR(4325799.3036="",1854.63534="",1506.66492=""),"-",(1854.63534-1506.66492)/4325799.3036*100)</f>
        <v>8.0440722182930097E-3</v>
      </c>
    </row>
    <row r="89" spans="1:7" s="32" customFormat="1" x14ac:dyDescent="0.2">
      <c r="A89" s="27" t="s">
        <v>38</v>
      </c>
      <c r="B89" s="28">
        <v>1767.05521</v>
      </c>
      <c r="C89" s="28">
        <f>IF(OR(1886.98317="",1767.05521=""),"-",1767.05521/1886.98317*100)</f>
        <v>93.644460538564317</v>
      </c>
      <c r="D89" s="29">
        <f>IF(1886.98317="","-",1886.98317/4325799.3036*100)</f>
        <v>4.3621606957808284E-2</v>
      </c>
      <c r="E89" s="29">
        <f>IF(1767.05521="","-",1767.05521/5718897.88378*100)</f>
        <v>3.089852705731538E-2</v>
      </c>
      <c r="F89" s="29">
        <f>IF(OR(4798692.63363="",2409.1969="",1886.98317=""),"-",(1886.98317-2409.1969)/4798692.63363*100)</f>
        <v>-1.0882416730345328E-2</v>
      </c>
      <c r="G89" s="29">
        <f>IF(OR(4325799.3036="",1767.05521="",1886.98317=""),"-",(1767.05521-1886.98317)/4325799.3036*100)</f>
        <v>-2.7723884439158791E-3</v>
      </c>
    </row>
    <row r="90" spans="1:7" x14ac:dyDescent="0.2">
      <c r="A90" s="27" t="s">
        <v>86</v>
      </c>
      <c r="B90" s="33">
        <v>1766.3337200000001</v>
      </c>
      <c r="C90" s="28">
        <f>IF(OR(3275.42281="",1766.33372=""),"-",1766.33372/3275.42281*100)</f>
        <v>53.926891960552723</v>
      </c>
      <c r="D90" s="29">
        <f>IF(3275.42281="","-",3275.42281/4325799.3036*100)</f>
        <v>7.5718325796440444E-2</v>
      </c>
      <c r="E90" s="29">
        <f>IF(1766.33372="","-",1766.33372/5718897.88378*100)</f>
        <v>3.0885911164976299E-2</v>
      </c>
      <c r="F90" s="29">
        <f>IF(OR(4798692.63363="",3163.89981="",3275.42281=""),"-",(3275.42281-3163.89981)/4798692.63363*100)</f>
        <v>2.3240288244016556E-3</v>
      </c>
      <c r="G90" s="29">
        <f>IF(OR(4325799.3036="",1766.33372="",3275.42281=""),"-",(1766.33372-3275.42281)/4325799.3036*100)</f>
        <v>-3.4885786049854685E-2</v>
      </c>
    </row>
    <row r="91" spans="1:7" x14ac:dyDescent="0.2">
      <c r="A91" s="27" t="s">
        <v>97</v>
      </c>
      <c r="B91" s="33">
        <v>1627.48244</v>
      </c>
      <c r="C91" s="28">
        <f>IF(OR(1098.04223="",1627.48244=""),"-",1627.48244/1098.04223*100)</f>
        <v>148.21674390428498</v>
      </c>
      <c r="D91" s="29">
        <f>IF(1098.04223="","-",1098.04223/4325799.3036*100)</f>
        <v>2.5383568513827989E-2</v>
      </c>
      <c r="E91" s="29">
        <f>IF(1627.48244="","-",1627.48244/5718897.88378*100)</f>
        <v>2.8457973425542064E-2</v>
      </c>
      <c r="F91" s="29">
        <f>IF(OR(4798692.63363="",919.65238="",1098.04223=""),"-",(1098.04223-919.65238)/4798692.63363*100)</f>
        <v>3.7174677275601197E-3</v>
      </c>
      <c r="G91" s="29">
        <f>IF(OR(4325799.3036="",1627.48244="",1098.04223=""),"-",(1627.48244-1098.04223)/4325799.3036*100)</f>
        <v>1.2239130224081161E-2</v>
      </c>
    </row>
    <row r="92" spans="1:7" x14ac:dyDescent="0.2">
      <c r="A92" s="27" t="s">
        <v>380</v>
      </c>
      <c r="B92" s="33">
        <v>1299.9768799999999</v>
      </c>
      <c r="C92" s="28" t="s">
        <v>205</v>
      </c>
      <c r="D92" s="29">
        <f>IF(595.57189="","-",595.57189/4325799.3036*100)</f>
        <v>1.3767903876269885E-2</v>
      </c>
      <c r="E92" s="29">
        <f>IF(1299.97688="","-",1299.97688/5718897.88378*100)</f>
        <v>2.2731248335225718E-2</v>
      </c>
      <c r="F92" s="29">
        <f>IF(OR(4798692.63363="",788.42213="",595.57189=""),"-",(595.57189-788.42213)/4798692.63363*100)</f>
        <v>-4.0188079279859451E-3</v>
      </c>
      <c r="G92" s="29">
        <f>IF(OR(4325799.3036="",1299.97688="",595.57189=""),"-",(1299.97688-595.57189)/4325799.3036*100)</f>
        <v>1.6283811165575403E-2</v>
      </c>
    </row>
    <row r="93" spans="1:7" x14ac:dyDescent="0.2">
      <c r="A93" s="27" t="s">
        <v>67</v>
      </c>
      <c r="B93" s="28">
        <v>1226.8406600000001</v>
      </c>
      <c r="C93" s="28">
        <f>IF(OR(910.49985="",1226.84066=""),"-",1226.84066/910.49985*100)</f>
        <v>134.74364218731063</v>
      </c>
      <c r="D93" s="29">
        <f>IF(910.49985="","-",910.49985/4325799.3036*100)</f>
        <v>2.1048129746617399E-2</v>
      </c>
      <c r="E93" s="29">
        <f>IF(1226.84066="","-",1226.84066/5718897.88378*100)</f>
        <v>2.1452396684325817E-2</v>
      </c>
      <c r="F93" s="29">
        <f>IF(OR(4798692.63363="",1613.97388="",910.49985=""),"-",(910.49985-1613.97388)/4798692.63363*100)</f>
        <v>-1.4659701791899364E-2</v>
      </c>
      <c r="G93" s="29">
        <f>IF(OR(4325799.3036="",1226.84066="",910.49985=""),"-",(1226.84066-910.49985)/4325799.3036*100)</f>
        <v>7.3128868862856414E-3</v>
      </c>
    </row>
    <row r="94" spans="1:7" x14ac:dyDescent="0.2">
      <c r="A94" s="27" t="s">
        <v>144</v>
      </c>
      <c r="B94" s="28">
        <v>1218.7572</v>
      </c>
      <c r="C94" s="28">
        <f>IF(OR(923.44293="",1218.7572=""),"-",1218.7572/923.44293*100)</f>
        <v>131.97969905947517</v>
      </c>
      <c r="D94" s="29">
        <f>IF(923.44293="","-",923.44293/4325799.3036*100)</f>
        <v>2.1347336415526625E-2</v>
      </c>
      <c r="E94" s="29">
        <f>IF(1218.7572="","-",1218.7572/5718897.88378*100)</f>
        <v>2.1311050219250328E-2</v>
      </c>
      <c r="F94" s="29">
        <f>IF(OR(4798692.63363="",911.42189="",923.44293=""),"-",(923.44293-911.42189)/4798692.63363*100)</f>
        <v>2.5050656330340327E-4</v>
      </c>
      <c r="G94" s="29">
        <f>IF(OR(4325799.3036="",1218.7572="",923.44293=""),"-",(1218.7572-923.44293)/4325799.3036*100)</f>
        <v>6.8268139428991686E-3</v>
      </c>
    </row>
    <row r="95" spans="1:7" x14ac:dyDescent="0.2">
      <c r="A95" s="27" t="s">
        <v>122</v>
      </c>
      <c r="B95" s="33">
        <v>981.93791999999996</v>
      </c>
      <c r="C95" s="28" t="s">
        <v>383</v>
      </c>
      <c r="D95" s="29">
        <f>IF(42.19236="","-",42.19236/4325799.3036*100)</f>
        <v>9.7536563855116524E-4</v>
      </c>
      <c r="E95" s="29">
        <f>IF(981.93792="","-",981.93792/5718897.88378*100)</f>
        <v>1.7170055139207555E-2</v>
      </c>
      <c r="F95" s="29">
        <f>IF(OR(4798692.63363="",1.43074="",42.19236=""),"-",(42.19236-1.43074)/4798692.63363*100)</f>
        <v>8.4943177469496778E-4</v>
      </c>
      <c r="G95" s="29">
        <f>IF(OR(4325799.3036="",981.93792="",42.19236=""),"-",(981.93792-42.19236)/4325799.3036*100)</f>
        <v>2.1724206188158766E-2</v>
      </c>
    </row>
    <row r="96" spans="1:7" x14ac:dyDescent="0.2">
      <c r="A96" s="27" t="s">
        <v>64</v>
      </c>
      <c r="B96" s="33">
        <v>900.22613000000001</v>
      </c>
      <c r="C96" s="28">
        <f>IF(OR(990.22399="",900.22613=""),"-",900.22613/990.22399*100)</f>
        <v>90.911363397689442</v>
      </c>
      <c r="D96" s="29">
        <f>IF(990.22399="","-",990.22399/4325799.3036*100)</f>
        <v>2.2891121859858813E-2</v>
      </c>
      <c r="E96" s="29">
        <f>IF(900.22613="","-",900.22613/5718897.88378*100)</f>
        <v>1.5741252043566491E-2</v>
      </c>
      <c r="F96" s="29">
        <f>IF(OR(4798692.63363="",589.37998="",990.22399=""),"-",(990.22399-589.37998)/4798692.63363*100)</f>
        <v>8.3531920171511179E-3</v>
      </c>
      <c r="G96" s="29">
        <f>IF(OR(4325799.3036="",900.22613="",990.22399=""),"-",(900.22613-990.22399)/4325799.3036*100)</f>
        <v>-2.0804908800346397E-3</v>
      </c>
    </row>
    <row r="97" spans="1:7" x14ac:dyDescent="0.2">
      <c r="A97" s="27" t="s">
        <v>131</v>
      </c>
      <c r="B97" s="28">
        <v>796.76112999999998</v>
      </c>
      <c r="C97" s="28">
        <f>IF(OR(1265.56493="",796.76113=""),"-",796.76113/1265.56493*100)</f>
        <v>62.956953935188452</v>
      </c>
      <c r="D97" s="29">
        <f>IF(1265.56493="","-",1265.56493/4325799.3036*100)</f>
        <v>2.9256210036068396E-2</v>
      </c>
      <c r="E97" s="29">
        <f>IF(796.76113="","-",796.76113/5718897.88378*100)</f>
        <v>1.3932074784195439E-2</v>
      </c>
      <c r="F97" s="29">
        <f>IF(OR(4798692.63363="",249.91256="",1265.56493=""),"-",(1265.56493-249.91256)/4798692.63363*100)</f>
        <v>2.1165189095091168E-2</v>
      </c>
      <c r="G97" s="29">
        <f>IF(OR(4325799.3036="",796.76113="",1265.56493=""),"-",(796.76113-1265.56493)/4325799.3036*100)</f>
        <v>-1.0837391360478836E-2</v>
      </c>
    </row>
    <row r="98" spans="1:7" x14ac:dyDescent="0.2">
      <c r="A98" s="27" t="s">
        <v>102</v>
      </c>
      <c r="B98" s="28">
        <v>705.65822000000003</v>
      </c>
      <c r="C98" s="28">
        <f>IF(OR(523.91648="",705.65822=""),"-",705.65822/523.91648*100)</f>
        <v>134.68906723453327</v>
      </c>
      <c r="D98" s="29">
        <f>IF(523.91648="","-",523.91648/4325799.3036*100)</f>
        <v>1.2111437522401656E-2</v>
      </c>
      <c r="E98" s="29">
        <f>IF(705.65822="","-",705.65822/5718897.88378*100)</f>
        <v>1.2339059628978436E-2</v>
      </c>
      <c r="F98" s="29">
        <f>IF(OR(4798692.63363="",381.13123="",523.91648=""),"-",(523.91648-381.13123)/4798692.63363*100)</f>
        <v>2.975503140154013E-3</v>
      </c>
      <c r="G98" s="29">
        <f>IF(OR(4325799.3036="",705.65822="",523.91648=""),"-",(705.65822-523.91648)/4325799.3036*100)</f>
        <v>4.2013447052144017E-3</v>
      </c>
    </row>
    <row r="99" spans="1:7" x14ac:dyDescent="0.2">
      <c r="A99" s="27" t="s">
        <v>98</v>
      </c>
      <c r="B99" s="28">
        <v>606.39608999999996</v>
      </c>
      <c r="C99" s="28" t="s">
        <v>105</v>
      </c>
      <c r="D99" s="29">
        <f>IF(311.30862="","-",311.30862/4325799.3036*100)</f>
        <v>7.1965571713168454E-3</v>
      </c>
      <c r="E99" s="29">
        <f>IF(606.39609="","-",606.39609/5718897.88378*100)</f>
        <v>1.0603373277915438E-2</v>
      </c>
      <c r="F99" s="29">
        <f>IF(OR(4798692.63363="",695.45314="",311.30862=""),"-",(311.30862-695.45314)/4798692.63363*100)</f>
        <v>-8.0051911911976636E-3</v>
      </c>
      <c r="G99" s="29">
        <f>IF(OR(4325799.3036="",606.39609="",311.30862=""),"-",(606.39609-311.30862)/4325799.3036*100)</f>
        <v>6.8215709812155028E-3</v>
      </c>
    </row>
    <row r="100" spans="1:7" x14ac:dyDescent="0.2">
      <c r="A100" s="27" t="s">
        <v>101</v>
      </c>
      <c r="B100" s="33">
        <v>593.36010999999996</v>
      </c>
      <c r="C100" s="28" t="s">
        <v>218</v>
      </c>
      <c r="D100" s="29">
        <f>IF(390.62065="","-",390.62065/4325799.3036*100)</f>
        <v>9.0300224902925847E-3</v>
      </c>
      <c r="E100" s="29">
        <f>IF(593.36011="","-",593.36011/5718897.88378*100)</f>
        <v>1.0375427609625525E-2</v>
      </c>
      <c r="F100" s="29">
        <f>IF(OR(4798692.63363="",1073.01953="",390.62065=""),"-",(390.62065-1073.01953)/4798692.63363*100)</f>
        <v>-1.4220516546895297E-2</v>
      </c>
      <c r="G100" s="29">
        <f>IF(OR(4325799.3036="",593.36011="",390.62065=""),"-",(593.36011-390.62065)/4325799.3036*100)</f>
        <v>4.6867514133463592E-3</v>
      </c>
    </row>
    <row r="101" spans="1:7" x14ac:dyDescent="0.2">
      <c r="A101" s="27" t="s">
        <v>215</v>
      </c>
      <c r="B101" s="33">
        <v>580.39819</v>
      </c>
      <c r="C101" s="28" t="s">
        <v>384</v>
      </c>
      <c r="D101" s="29">
        <f>IF(106.7526="","-",106.7526/4325799.3036*100)</f>
        <v>2.4678121315327493E-3</v>
      </c>
      <c r="E101" s="29">
        <f>IF(580.39819="","-",580.39819/5718897.88378*100)</f>
        <v>1.0148776946098857E-2</v>
      </c>
      <c r="F101" s="29" t="str">
        <f>IF(OR(4798692.63363="",""="",106.7526=""),"-",(106.7526-"")/4798692.63363*100)</f>
        <v>-</v>
      </c>
      <c r="G101" s="29">
        <f>IF(OR(4325799.3036="",580.39819="",106.7526=""),"-",(580.39819-106.7526)/4325799.3036*100)</f>
        <v>1.0949319576750232E-2</v>
      </c>
    </row>
    <row r="102" spans="1:7" x14ac:dyDescent="0.2">
      <c r="A102" s="27" t="s">
        <v>221</v>
      </c>
      <c r="B102" s="33">
        <v>530.40009999999995</v>
      </c>
      <c r="C102" s="28" t="s">
        <v>307</v>
      </c>
      <c r="D102" s="29">
        <f>IF(122.93989="","-",122.93989/4325799.3036*100)</f>
        <v>2.8420155761199424E-3</v>
      </c>
      <c r="E102" s="29">
        <f>IF(530.4001="","-",530.4001/5718897.88378*100)</f>
        <v>9.2745160130298272E-3</v>
      </c>
      <c r="F102" s="29">
        <f>IF(OR(4798692.63363="",151.26617="",122.93989=""),"-",(122.93989-151.26617)/4798692.63363*100)</f>
        <v>-5.9029160987484198E-4</v>
      </c>
      <c r="G102" s="29">
        <f>IF(OR(4325799.3036="",530.4001="",122.93989=""),"-",(530.4001-122.93989)/4325799.3036*100)</f>
        <v>9.4193045354856158E-3</v>
      </c>
    </row>
    <row r="103" spans="1:7" x14ac:dyDescent="0.2">
      <c r="A103" s="27" t="s">
        <v>92</v>
      </c>
      <c r="B103" s="28">
        <v>502.35140000000001</v>
      </c>
      <c r="C103" s="28">
        <f>IF(OR(519.75991="",502.3514=""),"-",502.3514/519.75991*100)</f>
        <v>96.650663187932295</v>
      </c>
      <c r="D103" s="29">
        <f>IF(519.75991="","-",519.75991/4325799.3036*100)</f>
        <v>1.201534961567559E-2</v>
      </c>
      <c r="E103" s="29">
        <f>IF(502.3514="","-",502.3514/5718897.88378*100)</f>
        <v>8.7840596249283351E-3</v>
      </c>
      <c r="F103" s="29">
        <f>IF(OR(4798692.63363="",574.81595="",519.75991=""),"-",(519.75991-574.81595)/4798692.63363*100)</f>
        <v>-1.1473133247618024E-3</v>
      </c>
      <c r="G103" s="29">
        <f>IF(OR(4325799.3036="",502.3514="",519.75991=""),"-",(502.3514-519.75991)/4325799.3036*100)</f>
        <v>-4.0243452777645824E-4</v>
      </c>
    </row>
    <row r="104" spans="1:7" x14ac:dyDescent="0.2">
      <c r="A104" s="27" t="s">
        <v>124</v>
      </c>
      <c r="B104" s="28">
        <v>483.81484999999998</v>
      </c>
      <c r="C104" s="28" t="s">
        <v>20</v>
      </c>
      <c r="D104" s="29">
        <f>IF(243.4365="","-",243.4365/4325799.3036*100)</f>
        <v>5.6275495674847466E-3</v>
      </c>
      <c r="E104" s="29">
        <f>IF(483.81485="","-",483.81485/5718897.88378*100)</f>
        <v>8.4599316132606753E-3</v>
      </c>
      <c r="F104" s="29">
        <f>IF(OR(4798692.63363="",203.12298="",243.4365=""),"-",(243.4365-203.12298)/4798692.63363*100)</f>
        <v>8.4009381466686216E-4</v>
      </c>
      <c r="G104" s="29">
        <f>IF(OR(4325799.3036="",483.81485="",243.4365=""),"-",(483.81485-243.4365)/4325799.3036*100)</f>
        <v>5.5568539622250441E-3</v>
      </c>
    </row>
    <row r="105" spans="1:7" x14ac:dyDescent="0.2">
      <c r="A105" s="27" t="s">
        <v>107</v>
      </c>
      <c r="B105" s="33">
        <v>397.95913999999999</v>
      </c>
      <c r="C105" s="28" t="s">
        <v>104</v>
      </c>
      <c r="D105" s="29">
        <f>IF(253.72402="","-",253.72402/4325799.3036*100)</f>
        <v>5.8653673504650752E-3</v>
      </c>
      <c r="E105" s="29">
        <f>IF(397.95914="","-",397.95914/5718897.88378*100)</f>
        <v>6.9586684023279378E-3</v>
      </c>
      <c r="F105" s="29">
        <f>IF(OR(4798692.63363="",272.03385="",253.72402=""),"-",(253.72402-272.03385)/4798692.63363*100)</f>
        <v>-3.8155871604865423E-4</v>
      </c>
      <c r="G105" s="29">
        <f>IF(OR(4325799.3036="",397.95914="",253.72402=""),"-",(397.95914-253.72402)/4325799.3036*100)</f>
        <v>3.334299857137736E-3</v>
      </c>
    </row>
    <row r="106" spans="1:7" x14ac:dyDescent="0.2">
      <c r="A106" s="27" t="s">
        <v>94</v>
      </c>
      <c r="B106" s="33">
        <v>386.17743999999999</v>
      </c>
      <c r="C106" s="28">
        <f>IF(OR(503.42503="",386.17744=""),"-",386.17744/503.42503*100)</f>
        <v>76.710019762028907</v>
      </c>
      <c r="D106" s="29">
        <f>IF(503.42503="","-",503.42503/4325799.3036*100)</f>
        <v>1.1637734316084464E-2</v>
      </c>
      <c r="E106" s="29">
        <f>IF(386.17744="","-",386.17744/5718897.88378*100)</f>
        <v>6.7526549319105802E-3</v>
      </c>
      <c r="F106" s="29">
        <f>IF(OR(4798692.63363="",339.01095="",503.42503=""),"-",(503.42503-339.01095)/4798692.63363*100)</f>
        <v>3.4262265277788377E-3</v>
      </c>
      <c r="G106" s="29">
        <f>IF(OR(4325799.3036="",386.17744="",503.42503=""),"-",(386.17744-503.42503)/4325799.3036*100)</f>
        <v>-2.710426022363651E-3</v>
      </c>
    </row>
    <row r="107" spans="1:7" x14ac:dyDescent="0.2">
      <c r="A107" s="27" t="s">
        <v>332</v>
      </c>
      <c r="B107" s="28">
        <v>313.94571999999999</v>
      </c>
      <c r="C107" s="28" t="s">
        <v>385</v>
      </c>
      <c r="D107" s="29">
        <f>IF(0.05749="","-",0.05749/4325799.3036*100)</f>
        <v>1.3290029417720763E-6</v>
      </c>
      <c r="E107" s="29">
        <f>IF(313.94572="","-",313.94572/5718897.88378*100)</f>
        <v>5.4896192654605045E-3</v>
      </c>
      <c r="F107" s="29" t="str">
        <f>IF(OR(4798692.63363="",""="",0.05749=""),"-",(0.05749-"")/4798692.63363*100)</f>
        <v>-</v>
      </c>
      <c r="G107" s="29">
        <f>IF(OR(4325799.3036="",313.94572="",0.05749=""),"-",(313.94572-0.05749)/4325799.3036*100)</f>
        <v>7.2561903123609358E-3</v>
      </c>
    </row>
    <row r="108" spans="1:7" x14ac:dyDescent="0.2">
      <c r="A108" s="27" t="s">
        <v>135</v>
      </c>
      <c r="B108" s="28">
        <v>305.14755000000002</v>
      </c>
      <c r="C108" s="28" t="s">
        <v>205</v>
      </c>
      <c r="D108" s="29">
        <f>IF(137.85903="","-",137.85903/4325799.3036*100)</f>
        <v>3.1869030513105743E-3</v>
      </c>
      <c r="E108" s="29">
        <f>IF(305.14755="","-",305.14755/5718897.88378*100)</f>
        <v>5.3357754623572281E-3</v>
      </c>
      <c r="F108" s="29">
        <f>IF(OR(4798692.63363="",73.30782="",137.85903=""),"-",(137.85903-73.30782)/4798692.63363*100)</f>
        <v>1.3451832598657153E-3</v>
      </c>
      <c r="G108" s="29">
        <f>IF(OR(4325799.3036="",305.14755="",137.85903=""),"-",(305.14755-137.85903)/4325799.3036*100)</f>
        <v>3.8672279562479896E-3</v>
      </c>
    </row>
    <row r="109" spans="1:7" x14ac:dyDescent="0.2">
      <c r="A109" s="27" t="s">
        <v>90</v>
      </c>
      <c r="B109" s="33">
        <v>262.58596</v>
      </c>
      <c r="C109" s="28">
        <f>IF(OR(386.36885="",262.58596=""),"-",262.58596/386.36885*100)</f>
        <v>67.962507847099999</v>
      </c>
      <c r="D109" s="29">
        <f>IF(386.36885="","-",386.36885/4325799.3036*100)</f>
        <v>8.931733140704369E-3</v>
      </c>
      <c r="E109" s="29">
        <f>IF(262.58596="","-",262.58596/5718897.88378*100)</f>
        <v>4.5915483251545578E-3</v>
      </c>
      <c r="F109" s="29">
        <f>IF(OR(4798692.63363="",457.07598="",386.36885=""),"-",(386.36885-457.07598)/4798692.63363*100)</f>
        <v>-1.473466533456909E-3</v>
      </c>
      <c r="G109" s="29">
        <f>IF(OR(4325799.3036="",262.58596="",386.36885=""),"-",(262.58596-386.36885)/4325799.3036*100)</f>
        <v>-2.8615033040711316E-3</v>
      </c>
    </row>
    <row r="110" spans="1:7" x14ac:dyDescent="0.2">
      <c r="A110" s="27" t="s">
        <v>60</v>
      </c>
      <c r="B110" s="33">
        <v>210.16781</v>
      </c>
      <c r="C110" s="28" t="s">
        <v>105</v>
      </c>
      <c r="D110" s="29">
        <f>IF(109.7862="","-",109.7862/4325799.3036*100)</f>
        <v>2.5379402116190212E-3</v>
      </c>
      <c r="E110" s="29">
        <f>IF(210.16781="","-",210.16781/5718897.88378*100)</f>
        <v>3.6749704973064864E-3</v>
      </c>
      <c r="F110" s="29">
        <f>IF(OR(4798692.63363="",306.11471="",109.7862=""),"-",(109.7862-306.11471)/4798692.63363*100)</f>
        <v>-4.0912916285593829E-3</v>
      </c>
      <c r="G110" s="29">
        <f>IF(OR(4325799.3036="",210.16781="",109.7862=""),"-",(210.16781-109.7862)/4325799.3036*100)</f>
        <v>2.3205332229921257E-3</v>
      </c>
    </row>
    <row r="111" spans="1:7" x14ac:dyDescent="0.2">
      <c r="A111" s="27" t="s">
        <v>329</v>
      </c>
      <c r="B111" s="28">
        <v>191.99476000000001</v>
      </c>
      <c r="C111" s="28" t="s">
        <v>386</v>
      </c>
      <c r="D111" s="29">
        <f>IF(19.64836="","-",19.64836/4325799.3036*100)</f>
        <v>4.5421339782565309E-4</v>
      </c>
      <c r="E111" s="29">
        <f>IF(191.99476="","-",191.99476/5718897.88378*100)</f>
        <v>3.3571986054260145E-3</v>
      </c>
      <c r="F111" s="29">
        <f>IF(OR(4798692.63363="",39.74595="",19.64836=""),"-",(19.64836-39.74595)/4798692.63363*100)</f>
        <v>-4.1881386315832978E-4</v>
      </c>
      <c r="G111" s="29">
        <f>IF(OR(4325799.3036="",191.99476="",19.64836=""),"-",(191.99476-19.64836)/4325799.3036*100)</f>
        <v>3.9841515499013224E-3</v>
      </c>
    </row>
    <row r="112" spans="1:7" x14ac:dyDescent="0.2">
      <c r="A112" s="27" t="s">
        <v>134</v>
      </c>
      <c r="B112" s="33">
        <v>185.00201999999999</v>
      </c>
      <c r="C112" s="28">
        <f>IF(OR(213.15654="",185.00202=""),"-",185.00202/213.15654*100)</f>
        <v>86.791622720091055</v>
      </c>
      <c r="D112" s="29">
        <f>IF(213.15654="","-",213.15654/4325799.3036*100)</f>
        <v>4.9275642497470396E-3</v>
      </c>
      <c r="E112" s="29">
        <f>IF(185.00202="","-",185.00202/5718897.88378*100)</f>
        <v>3.2349243466071446E-3</v>
      </c>
      <c r="F112" s="29">
        <f>IF(OR(4798692.63363="",342.56046="",213.15654=""),"-",(213.15654-342.56046)/4798692.63363*100)</f>
        <v>-2.6966494810089885E-3</v>
      </c>
      <c r="G112" s="29">
        <f>IF(OR(4325799.3036="",185.00202="",213.15654=""),"-",(185.00202-213.15654)/4325799.3036*100)</f>
        <v>-6.5085127681650356E-4</v>
      </c>
    </row>
    <row r="113" spans="1:7" x14ac:dyDescent="0.2">
      <c r="A113" s="27" t="s">
        <v>111</v>
      </c>
      <c r="B113" s="28">
        <v>179.15790999999999</v>
      </c>
      <c r="C113" s="28">
        <f>IF(OR(477.70924="",179.15791=""),"-",179.15791/477.70924*100)</f>
        <v>37.503547136747862</v>
      </c>
      <c r="D113" s="29">
        <f>IF(477.70924="","-",477.70924/4325799.3036*100)</f>
        <v>1.1043259441149816E-2</v>
      </c>
      <c r="E113" s="29">
        <f>IF(179.15791="","-",179.15791/5718897.88378*100)</f>
        <v>3.1327349017391897E-3</v>
      </c>
      <c r="F113" s="29">
        <f>IF(OR(4798692.63363="",453.80553="",477.70924=""),"-",(477.70924-453.80553)/4798692.63363*100)</f>
        <v>4.981296329020753E-4</v>
      </c>
      <c r="G113" s="29">
        <f>IF(OR(4325799.3036="",179.15791="",477.70924=""),"-",(179.15791-477.70924)/4325799.3036*100)</f>
        <v>-6.9016454312048354E-3</v>
      </c>
    </row>
    <row r="114" spans="1:7" x14ac:dyDescent="0.2">
      <c r="A114" s="27" t="s">
        <v>137</v>
      </c>
      <c r="B114" s="33">
        <v>160.94806</v>
      </c>
      <c r="C114" s="28">
        <f>IF(OR(114.4924="",160.94806=""),"-",160.94806/114.4924*100)</f>
        <v>140.57532203010854</v>
      </c>
      <c r="D114" s="29">
        <f>IF(114.4924="","-",114.4924/4325799.3036*100)</f>
        <v>2.6467339782665733E-3</v>
      </c>
      <c r="E114" s="29">
        <f>IF(160.94806="","-",160.94806/5718897.88378*100)</f>
        <v>2.8143195292310193E-3</v>
      </c>
      <c r="F114" s="29">
        <f>IF(OR(4798692.63363="",135.84796="",114.4924=""),"-",(114.4924-135.84796)/4798692.63363*100)</f>
        <v>-4.4502871157733339E-4</v>
      </c>
      <c r="G114" s="29">
        <f>IF(OR(4325799.3036="",160.94806="",114.4924=""),"-",(160.94806-114.4924)/4325799.3036*100)</f>
        <v>1.0739208349619651E-3</v>
      </c>
    </row>
    <row r="115" spans="1:7" x14ac:dyDescent="0.2">
      <c r="A115" s="27" t="s">
        <v>325</v>
      </c>
      <c r="B115" s="33">
        <v>157.72429</v>
      </c>
      <c r="C115" s="28">
        <f>IF(OR(358.16352="",157.72429=""),"-",157.72429/358.16352*100)</f>
        <v>44.036949938396852</v>
      </c>
      <c r="D115" s="29">
        <f>IF(358.16352="","-",358.16352/4325799.3036*100)</f>
        <v>8.2797072832743422E-3</v>
      </c>
      <c r="E115" s="29">
        <f>IF(157.72429="","-",157.72429/5718897.88378*100)</f>
        <v>2.7579490525148098E-3</v>
      </c>
      <c r="F115" s="29">
        <f>IF(OR(4798692.63363="",933.35531="",358.16352=""),"-",(358.16352-933.35531)/4798692.63363*100)</f>
        <v>-1.1986427010743815E-2</v>
      </c>
      <c r="G115" s="29">
        <f>IF(OR(4325799.3036="",157.72429="",358.16352=""),"-",(157.72429-358.16352)/4325799.3036*100)</f>
        <v>-4.6335767318930222E-3</v>
      </c>
    </row>
    <row r="116" spans="1:7" x14ac:dyDescent="0.2">
      <c r="A116" s="27" t="s">
        <v>220</v>
      </c>
      <c r="B116" s="28">
        <v>118.333</v>
      </c>
      <c r="C116" s="28" t="s">
        <v>387</v>
      </c>
      <c r="D116" s="29">
        <f>IF(1.12235="","-",1.12235/4325799.3036*100)</f>
        <v>2.5945494028489998E-5</v>
      </c>
      <c r="E116" s="29">
        <f>IF(118.333="","-",118.333/5718897.88378*100)</f>
        <v>2.069157421670657E-3</v>
      </c>
      <c r="F116" s="29" t="str">
        <f>IF(OR(4798692.63363="",""="",1.12235=""),"-",(1.12235-"")/4798692.63363*100)</f>
        <v>-</v>
      </c>
      <c r="G116" s="29">
        <f>IF(OR(4325799.3036="",118.333="",1.12235=""),"-",(118.333-1.12235)/4325799.3036*100)</f>
        <v>2.7095720761352799E-3</v>
      </c>
    </row>
    <row r="117" spans="1:7" x14ac:dyDescent="0.2">
      <c r="A117" s="27" t="s">
        <v>212</v>
      </c>
      <c r="B117" s="28">
        <v>114.65807</v>
      </c>
      <c r="C117" s="28" t="s">
        <v>388</v>
      </c>
      <c r="D117" s="29">
        <f>IF(23.70792="","-",23.70792/4325799.3036*100)</f>
        <v>5.4805871322485735E-4</v>
      </c>
      <c r="E117" s="29">
        <f>IF(114.65807="","-",114.65807/5718897.88378*100)</f>
        <v>2.004898012345953E-3</v>
      </c>
      <c r="F117" s="29">
        <f>IF(OR(4798692.63363="",97.36825="",23.70792=""),"-",(23.70792-97.36825)/4798692.63363*100)</f>
        <v>-1.5350082954631581E-3</v>
      </c>
      <c r="G117" s="29">
        <f>IF(OR(4325799.3036="",114.65807="",23.70792=""),"-",(114.65807-23.70792)/4325799.3036*100)</f>
        <v>2.1025050774849817E-3</v>
      </c>
    </row>
    <row r="118" spans="1:7" x14ac:dyDescent="0.2">
      <c r="A118" s="27" t="s">
        <v>353</v>
      </c>
      <c r="B118" s="33">
        <v>114.24333</v>
      </c>
      <c r="C118" s="28" t="s">
        <v>104</v>
      </c>
      <c r="D118" s="29">
        <f>IF(70.27683="","-",70.27683/4325799.3036*100)</f>
        <v>1.624597561461404E-3</v>
      </c>
      <c r="E118" s="29">
        <f>IF(114.24333="","-",114.24333/5718897.88378*100)</f>
        <v>1.9976459157282416E-3</v>
      </c>
      <c r="F118" s="29">
        <f>IF(OR(4798692.63363="",58.54594="",70.27683=""),"-",(70.27683-58.54594)/4798692.63363*100)</f>
        <v>2.4446012478040503E-4</v>
      </c>
      <c r="G118" s="29">
        <f>IF(OR(4325799.3036="",114.24333="",70.27683=""),"-",(114.24333-70.27683)/4325799.3036*100)</f>
        <v>1.0163786369702904E-3</v>
      </c>
    </row>
    <row r="119" spans="1:7" x14ac:dyDescent="0.2">
      <c r="A119" s="27" t="s">
        <v>222</v>
      </c>
      <c r="B119" s="33">
        <v>113.45346000000001</v>
      </c>
      <c r="C119" s="28" t="s">
        <v>389</v>
      </c>
      <c r="D119" s="29">
        <f>IF(24.33429="","-",24.33429/4325799.3036*100)</f>
        <v>5.625385805520059E-4</v>
      </c>
      <c r="E119" s="29">
        <f>IF(113.45346="","-",113.45346/5718897.88378*100)</f>
        <v>1.9838343384619254E-3</v>
      </c>
      <c r="F119" s="29">
        <f>IF(OR(4798692.63363="",12.77207="",24.33429=""),"-",(24.33429-12.77207)/4798692.63363*100)</f>
        <v>2.4094520909653865E-4</v>
      </c>
      <c r="G119" s="29">
        <f>IF(OR(4325799.3036="",113.45346="",24.33429=""),"-",(113.45346-24.33429)/4325799.3036*100)</f>
        <v>2.0601781022488398E-3</v>
      </c>
    </row>
    <row r="120" spans="1:7" x14ac:dyDescent="0.2">
      <c r="A120" s="27" t="s">
        <v>132</v>
      </c>
      <c r="B120" s="33">
        <v>106.79451</v>
      </c>
      <c r="C120" s="28">
        <f>IF(OR(84.84927="",106.79451=""),"-",106.79451/84.84927*100)</f>
        <v>125.86379352468207</v>
      </c>
      <c r="D120" s="29">
        <f>IF(84.84927="","-",84.84927/4325799.3036*100)</f>
        <v>1.9614703328789912E-3</v>
      </c>
      <c r="E120" s="29">
        <f>IF(106.79451="","-",106.79451/5718897.88378*100)</f>
        <v>1.8673966937386966E-3</v>
      </c>
      <c r="F120" s="29">
        <f>IF(OR(4798692.63363="",90.85723="",84.84927=""),"-",(84.84927-90.85723)/4798692.63363*100)</f>
        <v>-1.2519993378811678E-4</v>
      </c>
      <c r="G120" s="29">
        <f>IF(OR(4325799.3036="",106.79451="",84.84927=""),"-",(106.79451-84.84927)/4325799.3036*100)</f>
        <v>5.0731063694371616E-4</v>
      </c>
    </row>
    <row r="121" spans="1:7" x14ac:dyDescent="0.2">
      <c r="A121" s="27" t="s">
        <v>312</v>
      </c>
      <c r="B121" s="28">
        <v>94.996340000000004</v>
      </c>
      <c r="C121" s="28">
        <f>IF(OR(71.61258="",94.99634=""),"-",94.99634/71.61258*100)</f>
        <v>132.65314557861205</v>
      </c>
      <c r="D121" s="29">
        <f>IF(71.61258="","-",71.61258/4325799.3036*100)</f>
        <v>1.6554762478324606E-3</v>
      </c>
      <c r="E121" s="29">
        <f>IF(94.99634="","-",94.99634/5718897.88378*100)</f>
        <v>1.6610952307686707E-3</v>
      </c>
      <c r="F121" s="29">
        <f>IF(OR(4798692.63363="",68.81472="",71.61258=""),"-",(71.61258-68.81472)/4798692.63363*100)</f>
        <v>5.8304630315185276E-5</v>
      </c>
      <c r="G121" s="29">
        <f>IF(OR(4325799.3036="",94.99634="",71.61258=""),"-",(94.99634-71.61258)/4325799.3036*100)</f>
        <v>5.4056506922407755E-4</v>
      </c>
    </row>
    <row r="122" spans="1:7" x14ac:dyDescent="0.2">
      <c r="A122" s="27" t="s">
        <v>404</v>
      </c>
      <c r="B122" s="28">
        <v>92.999080000000006</v>
      </c>
      <c r="C122" s="28">
        <f>IF(OR(205.14183="",92.99908=""),"-",92.99908/205.14183*100)</f>
        <v>45.334040356371986</v>
      </c>
      <c r="D122" s="29">
        <f>IF(205.14183="","-",205.14183/4325799.3036*100)</f>
        <v>4.7422872769265472E-3</v>
      </c>
      <c r="E122" s="29">
        <f>IF(92.99908="","-",92.99908/5718897.88378*100)</f>
        <v>1.6261713688535166E-3</v>
      </c>
      <c r="F122" s="29">
        <f>IF(OR(4798692.63363="",122.74016="",205.14183=""),"-",(205.14183-122.74016)/4798692.63363*100)</f>
        <v>1.7171691602524404E-3</v>
      </c>
      <c r="G122" s="29">
        <f>IF(OR(4325799.3036="",92.99908="",205.14183=""),"-",(92.99908-205.14183)/4325799.3036*100)</f>
        <v>-2.5924168489895724E-3</v>
      </c>
    </row>
    <row r="123" spans="1:7" x14ac:dyDescent="0.2">
      <c r="A123" s="27" t="s">
        <v>204</v>
      </c>
      <c r="B123" s="33">
        <v>88.165930000000003</v>
      </c>
      <c r="C123" s="28">
        <f>IF(OR(141.34557="",88.16593=""),"-",88.16593/141.34557*100)</f>
        <v>62.376153706126061</v>
      </c>
      <c r="D123" s="29">
        <f>IF(141.34557="","-",141.34557/4325799.3036*100)</f>
        <v>3.2675017974682723E-3</v>
      </c>
      <c r="E123" s="29">
        <f>IF(88.16593="","-",88.16593/5718897.88378*100)</f>
        <v>1.541659455925191E-3</v>
      </c>
      <c r="F123" s="29">
        <f>IF(OR(4798692.63363="",68.88638="",141.34557=""),"-",(141.34557-68.88638)/4798692.63363*100)</f>
        <v>1.5099777279376991E-3</v>
      </c>
      <c r="G123" s="29">
        <f>IF(OR(4325799.3036="",88.16593="",141.34557=""),"-",(88.16593-141.34557)/4325799.3036*100)</f>
        <v>-1.229359853929031E-3</v>
      </c>
    </row>
    <row r="124" spans="1:7" x14ac:dyDescent="0.2">
      <c r="A124" s="37" t="s">
        <v>381</v>
      </c>
      <c r="B124" s="38">
        <v>87.575869999999995</v>
      </c>
      <c r="C124" s="38">
        <f>IF(OR(98.7033="",87.57587=""),"-",87.57587/98.7033*100)</f>
        <v>88.726385034745533</v>
      </c>
      <c r="D124" s="39">
        <f>IF(98.7033="","-",98.7033/4325799.3036*100)</f>
        <v>2.2817355377041538E-3</v>
      </c>
      <c r="E124" s="39">
        <f>IF(87.57587="","-",87.57587/5718897.88378*100)</f>
        <v>1.5313417336648661E-3</v>
      </c>
      <c r="F124" s="39">
        <f>IF(OR(4798692.63363="",34.77972="",98.7033=""),"-",(98.7033-34.77972)/4798692.63363*100)</f>
        <v>1.3321040725136966E-3</v>
      </c>
      <c r="G124" s="39">
        <f>IF(OR(4325799.3036="",87.57587="",98.7033=""),"-",(87.57587-98.7033)/4325799.3036*100)</f>
        <v>-2.5723407904614475E-4</v>
      </c>
    </row>
    <row r="125" spans="1:7" x14ac:dyDescent="0.2">
      <c r="A125" s="40" t="s">
        <v>299</v>
      </c>
      <c r="B125" s="41"/>
      <c r="C125" s="41"/>
      <c r="D125" s="41"/>
      <c r="E125" s="41"/>
      <c r="F125" s="32"/>
      <c r="G125" s="32"/>
    </row>
    <row r="126" spans="1:7" ht="13.5" x14ac:dyDescent="0.2">
      <c r="A126" s="42" t="s">
        <v>407</v>
      </c>
      <c r="B126" s="42"/>
      <c r="C126" s="42"/>
      <c r="D126" s="42"/>
      <c r="E126" s="42"/>
      <c r="F126" s="32"/>
      <c r="G126" s="32"/>
    </row>
    <row r="127" spans="1:7" x14ac:dyDescent="0.2">
      <c r="A127" s="32"/>
      <c r="B127" s="32"/>
      <c r="C127" s="32"/>
      <c r="D127" s="32"/>
      <c r="E127" s="32"/>
      <c r="F127" s="32"/>
      <c r="G127" s="32"/>
    </row>
  </sheetData>
  <mergeCells count="10">
    <mergeCell ref="A126:E126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E154"/>
  <sheetViews>
    <sheetView workbookViewId="0">
      <selection activeCell="A2" sqref="A2:D2"/>
    </sheetView>
  </sheetViews>
  <sheetFormatPr defaultRowHeight="12" x14ac:dyDescent="0.2"/>
  <cols>
    <col min="1" max="1" width="44.25" style="3" customWidth="1"/>
    <col min="2" max="2" width="14.625" style="3" customWidth="1"/>
    <col min="3" max="3" width="14.125" style="3" customWidth="1"/>
    <col min="4" max="4" width="17" style="3" customWidth="1"/>
    <col min="5" max="16384" width="9" style="3"/>
  </cols>
  <sheetData>
    <row r="2" spans="1:5" x14ac:dyDescent="0.2">
      <c r="A2" s="43" t="s">
        <v>415</v>
      </c>
      <c r="B2" s="43"/>
      <c r="C2" s="43"/>
      <c r="D2" s="43"/>
    </row>
    <row r="3" spans="1:5" x14ac:dyDescent="0.2">
      <c r="A3" s="44"/>
    </row>
    <row r="4" spans="1:5" ht="21.75" customHeight="1" x14ac:dyDescent="0.2">
      <c r="A4" s="45"/>
      <c r="B4" s="46" t="s">
        <v>359</v>
      </c>
      <c r="C4" s="47"/>
      <c r="D4" s="48" t="s">
        <v>360</v>
      </c>
      <c r="E4" s="49"/>
    </row>
    <row r="5" spans="1:5" ht="31.5" customHeight="1" x14ac:dyDescent="0.2">
      <c r="A5" s="50"/>
      <c r="B5" s="51">
        <v>2020</v>
      </c>
      <c r="C5" s="52">
        <v>2021</v>
      </c>
      <c r="D5" s="53"/>
      <c r="E5" s="49"/>
    </row>
    <row r="6" spans="1:5" ht="16.5" customHeight="1" x14ac:dyDescent="0.2">
      <c r="A6" s="89" t="s">
        <v>213</v>
      </c>
      <c r="B6" s="20">
        <v>-2338970.4871399999</v>
      </c>
      <c r="C6" s="20">
        <v>-3263279.2083299998</v>
      </c>
      <c r="D6" s="20">
        <f>IF(-2338970.48714="","-",-3263279.20833/-2338970.48714*100)</f>
        <v>139.51775904279185</v>
      </c>
    </row>
    <row r="7" spans="1:5" x14ac:dyDescent="0.2">
      <c r="A7" s="91" t="s">
        <v>133</v>
      </c>
      <c r="B7" s="109"/>
      <c r="C7" s="109"/>
      <c r="D7" s="110"/>
    </row>
    <row r="8" spans="1:5" x14ac:dyDescent="0.2">
      <c r="A8" s="24" t="s">
        <v>318</v>
      </c>
      <c r="B8" s="26">
        <v>-660140.85656999995</v>
      </c>
      <c r="C8" s="26">
        <v>-1081832.14674</v>
      </c>
      <c r="D8" s="26" t="s">
        <v>104</v>
      </c>
    </row>
    <row r="9" spans="1:5" x14ac:dyDescent="0.2">
      <c r="A9" s="27" t="s">
        <v>4</v>
      </c>
      <c r="B9" s="29">
        <v>-175036.4135</v>
      </c>
      <c r="C9" s="29">
        <v>-236580.26326000001</v>
      </c>
      <c r="D9" s="29">
        <f>IF(OR(-175036.4135="",-236580.26326="",-175036.4135=0),"-",-236580.26326/-175036.4135*100)</f>
        <v>135.16059803179184</v>
      </c>
    </row>
    <row r="10" spans="1:5" x14ac:dyDescent="0.2">
      <c r="A10" s="27" t="s">
        <v>3</v>
      </c>
      <c r="B10" s="29">
        <v>-107763.19181999999</v>
      </c>
      <c r="C10" s="29">
        <v>-173271.33199000001</v>
      </c>
      <c r="D10" s="29" t="s">
        <v>104</v>
      </c>
    </row>
    <row r="11" spans="1:5" x14ac:dyDescent="0.2">
      <c r="A11" s="27" t="s">
        <v>5</v>
      </c>
      <c r="B11" s="29">
        <v>-88864.659159999996</v>
      </c>
      <c r="C11" s="29">
        <v>-124458.73415</v>
      </c>
      <c r="D11" s="29">
        <f>IF(OR(-88864.65916="",-124458.73415="",-88864.65916=0),"-",-124458.73415/-88864.65916*100)</f>
        <v>140.0542525301461</v>
      </c>
    </row>
    <row r="12" spans="1:5" x14ac:dyDescent="0.2">
      <c r="A12" s="27" t="s">
        <v>336</v>
      </c>
      <c r="B12" s="29">
        <v>-73432.165250000005</v>
      </c>
      <c r="C12" s="29">
        <v>-114082.81023</v>
      </c>
      <c r="D12" s="29" t="s">
        <v>104</v>
      </c>
    </row>
    <row r="13" spans="1:5" x14ac:dyDescent="0.2">
      <c r="A13" s="27" t="s">
        <v>42</v>
      </c>
      <c r="B13" s="29">
        <v>-62076.895620000003</v>
      </c>
      <c r="C13" s="29">
        <v>-67453.494380000004</v>
      </c>
      <c r="D13" s="29">
        <f>IF(OR(-62076.89562="",-67453.49438="",-62076.89562=0),"-",-67453.49438/-62076.89562*100)</f>
        <v>108.66119142444322</v>
      </c>
    </row>
    <row r="14" spans="1:5" x14ac:dyDescent="0.2">
      <c r="A14" s="27" t="s">
        <v>8</v>
      </c>
      <c r="B14" s="29">
        <v>-30707.511269999999</v>
      </c>
      <c r="C14" s="29">
        <v>-65239.077579999997</v>
      </c>
      <c r="D14" s="29" t="s">
        <v>95</v>
      </c>
    </row>
    <row r="15" spans="1:5" x14ac:dyDescent="0.2">
      <c r="A15" s="27" t="s">
        <v>40</v>
      </c>
      <c r="B15" s="29">
        <v>-33893.957289999998</v>
      </c>
      <c r="C15" s="29">
        <v>-45976.436309999997</v>
      </c>
      <c r="D15" s="29">
        <f>IF(OR(-33893.95729="",-45976.43631="",-33893.95729=0),"-",-45976.43631/-33893.95729*100)</f>
        <v>135.64788530480857</v>
      </c>
    </row>
    <row r="16" spans="1:5" x14ac:dyDescent="0.2">
      <c r="A16" s="27" t="s">
        <v>2</v>
      </c>
      <c r="B16" s="29">
        <v>51829.1371</v>
      </c>
      <c r="C16" s="29">
        <v>-34266.697630000002</v>
      </c>
      <c r="D16" s="29" t="s">
        <v>22</v>
      </c>
    </row>
    <row r="17" spans="1:4" x14ac:dyDescent="0.2">
      <c r="A17" s="27" t="s">
        <v>10</v>
      </c>
      <c r="B17" s="29">
        <v>-16056.679330000001</v>
      </c>
      <c r="C17" s="29">
        <v>-31688.747859999999</v>
      </c>
      <c r="D17" s="29" t="s">
        <v>20</v>
      </c>
    </row>
    <row r="18" spans="1:4" x14ac:dyDescent="0.2">
      <c r="A18" s="27" t="s">
        <v>7</v>
      </c>
      <c r="B18" s="29">
        <v>-9835.5481299999992</v>
      </c>
      <c r="C18" s="29">
        <v>-28622.208009999998</v>
      </c>
      <c r="D18" s="29" t="s">
        <v>301</v>
      </c>
    </row>
    <row r="19" spans="1:4" x14ac:dyDescent="0.2">
      <c r="A19" s="27" t="s">
        <v>41</v>
      </c>
      <c r="B19" s="29">
        <v>-22604.600610000001</v>
      </c>
      <c r="C19" s="29">
        <v>-25107.021720000001</v>
      </c>
      <c r="D19" s="29">
        <f>IF(OR(-22604.60061="",-25107.02172="",-22604.60061=0),"-",-25107.02172/-22604.60061*100)</f>
        <v>111.07040621143716</v>
      </c>
    </row>
    <row r="20" spans="1:4" x14ac:dyDescent="0.2">
      <c r="A20" s="27" t="s">
        <v>52</v>
      </c>
      <c r="B20" s="29">
        <v>-20947.136269999999</v>
      </c>
      <c r="C20" s="29">
        <v>-24110.355749999999</v>
      </c>
      <c r="D20" s="29">
        <f>IF(OR(-20947.13627="",-24110.35575="",-20947.13627=0),"-",-24110.35575/-20947.13627*100)</f>
        <v>115.10096387032287</v>
      </c>
    </row>
    <row r="21" spans="1:4" x14ac:dyDescent="0.2">
      <c r="A21" s="27" t="s">
        <v>50</v>
      </c>
      <c r="B21" s="29">
        <v>-17154.52333</v>
      </c>
      <c r="C21" s="29">
        <v>-20707.51988</v>
      </c>
      <c r="D21" s="29">
        <f>IF(OR(-17154.52333="",-20707.51988="",-17154.52333=0),"-",-20707.51988/-17154.52333*100)</f>
        <v>120.71171831272329</v>
      </c>
    </row>
    <row r="22" spans="1:4" x14ac:dyDescent="0.2">
      <c r="A22" s="27" t="s">
        <v>44</v>
      </c>
      <c r="B22" s="29">
        <v>-16093.458409999999</v>
      </c>
      <c r="C22" s="29">
        <v>-19947.803950000001</v>
      </c>
      <c r="D22" s="29">
        <f>IF(OR(-16093.45841="",-19947.80395="",-16093.45841=0),"-",-19947.80395/-16093.45841*100)</f>
        <v>123.94976543764531</v>
      </c>
    </row>
    <row r="23" spans="1:4" x14ac:dyDescent="0.2">
      <c r="A23" s="27" t="s">
        <v>48</v>
      </c>
      <c r="B23" s="29">
        <v>-9683.1118100000003</v>
      </c>
      <c r="C23" s="29">
        <v>-12182.651019999999</v>
      </c>
      <c r="D23" s="29">
        <f>IF(OR(-9683.11181="",-12182.65102="",-9683.11181=0),"-",-12182.65102/-9683.11181*100)</f>
        <v>125.81338787618522</v>
      </c>
    </row>
    <row r="24" spans="1:4" x14ac:dyDescent="0.2">
      <c r="A24" s="27" t="s">
        <v>49</v>
      </c>
      <c r="B24" s="29">
        <v>-8814.8578400000006</v>
      </c>
      <c r="C24" s="29">
        <v>-10689.51856</v>
      </c>
      <c r="D24" s="29">
        <f>IF(OR(-8814.85784="",-10689.51856="",-8814.85784=0),"-",-10689.51856/-8814.85784*100)</f>
        <v>121.26705562389421</v>
      </c>
    </row>
    <row r="25" spans="1:4" x14ac:dyDescent="0.2">
      <c r="A25" s="27" t="s">
        <v>6</v>
      </c>
      <c r="B25" s="29">
        <v>-10365.73306</v>
      </c>
      <c r="C25" s="29">
        <v>-9935.5689700000003</v>
      </c>
      <c r="D25" s="29">
        <f>IF(OR(-10365.73306="",-9935.56897="",-10365.73306=0),"-",-9935.56897/-10365.73306*100)</f>
        <v>95.850133439573639</v>
      </c>
    </row>
    <row r="26" spans="1:4" x14ac:dyDescent="0.2">
      <c r="A26" s="27" t="s">
        <v>9</v>
      </c>
      <c r="B26" s="29">
        <v>4823.0995899999998</v>
      </c>
      <c r="C26" s="29">
        <v>-9385.1015000000007</v>
      </c>
      <c r="D26" s="29" t="s">
        <v>22</v>
      </c>
    </row>
    <row r="27" spans="1:4" x14ac:dyDescent="0.2">
      <c r="A27" s="27" t="s">
        <v>45</v>
      </c>
      <c r="B27" s="29">
        <v>-3275.2405600000002</v>
      </c>
      <c r="C27" s="29">
        <v>-6876.5101699999996</v>
      </c>
      <c r="D27" s="29" t="s">
        <v>95</v>
      </c>
    </row>
    <row r="28" spans="1:4" x14ac:dyDescent="0.2">
      <c r="A28" s="27" t="s">
        <v>43</v>
      </c>
      <c r="B28" s="29">
        <v>-4968.7460199999996</v>
      </c>
      <c r="C28" s="29">
        <v>-6369.3279700000003</v>
      </c>
      <c r="D28" s="29">
        <f>IF(OR(-4968.74602="",-6369.32797="",-4968.74602=0),"-",-6369.32797/-4968.74602*100)</f>
        <v>128.18783540882214</v>
      </c>
    </row>
    <row r="29" spans="1:4" x14ac:dyDescent="0.2">
      <c r="A29" s="27" t="s">
        <v>51</v>
      </c>
      <c r="B29" s="29">
        <v>-6728.3928900000001</v>
      </c>
      <c r="C29" s="29">
        <v>-5701.2012699999996</v>
      </c>
      <c r="D29" s="29">
        <f>IF(OR(-6728.39289="",-5701.20127="",-6728.39289=0),"-",-5701.20127/-6728.39289*100)</f>
        <v>84.733477417368817</v>
      </c>
    </row>
    <row r="30" spans="1:4" x14ac:dyDescent="0.2">
      <c r="A30" s="27" t="s">
        <v>53</v>
      </c>
      <c r="B30" s="29">
        <v>-5123.9530999999997</v>
      </c>
      <c r="C30" s="29">
        <v>-5591.3423199999997</v>
      </c>
      <c r="D30" s="29">
        <f>IF(OR(-5123.9531="",-5591.34232="",-5123.9531=0),"-",-5591.34232/-5123.9531*100)</f>
        <v>109.12165296751057</v>
      </c>
    </row>
    <row r="31" spans="1:4" x14ac:dyDescent="0.2">
      <c r="A31" s="27" t="s">
        <v>337</v>
      </c>
      <c r="B31" s="29">
        <v>-2658.5185999999999</v>
      </c>
      <c r="C31" s="29">
        <v>-4804.9190099999996</v>
      </c>
      <c r="D31" s="29" t="s">
        <v>206</v>
      </c>
    </row>
    <row r="32" spans="1:4" x14ac:dyDescent="0.2">
      <c r="A32" s="27" t="s">
        <v>54</v>
      </c>
      <c r="B32" s="29">
        <v>-1037.45848</v>
      </c>
      <c r="C32" s="29">
        <v>-2100.2689399999999</v>
      </c>
      <c r="D32" s="29" t="s">
        <v>20</v>
      </c>
    </row>
    <row r="33" spans="1:4" x14ac:dyDescent="0.2">
      <c r="A33" s="27" t="s">
        <v>46</v>
      </c>
      <c r="B33" s="29">
        <v>1069.1417200000001</v>
      </c>
      <c r="C33" s="29">
        <v>-865.65015000000005</v>
      </c>
      <c r="D33" s="29" t="s">
        <v>22</v>
      </c>
    </row>
    <row r="34" spans="1:4" x14ac:dyDescent="0.2">
      <c r="A34" s="27" t="s">
        <v>55</v>
      </c>
      <c r="B34" s="29">
        <v>-107.61638000000001</v>
      </c>
      <c r="C34" s="29">
        <v>-78.986829999999998</v>
      </c>
      <c r="D34" s="29">
        <f>IF(OR(-107.61638="",-78.98683="",-107.61638=0),"-",-78.98683/-107.61638*100)</f>
        <v>73.396661363260861</v>
      </c>
    </row>
    <row r="35" spans="1:4" x14ac:dyDescent="0.2">
      <c r="A35" s="27" t="s">
        <v>338</v>
      </c>
      <c r="B35" s="29">
        <v>-159.03288000000001</v>
      </c>
      <c r="C35" s="29">
        <v>-42.840890000000002</v>
      </c>
      <c r="D35" s="29">
        <f>IF(OR(-159.03288="",-42.84089="",-159.03288=0),"-",-42.84089/-159.03288*100)</f>
        <v>26.938385320067148</v>
      </c>
    </row>
    <row r="36" spans="1:4" x14ac:dyDescent="0.2">
      <c r="A36" s="27" t="s">
        <v>47</v>
      </c>
      <c r="B36" s="29">
        <v>9527.1666299999997</v>
      </c>
      <c r="C36" s="29">
        <v>4304.2435599999999</v>
      </c>
      <c r="D36" s="29">
        <f>IF(OR(9527.16663="",4304.24356="",9527.16663=0),"-",4304.24356/9527.16663*100)</f>
        <v>45.178632086127372</v>
      </c>
    </row>
    <row r="37" spans="1:4" x14ac:dyDescent="0.2">
      <c r="A37" s="111" t="s">
        <v>207</v>
      </c>
      <c r="B37" s="26">
        <v>-761227.17870000005</v>
      </c>
      <c r="C37" s="26">
        <v>-1062733.5501600001</v>
      </c>
      <c r="D37" s="26">
        <f>IF(-761227.1787="","-",-1062733.55016/-761227.1787*100)</f>
        <v>139.60793569863114</v>
      </c>
    </row>
    <row r="38" spans="1:4" x14ac:dyDescent="0.2">
      <c r="A38" s="27" t="s">
        <v>339</v>
      </c>
      <c r="B38" s="29">
        <v>-293833.06968000002</v>
      </c>
      <c r="C38" s="29">
        <v>-529716.45956999995</v>
      </c>
      <c r="D38" s="29" t="s">
        <v>206</v>
      </c>
    </row>
    <row r="39" spans="1:4" x14ac:dyDescent="0.2">
      <c r="A39" s="27" t="s">
        <v>12</v>
      </c>
      <c r="B39" s="29">
        <v>-380264.09743999998</v>
      </c>
      <c r="C39" s="29">
        <v>-465857.80005999998</v>
      </c>
      <c r="D39" s="29">
        <f>IF(OR(-380264.09744="",-465857.80006="",-380264.09744=0),"-",-465857.80006/-380264.09744*100)</f>
        <v>122.50901497044575</v>
      </c>
    </row>
    <row r="40" spans="1:4" x14ac:dyDescent="0.2">
      <c r="A40" s="27" t="s">
        <v>11</v>
      </c>
      <c r="B40" s="29">
        <v>-39129.703500000003</v>
      </c>
      <c r="C40" s="29">
        <v>-58994.211239999997</v>
      </c>
      <c r="D40" s="29" t="s">
        <v>218</v>
      </c>
    </row>
    <row r="41" spans="1:4" x14ac:dyDescent="0.2">
      <c r="A41" s="27" t="s">
        <v>16</v>
      </c>
      <c r="B41" s="29">
        <v>-1155.5916099999999</v>
      </c>
      <c r="C41" s="29">
        <v>-5986.0744299999997</v>
      </c>
      <c r="D41" s="29" t="s">
        <v>333</v>
      </c>
    </row>
    <row r="42" spans="1:4" x14ac:dyDescent="0.2">
      <c r="A42" s="27" t="s">
        <v>15</v>
      </c>
      <c r="B42" s="29">
        <v>-2277.7254400000002</v>
      </c>
      <c r="C42" s="29">
        <v>-3872.5231699999999</v>
      </c>
      <c r="D42" s="29" t="s">
        <v>103</v>
      </c>
    </row>
    <row r="43" spans="1:4" x14ac:dyDescent="0.2">
      <c r="A43" s="27" t="s">
        <v>13</v>
      </c>
      <c r="B43" s="29">
        <v>-43658.771549999998</v>
      </c>
      <c r="C43" s="29">
        <v>-1665.6898200000001</v>
      </c>
      <c r="D43" s="29">
        <f>IF(OR(-43658.77155="",-1665.68982="",-43658.77155=0),"-",-1665.68982/-43658.77155*100)</f>
        <v>3.815246652307605</v>
      </c>
    </row>
    <row r="44" spans="1:4" x14ac:dyDescent="0.2">
      <c r="A44" s="27" t="s">
        <v>17</v>
      </c>
      <c r="B44" s="29">
        <v>323.01441</v>
      </c>
      <c r="C44" s="29">
        <v>-75.133930000000007</v>
      </c>
      <c r="D44" s="29" t="s">
        <v>22</v>
      </c>
    </row>
    <row r="45" spans="1:4" x14ac:dyDescent="0.2">
      <c r="A45" s="27" t="s">
        <v>18</v>
      </c>
      <c r="B45" s="29">
        <v>251.27453</v>
      </c>
      <c r="C45" s="29">
        <v>205.22193999999999</v>
      </c>
      <c r="D45" s="29">
        <f>IF(OR(251.27453="",205.22194="",251.27453=0),"-",205.22194/251.27453*100)</f>
        <v>81.672400302569457</v>
      </c>
    </row>
    <row r="46" spans="1:4" x14ac:dyDescent="0.2">
      <c r="A46" s="27" t="s">
        <v>399</v>
      </c>
      <c r="B46" s="29">
        <v>305.02238999999997</v>
      </c>
      <c r="C46" s="29">
        <v>1070.1075699999999</v>
      </c>
      <c r="D46" s="29" t="s">
        <v>391</v>
      </c>
    </row>
    <row r="47" spans="1:4" x14ac:dyDescent="0.2">
      <c r="A47" s="27" t="s">
        <v>14</v>
      </c>
      <c r="B47" s="29">
        <v>-1787.53081</v>
      </c>
      <c r="C47" s="29">
        <v>2159.0125499999999</v>
      </c>
      <c r="D47" s="29" t="s">
        <v>22</v>
      </c>
    </row>
    <row r="48" spans="1:4" x14ac:dyDescent="0.2">
      <c r="A48" s="24" t="s">
        <v>140</v>
      </c>
      <c r="B48" s="26">
        <v>-917602.45186999999</v>
      </c>
      <c r="C48" s="26">
        <v>-1118713.51143</v>
      </c>
      <c r="D48" s="26">
        <f>IF(-917602.45187="","-",-1118713.51143/-917602.45187*100)</f>
        <v>121.91701418736969</v>
      </c>
    </row>
    <row r="49" spans="1:5" x14ac:dyDescent="0.2">
      <c r="A49" s="27" t="s">
        <v>59</v>
      </c>
      <c r="B49" s="29">
        <v>-498914.91842</v>
      </c>
      <c r="C49" s="29">
        <v>-654684.31889</v>
      </c>
      <c r="D49" s="29">
        <f>IF(OR(-498914.91842="",-654684.31889="",-498914.91842=0),"-",-654684.31889/-498914.91842*100)</f>
        <v>131.22163613854278</v>
      </c>
    </row>
    <row r="50" spans="1:5" x14ac:dyDescent="0.2">
      <c r="A50" s="27" t="s">
        <v>56</v>
      </c>
      <c r="B50" s="29">
        <v>-172814.5649</v>
      </c>
      <c r="C50" s="29">
        <v>-188393.13711000001</v>
      </c>
      <c r="D50" s="29">
        <f>IF(OR(-172814.5649="",-188393.13711="",-172814.5649=0),"-",-188393.13711/-172814.5649*100)</f>
        <v>109.01461761571696</v>
      </c>
    </row>
    <row r="51" spans="1:5" x14ac:dyDescent="0.2">
      <c r="A51" s="27" t="s">
        <v>19</v>
      </c>
      <c r="B51" s="29">
        <v>-33292.083229999997</v>
      </c>
      <c r="C51" s="29">
        <v>-62118.118820000003</v>
      </c>
      <c r="D51" s="29" t="s">
        <v>105</v>
      </c>
    </row>
    <row r="52" spans="1:5" x14ac:dyDescent="0.2">
      <c r="A52" s="27" t="s">
        <v>76</v>
      </c>
      <c r="B52" s="29">
        <v>-41696.805650000002</v>
      </c>
      <c r="C52" s="29">
        <v>-51250.283909999896</v>
      </c>
      <c r="D52" s="29">
        <f>IF(OR(-41696.80565="",-51250.2839099999="",-41696.80565=0),"-",-51250.2839099999/-41696.80565*100)</f>
        <v>122.91177492153982</v>
      </c>
    </row>
    <row r="53" spans="1:5" x14ac:dyDescent="0.2">
      <c r="A53" s="27" t="s">
        <v>36</v>
      </c>
      <c r="B53" s="29">
        <v>-33626.045149999998</v>
      </c>
      <c r="C53" s="29">
        <v>-44303.14284</v>
      </c>
      <c r="D53" s="29">
        <f>IF(OR(-33626.04515="",-44303.14284="",-33626.04515=0),"-",-44303.14284/-33626.04515*100)</f>
        <v>131.75246343235222</v>
      </c>
    </row>
    <row r="54" spans="1:5" x14ac:dyDescent="0.2">
      <c r="A54" s="27" t="s">
        <v>72</v>
      </c>
      <c r="B54" s="29">
        <v>-33338.652849999999</v>
      </c>
      <c r="C54" s="29">
        <v>-42601.12773</v>
      </c>
      <c r="D54" s="29">
        <f>IF(OR(-33338.65285="",-42601.12773="",-33338.65285=0),"-",-42601.12773/-33338.65285*100)</f>
        <v>127.78299087750933</v>
      </c>
    </row>
    <row r="55" spans="1:5" x14ac:dyDescent="0.2">
      <c r="A55" s="27" t="s">
        <v>69</v>
      </c>
      <c r="B55" s="29">
        <v>-32716.744439999999</v>
      </c>
      <c r="C55" s="29">
        <v>-36492.160949999998</v>
      </c>
      <c r="D55" s="29">
        <f>IF(OR(-32716.74444="",-36492.16095="",-32716.74444=0),"-",-36492.16095/-32716.74444*100)</f>
        <v>111.53970718854322</v>
      </c>
    </row>
    <row r="56" spans="1:5" x14ac:dyDescent="0.2">
      <c r="A56" s="27" t="s">
        <v>79</v>
      </c>
      <c r="B56" s="29">
        <v>-15719.67503</v>
      </c>
      <c r="C56" s="29">
        <v>-18099.769830000001</v>
      </c>
      <c r="D56" s="29">
        <f>IF(OR(-15719.67503="",-18099.76983="",-15719.67503=0),"-",-18099.76983/-15719.67503*100)</f>
        <v>115.14086516074755</v>
      </c>
    </row>
    <row r="57" spans="1:5" x14ac:dyDescent="0.2">
      <c r="A57" s="27" t="s">
        <v>70</v>
      </c>
      <c r="B57" s="29">
        <v>-13037.11123</v>
      </c>
      <c r="C57" s="29">
        <v>-17921.112280000001</v>
      </c>
      <c r="D57" s="29">
        <f>IF(OR(-13037.11123="",-17921.11228="",-13037.11123=0),"-",-17921.11228/-13037.11123*100)</f>
        <v>137.46229485839862</v>
      </c>
    </row>
    <row r="58" spans="1:5" x14ac:dyDescent="0.2">
      <c r="A58" s="27" t="s">
        <v>81</v>
      </c>
      <c r="B58" s="29">
        <v>-3659.6685499999999</v>
      </c>
      <c r="C58" s="29">
        <v>-15161.47745</v>
      </c>
      <c r="D58" s="29" t="s">
        <v>392</v>
      </c>
    </row>
    <row r="59" spans="1:5" x14ac:dyDescent="0.2">
      <c r="A59" s="27" t="s">
        <v>66</v>
      </c>
      <c r="B59" s="29">
        <v>-21636.89746</v>
      </c>
      <c r="C59" s="29">
        <v>-14622.79016</v>
      </c>
      <c r="D59" s="29">
        <f>IF(OR(-21636.89746="",-14622.79016="",-21636.89746=0),"-",-14622.79016/-21636.89746*100)</f>
        <v>67.582656834387009</v>
      </c>
    </row>
    <row r="60" spans="1:5" x14ac:dyDescent="0.2">
      <c r="A60" s="27" t="s">
        <v>82</v>
      </c>
      <c r="B60" s="29">
        <v>-7661.8505400000004</v>
      </c>
      <c r="C60" s="29">
        <v>-11414.945170000001</v>
      </c>
      <c r="D60" s="29">
        <f>IF(OR(-7661.85054="",-11414.94517="",-7661.85054=0),"-",-11414.94517/-7661.85054*100)</f>
        <v>148.98417961047826</v>
      </c>
    </row>
    <row r="61" spans="1:5" x14ac:dyDescent="0.2">
      <c r="A61" s="27" t="s">
        <v>78</v>
      </c>
      <c r="B61" s="29">
        <v>-6408.65895</v>
      </c>
      <c r="C61" s="29">
        <v>-10148.03492</v>
      </c>
      <c r="D61" s="29" t="s">
        <v>104</v>
      </c>
    </row>
    <row r="62" spans="1:5" x14ac:dyDescent="0.2">
      <c r="A62" s="27" t="s">
        <v>74</v>
      </c>
      <c r="B62" s="29">
        <v>-7427.2412100000001</v>
      </c>
      <c r="C62" s="29">
        <v>-9509.2180100000005</v>
      </c>
      <c r="D62" s="29">
        <f>IF(OR(-7427.24121="",-9509.21801="",-7427.24121=0),"-",-9509.21801/-7427.24121*100)</f>
        <v>128.03163033397701</v>
      </c>
      <c r="E62" s="49"/>
    </row>
    <row r="63" spans="1:5" x14ac:dyDescent="0.2">
      <c r="A63" s="27" t="s">
        <v>61</v>
      </c>
      <c r="B63" s="29">
        <v>-7862.9601400000001</v>
      </c>
      <c r="C63" s="29">
        <v>-8099.27124</v>
      </c>
      <c r="D63" s="29">
        <f>IF(OR(-7862.96014="",-8099.27124="",-7862.96014=0),"-",-8099.27124/-7862.96014*100)</f>
        <v>103.00537069745339</v>
      </c>
    </row>
    <row r="64" spans="1:5" x14ac:dyDescent="0.2">
      <c r="A64" s="27" t="s">
        <v>83</v>
      </c>
      <c r="B64" s="29">
        <v>-7555.4651100000001</v>
      </c>
      <c r="C64" s="29">
        <v>-7892.2294700000002</v>
      </c>
      <c r="D64" s="29">
        <f>IF(OR(-7555.46511="",-7892.22947="",-7555.46511=0),"-",-7892.22947/-7555.46511*100)</f>
        <v>104.45722870924621</v>
      </c>
    </row>
    <row r="65" spans="1:5" x14ac:dyDescent="0.2">
      <c r="A65" s="27" t="s">
        <v>71</v>
      </c>
      <c r="B65" s="29">
        <v>-8310.1580200000008</v>
      </c>
      <c r="C65" s="29">
        <v>-7030.3124699999998</v>
      </c>
      <c r="D65" s="29">
        <f>IF(OR(-8310.15802="",-7030.31247="",-8310.15802=0),"-",-7030.31247/-8310.15802*100)</f>
        <v>84.599022703060456</v>
      </c>
    </row>
    <row r="66" spans="1:5" x14ac:dyDescent="0.2">
      <c r="A66" s="27" t="s">
        <v>84</v>
      </c>
      <c r="B66" s="29">
        <v>-5101.4581900000003</v>
      </c>
      <c r="C66" s="29">
        <v>-5990.0284600000005</v>
      </c>
      <c r="D66" s="29">
        <f>IF(OR(-5101.45819="",-5990.02846="",-5101.45819=0),"-",-5990.02846/-5101.45819*100)</f>
        <v>117.41796633248502</v>
      </c>
    </row>
    <row r="67" spans="1:5" x14ac:dyDescent="0.2">
      <c r="A67" s="27" t="s">
        <v>85</v>
      </c>
      <c r="B67" s="29">
        <v>-2828.8183100000001</v>
      </c>
      <c r="C67" s="29">
        <v>-5321.4685600000003</v>
      </c>
      <c r="D67" s="29" t="s">
        <v>105</v>
      </c>
    </row>
    <row r="68" spans="1:5" x14ac:dyDescent="0.2">
      <c r="A68" s="27" t="s">
        <v>63</v>
      </c>
      <c r="B68" s="29">
        <v>-5666.1010399999996</v>
      </c>
      <c r="C68" s="29">
        <v>-4085.6048900000001</v>
      </c>
      <c r="D68" s="29">
        <f>IF(OR(-5666.10104="",-4085.60489="",-5666.10104=0),"-",-4085.60489/-5666.10104*100)</f>
        <v>72.106107200658045</v>
      </c>
    </row>
    <row r="69" spans="1:5" x14ac:dyDescent="0.2">
      <c r="A69" s="27" t="s">
        <v>73</v>
      </c>
      <c r="B69" s="29">
        <v>-1505.06384</v>
      </c>
      <c r="C69" s="29">
        <v>-3780.9967799999999</v>
      </c>
      <c r="D69" s="29" t="s">
        <v>214</v>
      </c>
      <c r="E69" s="49"/>
    </row>
    <row r="70" spans="1:5" x14ac:dyDescent="0.2">
      <c r="A70" s="27" t="s">
        <v>39</v>
      </c>
      <c r="B70" s="29">
        <v>-1548.5352600000001</v>
      </c>
      <c r="C70" s="29">
        <v>-3425.5122900000001</v>
      </c>
      <c r="D70" s="29" t="s">
        <v>205</v>
      </c>
    </row>
    <row r="71" spans="1:5" x14ac:dyDescent="0.2">
      <c r="A71" s="27" t="s">
        <v>80</v>
      </c>
      <c r="B71" s="29">
        <v>-3542.5144</v>
      </c>
      <c r="C71" s="29">
        <v>-2965.3288699999998</v>
      </c>
      <c r="D71" s="29">
        <f>IF(OR(-3542.5144="",-2965.32887="",-3542.5144=0),"-",-2965.32887/-3542.5144*100)</f>
        <v>83.706896717201758</v>
      </c>
    </row>
    <row r="72" spans="1:5" x14ac:dyDescent="0.2">
      <c r="A72" s="27" t="s">
        <v>88</v>
      </c>
      <c r="B72" s="29">
        <v>-1550.8180199999999</v>
      </c>
      <c r="C72" s="29">
        <v>-2496.2371699999999</v>
      </c>
      <c r="D72" s="29" t="s">
        <v>104</v>
      </c>
    </row>
    <row r="73" spans="1:5" x14ac:dyDescent="0.2">
      <c r="A73" s="27" t="s">
        <v>89</v>
      </c>
      <c r="B73" s="29">
        <v>-998.60190999999998</v>
      </c>
      <c r="C73" s="29">
        <v>-2434.7218600000001</v>
      </c>
      <c r="D73" s="29" t="s">
        <v>304</v>
      </c>
    </row>
    <row r="74" spans="1:5" x14ac:dyDescent="0.2">
      <c r="A74" s="27" t="s">
        <v>87</v>
      </c>
      <c r="B74" s="29">
        <v>-1155.80178</v>
      </c>
      <c r="C74" s="29">
        <v>-2240.1935800000001</v>
      </c>
      <c r="D74" s="29" t="s">
        <v>105</v>
      </c>
    </row>
    <row r="75" spans="1:5" x14ac:dyDescent="0.2">
      <c r="A75" s="27" t="s">
        <v>403</v>
      </c>
      <c r="B75" s="29">
        <v>-1506.6649199999999</v>
      </c>
      <c r="C75" s="29">
        <v>-1854.63534</v>
      </c>
      <c r="D75" s="29">
        <f>IF(OR(-1506.66492="",-1854.63534="",-1506.66492=0),"-",-1854.63534/-1506.66492*100)</f>
        <v>123.09540863273037</v>
      </c>
    </row>
    <row r="76" spans="1:5" x14ac:dyDescent="0.2">
      <c r="A76" s="27" t="s">
        <v>130</v>
      </c>
      <c r="B76" s="29">
        <v>-3110.02945</v>
      </c>
      <c r="C76" s="29">
        <v>-1675.29285</v>
      </c>
      <c r="D76" s="29">
        <f>IF(OR(-3110.02945="",-1675.29285="",-3110.02945=0),"-",-1675.29285/-3110.02945*100)</f>
        <v>53.867427203944963</v>
      </c>
    </row>
    <row r="77" spans="1:5" x14ac:dyDescent="0.2">
      <c r="A77" s="27" t="s">
        <v>97</v>
      </c>
      <c r="B77" s="29">
        <v>-1098.04223</v>
      </c>
      <c r="C77" s="29">
        <v>-1597.6727100000001</v>
      </c>
      <c r="D77" s="29">
        <f>IF(OR(-1098.04223="",-1597.67271="",-1098.04223=0),"-",-1597.67271/-1098.04223*100)</f>
        <v>145.5019366604871</v>
      </c>
      <c r="E77" s="1"/>
    </row>
    <row r="78" spans="1:5" x14ac:dyDescent="0.2">
      <c r="A78" s="27" t="s">
        <v>86</v>
      </c>
      <c r="B78" s="29">
        <v>-2969.2784299999998</v>
      </c>
      <c r="C78" s="29">
        <v>-1507.1251400000001</v>
      </c>
      <c r="D78" s="29">
        <f>IF(OR(-2969.27843="",-1507.12514="",-2969.27843=0),"-",-1507.12514/-2969.27843*100)</f>
        <v>50.757285836613178</v>
      </c>
    </row>
    <row r="79" spans="1:5" x14ac:dyDescent="0.2">
      <c r="A79" s="27" t="s">
        <v>380</v>
      </c>
      <c r="B79" s="29">
        <v>-411.15512999999999</v>
      </c>
      <c r="C79" s="29">
        <v>-1299.9768799999999</v>
      </c>
      <c r="D79" s="29" t="s">
        <v>370</v>
      </c>
    </row>
    <row r="80" spans="1:5" x14ac:dyDescent="0.2">
      <c r="A80" s="27" t="s">
        <v>93</v>
      </c>
      <c r="B80" s="29">
        <v>-16.983450000000001</v>
      </c>
      <c r="C80" s="29">
        <v>-1241.7235900000001</v>
      </c>
      <c r="D80" s="29" t="s">
        <v>393</v>
      </c>
    </row>
    <row r="81" spans="1:4" x14ac:dyDescent="0.2">
      <c r="A81" s="27" t="s">
        <v>367</v>
      </c>
      <c r="B81" s="29">
        <v>-4197.0593099999996</v>
      </c>
      <c r="C81" s="29">
        <v>-1228.3978</v>
      </c>
      <c r="D81" s="29">
        <f>IF(OR(-4197.05931="",-1228.3978="",-4197.05931=0),"-",-1228.3978/-4197.05931*100)</f>
        <v>29.268059116372125</v>
      </c>
    </row>
    <row r="82" spans="1:4" x14ac:dyDescent="0.2">
      <c r="A82" s="27" t="s">
        <v>144</v>
      </c>
      <c r="B82" s="29">
        <v>-915.76693</v>
      </c>
      <c r="C82" s="29">
        <v>-1218.7572</v>
      </c>
      <c r="D82" s="29">
        <f>IF(OR(-915.76693="",-1218.7572="",-915.76693=0),"-",-1218.7572/-915.76693*100)</f>
        <v>133.08595889130874</v>
      </c>
    </row>
    <row r="83" spans="1:4" x14ac:dyDescent="0.2">
      <c r="A83" s="27" t="s">
        <v>91</v>
      </c>
      <c r="B83" s="29">
        <v>-1662.24442</v>
      </c>
      <c r="C83" s="29">
        <v>-1100.3643199999999</v>
      </c>
      <c r="D83" s="29">
        <f>IF(OR(-1662.24442="",-1100.36432="",-1662.24442=0),"-",-1100.36432/-1662.24442*100)</f>
        <v>66.197504215414966</v>
      </c>
    </row>
    <row r="84" spans="1:4" x14ac:dyDescent="0.2">
      <c r="A84" s="27" t="s">
        <v>38</v>
      </c>
      <c r="B84" s="29">
        <v>-808.01188000000002</v>
      </c>
      <c r="C84" s="29">
        <v>-915.25414000000001</v>
      </c>
      <c r="D84" s="29">
        <f>IF(OR(-808.01188="",-915.25414="",-808.01188=0),"-",-915.25414/-808.01188*100)</f>
        <v>113.27236178755193</v>
      </c>
    </row>
    <row r="85" spans="1:4" x14ac:dyDescent="0.2">
      <c r="A85" s="27" t="s">
        <v>368</v>
      </c>
      <c r="B85" s="29">
        <v>-428.19598000000002</v>
      </c>
      <c r="C85" s="29">
        <v>-848.42759000000001</v>
      </c>
      <c r="D85" s="29" t="s">
        <v>20</v>
      </c>
    </row>
    <row r="86" spans="1:4" x14ac:dyDescent="0.2">
      <c r="A86" s="27" t="s">
        <v>65</v>
      </c>
      <c r="B86" s="29">
        <v>-765.5018</v>
      </c>
      <c r="C86" s="29">
        <v>-590.75454999999999</v>
      </c>
      <c r="D86" s="29">
        <f>IF(OR(-765.5018="",-590.75455="",-765.5018=0),"-",-590.75455/-765.5018*100)</f>
        <v>77.172196067990967</v>
      </c>
    </row>
    <row r="87" spans="1:4" x14ac:dyDescent="0.2">
      <c r="A87" s="27" t="s">
        <v>68</v>
      </c>
      <c r="B87" s="29">
        <v>-765.64882</v>
      </c>
      <c r="C87" s="29">
        <v>-561.24410999999998</v>
      </c>
      <c r="D87" s="29">
        <f>IF(OR(-765.64882="",-561.24411="",-765.64882=0),"-",-561.24411/-765.64882*100)</f>
        <v>73.303072549631821</v>
      </c>
    </row>
    <row r="88" spans="1:4" x14ac:dyDescent="0.2">
      <c r="A88" s="27" t="s">
        <v>221</v>
      </c>
      <c r="B88" s="29">
        <v>-100.02999</v>
      </c>
      <c r="C88" s="29">
        <v>-522.39009999999996</v>
      </c>
      <c r="D88" s="29" t="s">
        <v>333</v>
      </c>
    </row>
    <row r="89" spans="1:4" x14ac:dyDescent="0.2">
      <c r="A89" s="27" t="s">
        <v>92</v>
      </c>
      <c r="B89" s="29">
        <v>-493.69537000000003</v>
      </c>
      <c r="C89" s="29">
        <v>-500.76886000000002</v>
      </c>
      <c r="D89" s="29">
        <f>IF(OR(-493.69537="",-500.76886="",-493.69537=0),"-",-500.76886/-493.69537*100)</f>
        <v>101.43276409499242</v>
      </c>
    </row>
    <row r="90" spans="1:4" x14ac:dyDescent="0.2">
      <c r="A90" s="27" t="s">
        <v>124</v>
      </c>
      <c r="B90" s="29">
        <v>3281.9094300000002</v>
      </c>
      <c r="C90" s="29">
        <v>-483.81484999999998</v>
      </c>
      <c r="D90" s="29" t="s">
        <v>22</v>
      </c>
    </row>
    <row r="91" spans="1:4" x14ac:dyDescent="0.2">
      <c r="A91" s="27" t="s">
        <v>98</v>
      </c>
      <c r="B91" s="29">
        <v>-181.89201</v>
      </c>
      <c r="C91" s="29">
        <v>-476.03764000000001</v>
      </c>
      <c r="D91" s="29" t="s">
        <v>293</v>
      </c>
    </row>
    <row r="92" spans="1:4" x14ac:dyDescent="0.2">
      <c r="A92" s="27" t="s">
        <v>94</v>
      </c>
      <c r="B92" s="29">
        <v>-387.30076000000003</v>
      </c>
      <c r="C92" s="29">
        <v>-336.38369</v>
      </c>
      <c r="D92" s="29">
        <f>IF(OR(-387.30076="",-336.38369="",-387.30076=0),"-",-336.38369/-387.30076*100)</f>
        <v>86.85335138510959</v>
      </c>
    </row>
    <row r="93" spans="1:4" x14ac:dyDescent="0.2">
      <c r="A93" s="27" t="s">
        <v>131</v>
      </c>
      <c r="B93" s="29">
        <v>-1073.81133</v>
      </c>
      <c r="C93" s="29">
        <v>-318.34104000000002</v>
      </c>
      <c r="D93" s="29">
        <f>IF(OR(-1073.81133="",-318.34104="",-1073.81133=0),"-",-318.34104/-1073.81133*100)</f>
        <v>29.645900644389737</v>
      </c>
    </row>
    <row r="94" spans="1:4" x14ac:dyDescent="0.2">
      <c r="A94" s="27" t="s">
        <v>332</v>
      </c>
      <c r="B94" s="29">
        <v>22.992509999999999</v>
      </c>
      <c r="C94" s="29">
        <v>-313.94571999999999</v>
      </c>
      <c r="D94" s="29" t="s">
        <v>22</v>
      </c>
    </row>
    <row r="95" spans="1:4" x14ac:dyDescent="0.2">
      <c r="A95" s="27" t="s">
        <v>102</v>
      </c>
      <c r="B95" s="29">
        <v>-107.80911</v>
      </c>
      <c r="C95" s="29">
        <v>-300.61232000000001</v>
      </c>
      <c r="D95" s="29" t="s">
        <v>375</v>
      </c>
    </row>
    <row r="96" spans="1:4" x14ac:dyDescent="0.2">
      <c r="A96" s="27" t="s">
        <v>67</v>
      </c>
      <c r="B96" s="29">
        <v>2232.7402699999998</v>
      </c>
      <c r="C96" s="29">
        <v>-264.83039000000002</v>
      </c>
      <c r="D96" s="29" t="s">
        <v>22</v>
      </c>
    </row>
    <row r="97" spans="1:5" x14ac:dyDescent="0.2">
      <c r="A97" s="27" t="s">
        <v>329</v>
      </c>
      <c r="B97" s="29">
        <v>-19.64836</v>
      </c>
      <c r="C97" s="29">
        <v>-191.99476000000001</v>
      </c>
      <c r="D97" s="29" t="s">
        <v>386</v>
      </c>
      <c r="E97" s="1"/>
    </row>
    <row r="98" spans="1:5" x14ac:dyDescent="0.2">
      <c r="A98" s="27" t="s">
        <v>134</v>
      </c>
      <c r="B98" s="29">
        <v>-209.48842999999999</v>
      </c>
      <c r="C98" s="29">
        <v>-183.72789</v>
      </c>
      <c r="D98" s="29">
        <f>IF(OR(-209.48843="",-183.72789="",-209.48843=0),"-",-183.72789/-209.48843*100)</f>
        <v>87.703120406220052</v>
      </c>
    </row>
    <row r="99" spans="1:5" x14ac:dyDescent="0.2">
      <c r="A99" s="27" t="s">
        <v>111</v>
      </c>
      <c r="B99" s="29">
        <v>-477.70924000000002</v>
      </c>
      <c r="C99" s="29">
        <v>-179.15790999999999</v>
      </c>
      <c r="D99" s="29">
        <f>IF(OR(-477.70924="",-179.15791="",-477.70924=0),"-",-179.15791/-477.70924*100)</f>
        <v>37.503547136747862</v>
      </c>
      <c r="E99" s="1"/>
    </row>
    <row r="100" spans="1:5" x14ac:dyDescent="0.2">
      <c r="A100" s="27" t="s">
        <v>137</v>
      </c>
      <c r="B100" s="29">
        <v>-114.4924</v>
      </c>
      <c r="C100" s="29">
        <v>-160.94806</v>
      </c>
      <c r="D100" s="29">
        <f>IF(OR(-114.4924="",-160.94806="",-114.4924=0),"-",-160.94806/-114.4924*100)</f>
        <v>140.57532203010854</v>
      </c>
    </row>
    <row r="101" spans="1:5" x14ac:dyDescent="0.2">
      <c r="A101" s="27" t="s">
        <v>64</v>
      </c>
      <c r="B101" s="29">
        <v>-558.00501999999994</v>
      </c>
      <c r="C101" s="29">
        <v>-159.11714000000001</v>
      </c>
      <c r="D101" s="29">
        <f>IF(OR(-558.00502="",-159.11714="",-558.00502=0),"-",-159.11714/-558.00502*100)</f>
        <v>28.515359951421232</v>
      </c>
      <c r="E101" s="1"/>
    </row>
    <row r="102" spans="1:5" x14ac:dyDescent="0.2">
      <c r="A102" s="27" t="s">
        <v>325</v>
      </c>
      <c r="B102" s="29">
        <v>-358.16352000000001</v>
      </c>
      <c r="C102" s="29">
        <v>-157.72429</v>
      </c>
      <c r="D102" s="29">
        <f>IF(OR(-358.16352="",-157.72429="",-358.16352=0),"-",-157.72429/-358.16352*100)</f>
        <v>44.036949938396852</v>
      </c>
      <c r="E102" s="49"/>
    </row>
    <row r="103" spans="1:5" x14ac:dyDescent="0.2">
      <c r="A103" s="27" t="s">
        <v>212</v>
      </c>
      <c r="B103" s="29">
        <v>-23.707920000000001</v>
      </c>
      <c r="C103" s="29">
        <v>-114.65807</v>
      </c>
      <c r="D103" s="29" t="s">
        <v>388</v>
      </c>
    </row>
    <row r="104" spans="1:5" x14ac:dyDescent="0.2">
      <c r="A104" s="27" t="s">
        <v>222</v>
      </c>
      <c r="B104" s="29">
        <v>-24.334289999999999</v>
      </c>
      <c r="C104" s="29">
        <v>-113.45346000000001</v>
      </c>
      <c r="D104" s="29" t="s">
        <v>389</v>
      </c>
    </row>
    <row r="105" spans="1:5" x14ac:dyDescent="0.2">
      <c r="A105" s="27" t="s">
        <v>353</v>
      </c>
      <c r="B105" s="29">
        <v>-67.376829999999998</v>
      </c>
      <c r="C105" s="29">
        <v>-108.43333</v>
      </c>
      <c r="D105" s="29" t="s">
        <v>104</v>
      </c>
    </row>
    <row r="106" spans="1:5" x14ac:dyDescent="0.2">
      <c r="A106" s="27" t="s">
        <v>107</v>
      </c>
      <c r="B106" s="29">
        <v>-117.46957999999999</v>
      </c>
      <c r="C106" s="29">
        <v>-99.629080000000002</v>
      </c>
      <c r="D106" s="29">
        <f>IF(OR(-117.46958="",-99.62908="",-117.46958=0),"-",-99.62908/-117.46958*100)</f>
        <v>84.812663840289545</v>
      </c>
      <c r="E106" s="1"/>
    </row>
    <row r="107" spans="1:5" x14ac:dyDescent="0.2">
      <c r="A107" s="27" t="s">
        <v>312</v>
      </c>
      <c r="B107" s="29">
        <v>-14.78533</v>
      </c>
      <c r="C107" s="29">
        <v>-94.996340000000004</v>
      </c>
      <c r="D107" s="29" t="s">
        <v>394</v>
      </c>
      <c r="E107" s="1"/>
    </row>
    <row r="108" spans="1:5" x14ac:dyDescent="0.2">
      <c r="A108" s="27" t="s">
        <v>101</v>
      </c>
      <c r="B108" s="29">
        <v>-175.71118000000001</v>
      </c>
      <c r="C108" s="29">
        <v>-94.442279999999997</v>
      </c>
      <c r="D108" s="29">
        <f>IF(OR(-175.71118="",-94.44228="",-175.71118=0),"-",-94.44228/-175.71118*100)</f>
        <v>53.748589019776652</v>
      </c>
    </row>
    <row r="109" spans="1:5" x14ac:dyDescent="0.2">
      <c r="A109" s="27" t="s">
        <v>132</v>
      </c>
      <c r="B109" s="29">
        <v>-46.549149999999997</v>
      </c>
      <c r="C109" s="29">
        <v>-93.677719999999994</v>
      </c>
      <c r="D109" s="29" t="s">
        <v>20</v>
      </c>
    </row>
    <row r="110" spans="1:5" x14ac:dyDescent="0.2">
      <c r="A110" s="27" t="s">
        <v>404</v>
      </c>
      <c r="B110" s="29">
        <v>-205.14183</v>
      </c>
      <c r="C110" s="29">
        <v>-92.999080000000006</v>
      </c>
      <c r="D110" s="29">
        <f>IF(OR(-205.14183="",-92.99908="",-205.14183=0),"-",-92.99908/-205.14183*100)</f>
        <v>45.334040356371986</v>
      </c>
    </row>
    <row r="111" spans="1:5" x14ac:dyDescent="0.2">
      <c r="A111" s="27" t="s">
        <v>204</v>
      </c>
      <c r="B111" s="29">
        <v>-141.34557000000001</v>
      </c>
      <c r="C111" s="29">
        <v>-88.165930000000003</v>
      </c>
      <c r="D111" s="29">
        <f>IF(OR(-141.34557="",-88.16593="",-141.34557=0),"-",-88.16593/-141.34557*100)</f>
        <v>62.376153706126061</v>
      </c>
    </row>
    <row r="112" spans="1:5" x14ac:dyDescent="0.2">
      <c r="A112" s="27" t="s">
        <v>381</v>
      </c>
      <c r="B112" s="29">
        <v>-98.105419999999995</v>
      </c>
      <c r="C112" s="29">
        <v>-80.383369999999999</v>
      </c>
      <c r="D112" s="29">
        <f>IF(OR(-98.10542="",-80.38337="",-98.10542=0),"-",-80.38337/-98.10542*100)</f>
        <v>81.935707527677877</v>
      </c>
    </row>
    <row r="113" spans="1:4" x14ac:dyDescent="0.2">
      <c r="A113" s="27" t="s">
        <v>326</v>
      </c>
      <c r="B113" s="29">
        <v>-0.41844999999999999</v>
      </c>
      <c r="C113" s="29">
        <v>-78.088579999999993</v>
      </c>
      <c r="D113" s="29" t="s">
        <v>395</v>
      </c>
    </row>
    <row r="114" spans="1:4" x14ac:dyDescent="0.2">
      <c r="A114" s="27" t="s">
        <v>313</v>
      </c>
      <c r="B114" s="29">
        <v>-96.671360000000007</v>
      </c>
      <c r="C114" s="29">
        <v>-77.215299999999999</v>
      </c>
      <c r="D114" s="29">
        <f>IF(OR(-96.67136="",-77.2153="",-96.67136=0),"-",-77.2153/-96.67136*100)</f>
        <v>79.874018530410652</v>
      </c>
    </row>
    <row r="115" spans="1:4" x14ac:dyDescent="0.2">
      <c r="A115" s="27" t="s">
        <v>319</v>
      </c>
      <c r="B115" s="29">
        <v>-28.945620000000002</v>
      </c>
      <c r="C115" s="29">
        <v>-74.317120000000003</v>
      </c>
      <c r="D115" s="29" t="s">
        <v>293</v>
      </c>
    </row>
    <row r="116" spans="1:4" x14ac:dyDescent="0.2">
      <c r="A116" s="27" t="s">
        <v>327</v>
      </c>
      <c r="B116" s="29">
        <v>-16.469249999999999</v>
      </c>
      <c r="C116" s="29">
        <v>-60.542700000000004</v>
      </c>
      <c r="D116" s="29" t="s">
        <v>351</v>
      </c>
    </row>
    <row r="117" spans="1:4" x14ac:dyDescent="0.2">
      <c r="A117" s="27" t="s">
        <v>328</v>
      </c>
      <c r="B117" s="29">
        <v>-56.439660000000003</v>
      </c>
      <c r="C117" s="29">
        <v>-54.893230000000003</v>
      </c>
      <c r="D117" s="29">
        <f>IF(OR(-56.43966="",-54.89323="",-56.43966=0),"-",-54.89323/-56.43966*100)</f>
        <v>97.260029560773404</v>
      </c>
    </row>
    <row r="118" spans="1:4" x14ac:dyDescent="0.2">
      <c r="A118" s="27" t="s">
        <v>340</v>
      </c>
      <c r="B118" s="29">
        <v>-6.1569599999999998</v>
      </c>
      <c r="C118" s="29">
        <v>-48.161099999999998</v>
      </c>
      <c r="D118" s="29" t="s">
        <v>342</v>
      </c>
    </row>
    <row r="119" spans="1:4" x14ac:dyDescent="0.2">
      <c r="A119" s="27" t="s">
        <v>331</v>
      </c>
      <c r="B119" s="29">
        <v>6.6188000000000002</v>
      </c>
      <c r="C119" s="29">
        <v>-40.399430000000002</v>
      </c>
      <c r="D119" s="29" t="s">
        <v>22</v>
      </c>
    </row>
    <row r="120" spans="1:4" x14ac:dyDescent="0.2">
      <c r="A120" s="27" t="s">
        <v>330</v>
      </c>
      <c r="B120" s="29">
        <v>-38.424390000000002</v>
      </c>
      <c r="C120" s="29">
        <v>-34.949260000000002</v>
      </c>
      <c r="D120" s="29">
        <f>IF(OR(-38.42439="",-34.94926="",-38.42439=0),"-",-34.94926/-38.42439*100)</f>
        <v>90.955926691354122</v>
      </c>
    </row>
    <row r="121" spans="1:4" x14ac:dyDescent="0.2">
      <c r="A121" s="27" t="s">
        <v>390</v>
      </c>
      <c r="B121" s="29">
        <v>-25.585999999999999</v>
      </c>
      <c r="C121" s="29">
        <v>-34.450119999999998</v>
      </c>
      <c r="D121" s="29">
        <f>IF(OR(-25.586="",-34.45012="",-25.586=0),"-",-34.45012/-25.586*100)</f>
        <v>134.6444149144063</v>
      </c>
    </row>
    <row r="122" spans="1:4" x14ac:dyDescent="0.2">
      <c r="A122" s="27" t="s">
        <v>320</v>
      </c>
      <c r="B122" s="29">
        <v>24.012</v>
      </c>
      <c r="C122" s="29">
        <v>46.496389999999998</v>
      </c>
      <c r="D122" s="29" t="s">
        <v>105</v>
      </c>
    </row>
    <row r="123" spans="1:4" x14ac:dyDescent="0.2">
      <c r="A123" s="27" t="s">
        <v>300</v>
      </c>
      <c r="B123" s="29">
        <v>95.69417</v>
      </c>
      <c r="C123" s="29">
        <v>53.960949999999997</v>
      </c>
      <c r="D123" s="29">
        <f>IF(OR(95.69417="",53.96095="",95.69417=0),"-",53.96095/95.69417*100)</f>
        <v>56.38896288039281</v>
      </c>
    </row>
    <row r="124" spans="1:4" x14ac:dyDescent="0.2">
      <c r="A124" s="27" t="s">
        <v>343</v>
      </c>
      <c r="B124" s="29">
        <v>-2.7781199999999999</v>
      </c>
      <c r="C124" s="29">
        <v>66.470079999999996</v>
      </c>
      <c r="D124" s="29" t="s">
        <v>22</v>
      </c>
    </row>
    <row r="125" spans="1:4" x14ac:dyDescent="0.2">
      <c r="A125" s="27" t="s">
        <v>321</v>
      </c>
      <c r="B125" s="29">
        <v>27.49258</v>
      </c>
      <c r="C125" s="29">
        <v>75.189430000000002</v>
      </c>
      <c r="D125" s="29" t="s">
        <v>303</v>
      </c>
    </row>
    <row r="126" spans="1:4" x14ac:dyDescent="0.2">
      <c r="A126" s="27" t="s">
        <v>369</v>
      </c>
      <c r="B126" s="29">
        <v>53.723599999999998</v>
      </c>
      <c r="C126" s="29">
        <v>88.919589999999999</v>
      </c>
      <c r="D126" s="29" t="s">
        <v>103</v>
      </c>
    </row>
    <row r="127" spans="1:4" x14ac:dyDescent="0.2">
      <c r="A127" s="27" t="s">
        <v>219</v>
      </c>
      <c r="B127" s="29">
        <v>335.36023</v>
      </c>
      <c r="C127" s="29">
        <v>104.56599</v>
      </c>
      <c r="D127" s="29">
        <f>IF(OR(335.36023="",104.56599="",335.36023=0),"-",104.56599/335.36023*100)</f>
        <v>31.180199870449755</v>
      </c>
    </row>
    <row r="128" spans="1:4" x14ac:dyDescent="0.2">
      <c r="A128" s="27" t="s">
        <v>324</v>
      </c>
      <c r="B128" s="29">
        <v>16.930250000000001</v>
      </c>
      <c r="C128" s="29">
        <v>127.69588</v>
      </c>
      <c r="D128" s="29" t="s">
        <v>378</v>
      </c>
    </row>
    <row r="129" spans="1:4" x14ac:dyDescent="0.2">
      <c r="A129" s="27" t="s">
        <v>322</v>
      </c>
      <c r="B129" s="29">
        <v>-91.405709999999999</v>
      </c>
      <c r="C129" s="29">
        <v>157.35924</v>
      </c>
      <c r="D129" s="29" t="s">
        <v>22</v>
      </c>
    </row>
    <row r="130" spans="1:4" x14ac:dyDescent="0.2">
      <c r="A130" s="27" t="s">
        <v>216</v>
      </c>
      <c r="B130" s="29">
        <v>-8.0066500000000005</v>
      </c>
      <c r="C130" s="29">
        <v>163.39339000000001</v>
      </c>
      <c r="D130" s="29" t="s">
        <v>22</v>
      </c>
    </row>
    <row r="131" spans="1:4" x14ac:dyDescent="0.2">
      <c r="A131" s="27" t="s">
        <v>400</v>
      </c>
      <c r="B131" s="29">
        <v>-3.07883</v>
      </c>
      <c r="C131" s="29">
        <v>189.06397000000001</v>
      </c>
      <c r="D131" s="29" t="s">
        <v>22</v>
      </c>
    </row>
    <row r="132" spans="1:4" x14ac:dyDescent="0.2">
      <c r="A132" s="27" t="s">
        <v>354</v>
      </c>
      <c r="B132" s="29">
        <v>129.72873000000001</v>
      </c>
      <c r="C132" s="29">
        <v>211.45376999999999</v>
      </c>
      <c r="D132" s="29" t="s">
        <v>104</v>
      </c>
    </row>
    <row r="133" spans="1:4" x14ac:dyDescent="0.2">
      <c r="A133" s="27" t="s">
        <v>135</v>
      </c>
      <c r="B133" s="29">
        <v>-44.854080000000003</v>
      </c>
      <c r="C133" s="29">
        <v>234.43069</v>
      </c>
      <c r="D133" s="29" t="s">
        <v>22</v>
      </c>
    </row>
    <row r="134" spans="1:4" x14ac:dyDescent="0.2">
      <c r="A134" s="27" t="s">
        <v>126</v>
      </c>
      <c r="B134" s="29">
        <v>316.98912000000001</v>
      </c>
      <c r="C134" s="29">
        <v>290.61380000000003</v>
      </c>
      <c r="D134" s="29">
        <f>IF(OR(316.98912="",290.6138="",316.98912=0),"-",290.6138/316.98912*100)</f>
        <v>91.679424202319623</v>
      </c>
    </row>
    <row r="135" spans="1:4" x14ac:dyDescent="0.2">
      <c r="A135" s="27" t="s">
        <v>143</v>
      </c>
      <c r="B135" s="29">
        <v>223.99680000000001</v>
      </c>
      <c r="C135" s="29">
        <v>332.14800000000002</v>
      </c>
      <c r="D135" s="29">
        <f>IF(OR(223.9968="",332.148="",223.9968=0),"-",332.148/223.9968*100)</f>
        <v>148.28247546393521</v>
      </c>
    </row>
    <row r="136" spans="1:4" x14ac:dyDescent="0.2">
      <c r="A136" s="27" t="s">
        <v>62</v>
      </c>
      <c r="B136" s="29">
        <v>-3931.15544</v>
      </c>
      <c r="C136" s="29">
        <v>478.43347999999997</v>
      </c>
      <c r="D136" s="29" t="s">
        <v>22</v>
      </c>
    </row>
    <row r="137" spans="1:4" x14ac:dyDescent="0.2">
      <c r="A137" s="27" t="s">
        <v>125</v>
      </c>
      <c r="B137" s="29">
        <v>1072.88176</v>
      </c>
      <c r="C137" s="29">
        <v>499.80099000000001</v>
      </c>
      <c r="D137" s="29">
        <f>IF(OR(1072.88176="",499.80099="",1072.88176=0),"-",499.80099/1072.88176*100)</f>
        <v>46.58490885332975</v>
      </c>
    </row>
    <row r="138" spans="1:4" x14ac:dyDescent="0.2">
      <c r="A138" s="27" t="s">
        <v>138</v>
      </c>
      <c r="B138" s="29">
        <v>369.05475000000001</v>
      </c>
      <c r="C138" s="29">
        <v>524.83495000000005</v>
      </c>
      <c r="D138" s="29">
        <f>IF(OR(369.05475="",524.83495="",369.05475=0),"-",524.83495/369.05475*100)</f>
        <v>142.21059341466272</v>
      </c>
    </row>
    <row r="139" spans="1:4" x14ac:dyDescent="0.2">
      <c r="A139" s="27" t="s">
        <v>220</v>
      </c>
      <c r="B139" s="29">
        <v>102.09481</v>
      </c>
      <c r="C139" s="29">
        <v>605.34798000000001</v>
      </c>
      <c r="D139" s="29" t="s">
        <v>396</v>
      </c>
    </row>
    <row r="140" spans="1:4" x14ac:dyDescent="0.2">
      <c r="A140" s="27" t="s">
        <v>323</v>
      </c>
      <c r="B140" s="29">
        <v>29.40671</v>
      </c>
      <c r="C140" s="29">
        <v>635.28075999999999</v>
      </c>
      <c r="D140" s="29" t="s">
        <v>352</v>
      </c>
    </row>
    <row r="141" spans="1:4" x14ac:dyDescent="0.2">
      <c r="A141" s="27" t="s">
        <v>96</v>
      </c>
      <c r="B141" s="29">
        <v>381.61122999999998</v>
      </c>
      <c r="C141" s="29">
        <v>664.75986</v>
      </c>
      <c r="D141" s="29" t="s">
        <v>103</v>
      </c>
    </row>
    <row r="142" spans="1:4" x14ac:dyDescent="0.2">
      <c r="A142" s="27" t="s">
        <v>129</v>
      </c>
      <c r="B142" s="29">
        <v>579.52404999999999</v>
      </c>
      <c r="C142" s="29">
        <v>815.48897999999997</v>
      </c>
      <c r="D142" s="29">
        <f>IF(OR(579.52405="",815.48898="",579.52405=0),"-",815.48898/579.52405*100)</f>
        <v>140.71702114864775</v>
      </c>
    </row>
    <row r="143" spans="1:4" x14ac:dyDescent="0.2">
      <c r="A143" s="27" t="s">
        <v>109</v>
      </c>
      <c r="B143" s="29">
        <v>470.98133000000001</v>
      </c>
      <c r="C143" s="29">
        <v>879.54264999999998</v>
      </c>
      <c r="D143" s="29" t="s">
        <v>105</v>
      </c>
    </row>
    <row r="144" spans="1:4" x14ac:dyDescent="0.2">
      <c r="A144" s="27" t="s">
        <v>145</v>
      </c>
      <c r="B144" s="29">
        <v>345.74732</v>
      </c>
      <c r="C144" s="29">
        <v>923.96711000000005</v>
      </c>
      <c r="D144" s="29" t="s">
        <v>303</v>
      </c>
    </row>
    <row r="145" spans="1:4" x14ac:dyDescent="0.2">
      <c r="A145" s="27" t="s">
        <v>37</v>
      </c>
      <c r="B145" s="29">
        <v>426.52251999999999</v>
      </c>
      <c r="C145" s="29">
        <v>1069.0515600000001</v>
      </c>
      <c r="D145" s="29" t="s">
        <v>214</v>
      </c>
    </row>
    <row r="146" spans="1:4" x14ac:dyDescent="0.2">
      <c r="A146" s="27" t="s">
        <v>215</v>
      </c>
      <c r="B146" s="29">
        <v>-90.91328</v>
      </c>
      <c r="C146" s="29">
        <v>1515.4066700000001</v>
      </c>
      <c r="D146" s="29" t="s">
        <v>22</v>
      </c>
    </row>
    <row r="147" spans="1:4" x14ac:dyDescent="0.2">
      <c r="A147" s="27" t="s">
        <v>77</v>
      </c>
      <c r="B147" s="29">
        <v>1067.23027</v>
      </c>
      <c r="C147" s="29">
        <v>2055.36688</v>
      </c>
      <c r="D147" s="29" t="s">
        <v>105</v>
      </c>
    </row>
    <row r="148" spans="1:4" x14ac:dyDescent="0.2">
      <c r="A148" s="27" t="s">
        <v>122</v>
      </c>
      <c r="B148" s="29">
        <v>3735.0522900000001</v>
      </c>
      <c r="C148" s="29">
        <v>3553.8151800000001</v>
      </c>
      <c r="D148" s="29">
        <f>IF(OR(3735.05229="",3553.81518="",3735.05229=0),"-",3553.81518/3735.05229*100)</f>
        <v>95.147668735850544</v>
      </c>
    </row>
    <row r="149" spans="1:4" x14ac:dyDescent="0.2">
      <c r="A149" s="27" t="s">
        <v>57</v>
      </c>
      <c r="B149" s="29">
        <v>5506.9503000000004</v>
      </c>
      <c r="C149" s="29">
        <v>5073.3016200000002</v>
      </c>
      <c r="D149" s="29">
        <f>IF(OR(5506.9503="",5073.30162="",5506.9503=0),"-",5073.30162/5506.9503*100)</f>
        <v>92.125429568521795</v>
      </c>
    </row>
    <row r="150" spans="1:4" x14ac:dyDescent="0.2">
      <c r="A150" s="27" t="s">
        <v>75</v>
      </c>
      <c r="B150" s="29">
        <v>-3801.46983</v>
      </c>
      <c r="C150" s="29">
        <v>9634.0832900000005</v>
      </c>
      <c r="D150" s="29" t="s">
        <v>22</v>
      </c>
    </row>
    <row r="151" spans="1:4" x14ac:dyDescent="0.2">
      <c r="A151" s="27" t="s">
        <v>58</v>
      </c>
      <c r="B151" s="29">
        <v>16074.621660000001</v>
      </c>
      <c r="C151" s="29">
        <v>13153.629440000001</v>
      </c>
      <c r="D151" s="29">
        <f>IF(OR(16074.62166="",13153.62944="",16074.62166=0),"-",13153.62944/16074.62166*100)</f>
        <v>81.82854762131926</v>
      </c>
    </row>
    <row r="152" spans="1:4" x14ac:dyDescent="0.2">
      <c r="A152" s="27" t="s">
        <v>60</v>
      </c>
      <c r="B152" s="29">
        <v>10457.23979</v>
      </c>
      <c r="C152" s="29">
        <v>21206.640050000002</v>
      </c>
      <c r="D152" s="29" t="s">
        <v>20</v>
      </c>
    </row>
    <row r="153" spans="1:4" x14ac:dyDescent="0.2">
      <c r="A153" s="37" t="s">
        <v>366</v>
      </c>
      <c r="B153" s="39">
        <v>25077.20767</v>
      </c>
      <c r="C153" s="39">
        <v>50037.840949999998</v>
      </c>
      <c r="D153" s="39" t="s">
        <v>20</v>
      </c>
    </row>
    <row r="154" spans="1:4" x14ac:dyDescent="0.2">
      <c r="A154" s="40" t="s">
        <v>299</v>
      </c>
    </row>
  </sheetData>
  <sortState ref="A49:G114">
    <sortCondition ref="C49:C114"/>
  </sortState>
  <mergeCells count="4">
    <mergeCell ref="A2:D2"/>
    <mergeCell ref="A4:A5"/>
    <mergeCell ref="D4:D5"/>
    <mergeCell ref="B4:C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K41"/>
  <sheetViews>
    <sheetView workbookViewId="0">
      <selection activeCell="A2" sqref="A2:E2"/>
    </sheetView>
  </sheetViews>
  <sheetFormatPr defaultRowHeight="12" x14ac:dyDescent="0.2"/>
  <cols>
    <col min="1" max="1" width="30.375" style="3" customWidth="1"/>
    <col min="2" max="2" width="14.875" style="3" customWidth="1"/>
    <col min="3" max="3" width="13.875" style="3" customWidth="1"/>
    <col min="4" max="5" width="11.625" style="3" customWidth="1"/>
    <col min="6" max="16384" width="9" style="3"/>
  </cols>
  <sheetData>
    <row r="2" spans="1:6" x14ac:dyDescent="0.2">
      <c r="A2" s="2" t="s">
        <v>414</v>
      </c>
      <c r="B2" s="2"/>
      <c r="C2" s="2"/>
      <c r="D2" s="2"/>
      <c r="E2" s="2"/>
    </row>
    <row r="3" spans="1:6" x14ac:dyDescent="0.2">
      <c r="A3" s="32"/>
      <c r="B3" s="32"/>
      <c r="C3" s="32"/>
      <c r="D3" s="32"/>
      <c r="E3" s="32"/>
    </row>
    <row r="4" spans="1:6" ht="18.75" customHeight="1" x14ac:dyDescent="0.2">
      <c r="A4" s="4"/>
      <c r="B4" s="5" t="s">
        <v>355</v>
      </c>
      <c r="C4" s="6"/>
      <c r="D4" s="5" t="s">
        <v>108</v>
      </c>
      <c r="E4" s="88"/>
      <c r="F4" s="49"/>
    </row>
    <row r="5" spans="1:6" ht="18.75" customHeight="1" x14ac:dyDescent="0.2">
      <c r="A5" s="9"/>
      <c r="B5" s="10" t="s">
        <v>121</v>
      </c>
      <c r="C5" s="11" t="s">
        <v>356</v>
      </c>
      <c r="D5" s="12" t="s">
        <v>357</v>
      </c>
      <c r="E5" s="5"/>
      <c r="F5" s="49"/>
    </row>
    <row r="6" spans="1:6" ht="23.25" customHeight="1" x14ac:dyDescent="0.2">
      <c r="A6" s="13"/>
      <c r="B6" s="14"/>
      <c r="C6" s="15"/>
      <c r="D6" s="16">
        <v>2020</v>
      </c>
      <c r="E6" s="17">
        <v>2021</v>
      </c>
      <c r="F6" s="49"/>
    </row>
    <row r="7" spans="1:6" ht="15.75" customHeight="1" x14ac:dyDescent="0.2">
      <c r="A7" s="89" t="s">
        <v>136</v>
      </c>
      <c r="B7" s="26">
        <v>2455618.67545</v>
      </c>
      <c r="C7" s="20">
        <v>123.59487919171914</v>
      </c>
      <c r="D7" s="102">
        <v>100</v>
      </c>
      <c r="E7" s="102">
        <v>100</v>
      </c>
    </row>
    <row r="8" spans="1:6" ht="15.75" customHeight="1" x14ac:dyDescent="0.2">
      <c r="A8" s="91" t="s">
        <v>127</v>
      </c>
      <c r="B8" s="102"/>
      <c r="C8" s="103"/>
      <c r="D8" s="102"/>
      <c r="E8" s="102"/>
    </row>
    <row r="9" spans="1:6" x14ac:dyDescent="0.2">
      <c r="A9" s="94" t="s">
        <v>112</v>
      </c>
      <c r="B9" s="29">
        <v>199652.02288</v>
      </c>
      <c r="C9" s="103">
        <v>145.1010756140507</v>
      </c>
      <c r="D9" s="29">
        <f>IF(137595.13638="","-",137595.13638/1986828.81646*100)</f>
        <v>6.9253644420739739</v>
      </c>
      <c r="E9" s="29">
        <f>IF(199652.02288="","-",199652.02288/2455618.67545*100)</f>
        <v>8.1304163743343878</v>
      </c>
    </row>
    <row r="10" spans="1:6" x14ac:dyDescent="0.2">
      <c r="A10" s="94" t="s">
        <v>113</v>
      </c>
      <c r="B10" s="29">
        <v>107864.81694999999</v>
      </c>
      <c r="C10" s="103" t="s">
        <v>206</v>
      </c>
      <c r="D10" s="29">
        <f>IF(58856.28366="","-",58856.28366/1986828.81646*100)</f>
        <v>2.9623228318615911</v>
      </c>
      <c r="E10" s="29">
        <f>IF(107864.81695="","-",107864.81695/2455618.67545*100)</f>
        <v>4.3925719423938414</v>
      </c>
    </row>
    <row r="11" spans="1:6" x14ac:dyDescent="0.2">
      <c r="A11" s="94" t="s">
        <v>114</v>
      </c>
      <c r="B11" s="29">
        <v>2118193.2348500001</v>
      </c>
      <c r="C11" s="103">
        <v>119.87518381634123</v>
      </c>
      <c r="D11" s="29">
        <f>IF(1766998.94625="","-",1766998.94625/1986828.81646*100)</f>
        <v>88.93564113884365</v>
      </c>
      <c r="E11" s="29">
        <f>IF(2118193.23485="","-",2118193.23485/2455618.67545*100)</f>
        <v>86.259045674582779</v>
      </c>
    </row>
    <row r="12" spans="1:6" x14ac:dyDescent="0.2">
      <c r="A12" s="94" t="s">
        <v>115</v>
      </c>
      <c r="B12" s="29">
        <v>28809.767909999999</v>
      </c>
      <c r="C12" s="103">
        <v>128.61990575787777</v>
      </c>
      <c r="D12" s="29">
        <f>IF(22399.15178="","-",22399.15178/1986828.81646*100)</f>
        <v>1.1273820670624923</v>
      </c>
      <c r="E12" s="29">
        <f>IF(28809.76791="","-",28809.76791/2455618.67545*100)</f>
        <v>1.173218309423409</v>
      </c>
    </row>
    <row r="13" spans="1:6" x14ac:dyDescent="0.2">
      <c r="A13" s="94" t="s">
        <v>116</v>
      </c>
      <c r="B13" s="29">
        <v>974.60978</v>
      </c>
      <c r="C13" s="103">
        <v>106.30591039223761</v>
      </c>
      <c r="D13" s="29">
        <f>IF(916.79736="","-",916.79736/1986828.81646*100)</f>
        <v>4.614375191283409E-2</v>
      </c>
      <c r="E13" s="29">
        <f>IF(974.60978="","-",974.60978/2455618.67545*100)</f>
        <v>3.9688970838332609E-2</v>
      </c>
    </row>
    <row r="14" spans="1:6" x14ac:dyDescent="0.2">
      <c r="A14" s="94" t="s">
        <v>117</v>
      </c>
      <c r="B14" s="29">
        <v>5.0716200000000002</v>
      </c>
      <c r="C14" s="103">
        <v>83.199824138615526</v>
      </c>
      <c r="D14" s="29">
        <f>IF(6.09571="","-",6.09571/1986828.81646*100)</f>
        <v>3.0680599906241206E-4</v>
      </c>
      <c r="E14" s="29">
        <f>IF(5.07162="","-",5.07162/2455618.67545*100)</f>
        <v>2.0653125221368541E-4</v>
      </c>
    </row>
    <row r="15" spans="1:6" x14ac:dyDescent="0.2">
      <c r="A15" s="94" t="s">
        <v>118</v>
      </c>
      <c r="B15" s="29">
        <v>119.15146</v>
      </c>
      <c r="C15" s="103" t="s">
        <v>95</v>
      </c>
      <c r="D15" s="29">
        <f>IF(56.40532="","-",56.40532/1986828.81646*100)</f>
        <v>2.8389622464052677E-3</v>
      </c>
      <c r="E15" s="29">
        <f>IF(119.15146="","-",119.15146/2455618.67545*100)</f>
        <v>4.8521971750424614E-3</v>
      </c>
    </row>
    <row r="16" spans="1:6" x14ac:dyDescent="0.2">
      <c r="A16" s="24" t="s">
        <v>209</v>
      </c>
      <c r="B16" s="26">
        <v>1507209.7760999999</v>
      </c>
      <c r="C16" s="104">
        <v>113.97069815179204</v>
      </c>
      <c r="D16" s="26">
        <f>IF(1322453.75394="","-",1322453.75394/1986828.81646*100)</f>
        <v>66.561031478104923</v>
      </c>
      <c r="E16" s="26">
        <f>IF(1507209.7761="","-",1507209.7761/2455618.67545*100)</f>
        <v>61.378005924466216</v>
      </c>
    </row>
    <row r="17" spans="1:11" x14ac:dyDescent="0.2">
      <c r="A17" s="91" t="s">
        <v>127</v>
      </c>
      <c r="B17" s="26"/>
      <c r="C17" s="104"/>
      <c r="D17" s="26"/>
      <c r="E17" s="26"/>
    </row>
    <row r="18" spans="1:11" x14ac:dyDescent="0.2">
      <c r="A18" s="94" t="s">
        <v>112</v>
      </c>
      <c r="B18" s="29">
        <v>85950.873179999995</v>
      </c>
      <c r="C18" s="60">
        <v>133.61142349556516</v>
      </c>
      <c r="D18" s="29">
        <f>IF(64328.98545="","-",64328.98545/1986828.81646*100)</f>
        <v>3.2377719165870129</v>
      </c>
      <c r="E18" s="29">
        <f>IF(85950.87318="","-",85950.87318/2455618.67545*100)</f>
        <v>3.5001718320231143</v>
      </c>
      <c r="K18" s="105"/>
    </row>
    <row r="19" spans="1:11" x14ac:dyDescent="0.2">
      <c r="A19" s="94" t="s">
        <v>113</v>
      </c>
      <c r="B19" s="29">
        <v>19199.958839999999</v>
      </c>
      <c r="C19" s="60">
        <v>146.80466393789649</v>
      </c>
      <c r="D19" s="29">
        <f>IF(13078.57552="","-",13078.57552/1986828.81646*100)</f>
        <v>0.65826383288030521</v>
      </c>
      <c r="E19" s="29">
        <f>IF(19199.95884="","-",19199.95884/2455618.67545*100)</f>
        <v>0.78187867814947065</v>
      </c>
    </row>
    <row r="20" spans="1:11" x14ac:dyDescent="0.2">
      <c r="A20" s="94" t="s">
        <v>114</v>
      </c>
      <c r="B20" s="29">
        <v>1397065.9254600001</v>
      </c>
      <c r="C20" s="60">
        <v>112.62988586778026</v>
      </c>
      <c r="D20" s="29">
        <f>IF(1240404.28053="","-",1240404.28053/1986828.81646*100)</f>
        <v>62.43136148689802</v>
      </c>
      <c r="E20" s="29">
        <f>IF(1397065.92546="","-",1397065.92546/2455618.67545*100)</f>
        <v>56.892625040978039</v>
      </c>
    </row>
    <row r="21" spans="1:11" x14ac:dyDescent="0.2">
      <c r="A21" s="94" t="s">
        <v>115</v>
      </c>
      <c r="B21" s="29">
        <v>4080.1837300000002</v>
      </c>
      <c r="C21" s="60">
        <v>98.281049117794126</v>
      </c>
      <c r="D21" s="29">
        <f>IF(4151.54678="","-",4151.54678/1986828.81646*100)</f>
        <v>0.20895342092918456</v>
      </c>
      <c r="E21" s="29">
        <f>IF(4080.18373="","-",4080.18373/2455618.67545*100)</f>
        <v>0.16615705731478417</v>
      </c>
    </row>
    <row r="22" spans="1:11" x14ac:dyDescent="0.2">
      <c r="A22" s="94" t="s">
        <v>116</v>
      </c>
      <c r="B22" s="29">
        <v>836.95928000000004</v>
      </c>
      <c r="C22" s="60" t="s">
        <v>105</v>
      </c>
      <c r="D22" s="29">
        <f>IF(449.39467="","-",449.39467/1986828.81646*100)</f>
        <v>2.2618690965067727E-2</v>
      </c>
      <c r="E22" s="29">
        <f>IF(836.95928="","-",836.95928/2455618.67545*100)</f>
        <v>3.4083438457586442E-2</v>
      </c>
    </row>
    <row r="23" spans="1:11" x14ac:dyDescent="0.2">
      <c r="A23" s="106" t="s">
        <v>118</v>
      </c>
      <c r="B23" s="29">
        <v>75.875609999999995</v>
      </c>
      <c r="C23" s="60" t="s">
        <v>105</v>
      </c>
      <c r="D23" s="29">
        <f>IF(40.97099="","-",40.97099/1986828.81646*100)</f>
        <v>2.0621298453381304E-3</v>
      </c>
      <c r="E23" s="29">
        <f>IF(75.87561="","-",75.87561/2455618.67545*100)</f>
        <v>3.0898775432262725E-3</v>
      </c>
    </row>
    <row r="24" spans="1:11" x14ac:dyDescent="0.2">
      <c r="A24" s="24" t="s">
        <v>210</v>
      </c>
      <c r="B24" s="26">
        <v>372346.44691</v>
      </c>
      <c r="C24" s="104">
        <v>122.04518736711778</v>
      </c>
      <c r="D24" s="26">
        <f>IF(305089.00428="","-",305089.00428/1986828.81646*100)</f>
        <v>15.355575767397383</v>
      </c>
      <c r="E24" s="26">
        <f>IF(372346.44691="","-",372346.44691/2455618.67545*100)</f>
        <v>15.16304019970716</v>
      </c>
    </row>
    <row r="25" spans="1:11" x14ac:dyDescent="0.2">
      <c r="A25" s="91" t="s">
        <v>127</v>
      </c>
      <c r="B25" s="26"/>
      <c r="C25" s="104"/>
      <c r="D25" s="26"/>
      <c r="E25" s="107"/>
    </row>
    <row r="26" spans="1:11" x14ac:dyDescent="0.2">
      <c r="A26" s="94" t="s">
        <v>112</v>
      </c>
      <c r="B26" s="29">
        <v>10277.80212</v>
      </c>
      <c r="C26" s="60" t="s">
        <v>311</v>
      </c>
      <c r="D26" s="29">
        <f>IF(2450.00916="","-",2450.00916/1986828.81646*100)</f>
        <v>0.12331254407540074</v>
      </c>
      <c r="E26" s="29">
        <f>IF(10277.80212="","-",10277.80212/2455618.67545*100)</f>
        <v>0.41854226890975083</v>
      </c>
    </row>
    <row r="27" spans="1:11" x14ac:dyDescent="0.2">
      <c r="A27" s="94" t="s">
        <v>113</v>
      </c>
      <c r="B27" s="29">
        <v>11501.22395</v>
      </c>
      <c r="C27" s="60" t="s">
        <v>103</v>
      </c>
      <c r="D27" s="29">
        <f>IF(6667.10737="","-",6667.10737/1986828.81646*100)</f>
        <v>0.33556526434315614</v>
      </c>
      <c r="E27" s="29">
        <f>IF(11501.22395="","-",11501.22395/2455618.67545*100)</f>
        <v>0.4683635967173268</v>
      </c>
      <c r="F27" s="49"/>
      <c r="G27" s="49"/>
    </row>
    <row r="28" spans="1:11" x14ac:dyDescent="0.2">
      <c r="A28" s="94" t="s">
        <v>114</v>
      </c>
      <c r="B28" s="29">
        <v>342785.30132000003</v>
      </c>
      <c r="C28" s="60">
        <v>118.76152148777052</v>
      </c>
      <c r="D28" s="29">
        <f>IF(288633.30229="","-",288633.30229/1986828.81646*100)</f>
        <v>14.52733622035278</v>
      </c>
      <c r="E28" s="29">
        <f>IF(342785.30132="","-",342785.30132/2455618.67545*100)</f>
        <v>13.959223585770438</v>
      </c>
      <c r="F28" s="1"/>
      <c r="G28" s="1"/>
    </row>
    <row r="29" spans="1:11" x14ac:dyDescent="0.2">
      <c r="A29" s="94" t="s">
        <v>115</v>
      </c>
      <c r="B29" s="29">
        <v>7709.3805599999996</v>
      </c>
      <c r="C29" s="60">
        <v>106.90172366533619</v>
      </c>
      <c r="D29" s="29">
        <f>IF(7211.65225="","-",7211.65225/1986828.81646*100)</f>
        <v>0.36297300453137399</v>
      </c>
      <c r="E29" s="29">
        <f>IF(7709.38056="","-",7709.38056/2455618.67545*100)</f>
        <v>0.31394860436086364</v>
      </c>
    </row>
    <row r="30" spans="1:11" x14ac:dyDescent="0.2">
      <c r="A30" s="94" t="s">
        <v>116</v>
      </c>
      <c r="B30" s="29">
        <v>30.008870000000002</v>
      </c>
      <c r="C30" s="60">
        <v>28.470557384564433</v>
      </c>
      <c r="D30" s="29">
        <f>IF(105.40317="","-",105.40317/1986828.81646*100)</f>
        <v>5.3050956945450587E-3</v>
      </c>
      <c r="E30" s="29">
        <f>IF(30.00887="","-",30.00887/2455618.67545*100)</f>
        <v>1.222049266036828E-3</v>
      </c>
    </row>
    <row r="31" spans="1:11" x14ac:dyDescent="0.2">
      <c r="A31" s="94" t="s">
        <v>117</v>
      </c>
      <c r="B31" s="29">
        <v>5.0716200000000002</v>
      </c>
      <c r="C31" s="60">
        <v>83.199824138615526</v>
      </c>
      <c r="D31" s="29">
        <f>IF(6.09571="","-",6.09571/1986828.81646*100)</f>
        <v>3.0680599906241206E-4</v>
      </c>
      <c r="E31" s="29">
        <f>IF(5.07162="","-",5.07162/2455618.67545*100)</f>
        <v>2.0653125221368541E-4</v>
      </c>
    </row>
    <row r="32" spans="1:11" x14ac:dyDescent="0.2">
      <c r="A32" s="94" t="s">
        <v>118</v>
      </c>
      <c r="B32" s="29">
        <v>37.658470000000001</v>
      </c>
      <c r="C32" s="60" t="s">
        <v>304</v>
      </c>
      <c r="D32" s="29">
        <f>IF(15.43433="","-",15.43433/1986828.81646*100)</f>
        <v>7.7683240106713705E-4</v>
      </c>
      <c r="E32" s="29">
        <f>IF(37.65847="","-",37.65847/2455618.67545*100)</f>
        <v>1.5335634305313696E-3</v>
      </c>
    </row>
    <row r="33" spans="1:5" x14ac:dyDescent="0.2">
      <c r="A33" s="24" t="s">
        <v>317</v>
      </c>
      <c r="B33" s="26">
        <v>576062.45244000002</v>
      </c>
      <c r="C33" s="104" t="s">
        <v>104</v>
      </c>
      <c r="D33" s="26">
        <f>IF(359286.05824="","-",359286.05824/1986828.81646*100)</f>
        <v>18.083392754497698</v>
      </c>
      <c r="E33" s="26">
        <f>IF(576062.45244="","-",576062.45244/2455618.67545*100)</f>
        <v>23.458953875826619</v>
      </c>
    </row>
    <row r="34" spans="1:5" x14ac:dyDescent="0.2">
      <c r="A34" s="91" t="s">
        <v>127</v>
      </c>
      <c r="B34" s="26"/>
      <c r="C34" s="104"/>
      <c r="D34" s="26"/>
      <c r="E34" s="26"/>
    </row>
    <row r="35" spans="1:5" x14ac:dyDescent="0.2">
      <c r="A35" s="94" t="s">
        <v>112</v>
      </c>
      <c r="B35" s="29">
        <v>103423.34758</v>
      </c>
      <c r="C35" s="60">
        <v>146.04487761547816</v>
      </c>
      <c r="D35" s="29">
        <f>IF(70816.14177="","-",70816.14177/1986828.81646*100)</f>
        <v>3.5642799814115596</v>
      </c>
      <c r="E35" s="29">
        <f>IF(103423.34758="","-",103423.34758/2455618.67545*100)</f>
        <v>4.2117022734015226</v>
      </c>
    </row>
    <row r="36" spans="1:5" x14ac:dyDescent="0.2">
      <c r="A36" s="94" t="s">
        <v>113</v>
      </c>
      <c r="B36" s="29">
        <v>77163.634160000001</v>
      </c>
      <c r="C36" s="60" t="s">
        <v>20</v>
      </c>
      <c r="D36" s="29">
        <f>IF(39110.60077="","-",39110.60077/1986828.81646*100)</f>
        <v>1.9684937346381295</v>
      </c>
      <c r="E36" s="29">
        <f>IF(77163.63416="","-",77163.63416/2455618.67545*100)</f>
        <v>3.1423296675270449</v>
      </c>
    </row>
    <row r="37" spans="1:5" x14ac:dyDescent="0.2">
      <c r="A37" s="94" t="s">
        <v>114</v>
      </c>
      <c r="B37" s="29">
        <v>378342.00806999998</v>
      </c>
      <c r="C37" s="60" t="s">
        <v>104</v>
      </c>
      <c r="D37" s="29">
        <f>IF(237961.36343="","-",237961.36343/1986828.81646*100)</f>
        <v>11.976943431592854</v>
      </c>
      <c r="E37" s="29">
        <f>IF(378342.00807="","-",378342.00807/2455618.67545*100)</f>
        <v>15.407197047834293</v>
      </c>
    </row>
    <row r="38" spans="1:5" x14ac:dyDescent="0.2">
      <c r="A38" s="94" t="s">
        <v>115</v>
      </c>
      <c r="B38" s="29">
        <v>17020.20362</v>
      </c>
      <c r="C38" s="60" t="s">
        <v>218</v>
      </c>
      <c r="D38" s="29">
        <f>IF(11035.95275="","-",11035.95275/1986828.81646*100)</f>
        <v>0.55545564160193384</v>
      </c>
      <c r="E38" s="29">
        <f>IF(17020.20362="","-",17020.20362/2455618.67545*100)</f>
        <v>0.69311264774776127</v>
      </c>
    </row>
    <row r="39" spans="1:5" x14ac:dyDescent="0.2">
      <c r="A39" s="106" t="s">
        <v>116</v>
      </c>
      <c r="B39" s="36">
        <v>107.64163000000001</v>
      </c>
      <c r="C39" s="96">
        <v>29.735296334094585</v>
      </c>
      <c r="D39" s="29">
        <f>IF(361.99952="","-",361.99952/1986828.81646*100)</f>
        <v>1.8219965253221303E-2</v>
      </c>
      <c r="E39" s="29">
        <f>IF(107.64163="","-",107.64163/2455618.67545*100)</f>
        <v>4.3834831147093441E-3</v>
      </c>
    </row>
    <row r="40" spans="1:5" x14ac:dyDescent="0.2">
      <c r="A40" s="99" t="s">
        <v>118</v>
      </c>
      <c r="B40" s="39">
        <v>5.6173799999999998</v>
      </c>
      <c r="C40" s="108" t="s">
        <v>302</v>
      </c>
      <c r="D40" s="39" t="s">
        <v>302</v>
      </c>
      <c r="E40" s="39">
        <f>IF(5.61738="","-",5.61738/2455618.67545*100)</f>
        <v>2.2875620128481869E-4</v>
      </c>
    </row>
    <row r="41" spans="1:5" x14ac:dyDescent="0.2">
      <c r="A41" s="101" t="s">
        <v>21</v>
      </c>
    </row>
  </sheetData>
  <mergeCells count="7">
    <mergeCell ref="A2:E2"/>
    <mergeCell ref="A4:A6"/>
    <mergeCell ref="B4:C4"/>
    <mergeCell ref="D4:E4"/>
    <mergeCell ref="B5:B6"/>
    <mergeCell ref="C5:C6"/>
    <mergeCell ref="D5:E5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G43"/>
  <sheetViews>
    <sheetView workbookViewId="0">
      <selection activeCell="A2" sqref="A2:E2"/>
    </sheetView>
  </sheetViews>
  <sheetFormatPr defaultRowHeight="12" x14ac:dyDescent="0.2"/>
  <cols>
    <col min="1" max="1" width="31" style="3" customWidth="1"/>
    <col min="2" max="2" width="14.5" style="3" customWidth="1"/>
    <col min="3" max="3" width="13.75" style="3" customWidth="1"/>
    <col min="4" max="5" width="11.625" style="3" customWidth="1"/>
    <col min="6" max="16384" width="9" style="3"/>
  </cols>
  <sheetData>
    <row r="2" spans="1:6" x14ac:dyDescent="0.2">
      <c r="A2" s="2" t="s">
        <v>413</v>
      </c>
      <c r="B2" s="2"/>
      <c r="C2" s="2"/>
      <c r="D2" s="2"/>
      <c r="E2" s="2"/>
    </row>
    <row r="3" spans="1:6" x14ac:dyDescent="0.2">
      <c r="A3" s="32"/>
      <c r="B3" s="32"/>
      <c r="C3" s="32"/>
      <c r="D3" s="32"/>
      <c r="E3" s="32"/>
    </row>
    <row r="4" spans="1:6" ht="17.25" customHeight="1" x14ac:dyDescent="0.2">
      <c r="A4" s="4"/>
      <c r="B4" s="5" t="s">
        <v>355</v>
      </c>
      <c r="C4" s="6"/>
      <c r="D4" s="5" t="s">
        <v>108</v>
      </c>
      <c r="E4" s="88"/>
      <c r="F4" s="49"/>
    </row>
    <row r="5" spans="1:6" ht="20.25" customHeight="1" x14ac:dyDescent="0.2">
      <c r="A5" s="9"/>
      <c r="B5" s="10" t="s">
        <v>121</v>
      </c>
      <c r="C5" s="11" t="s">
        <v>356</v>
      </c>
      <c r="D5" s="12" t="s">
        <v>357</v>
      </c>
      <c r="E5" s="5"/>
      <c r="F5" s="49"/>
    </row>
    <row r="6" spans="1:6" ht="20.25" customHeight="1" x14ac:dyDescent="0.2">
      <c r="A6" s="13"/>
      <c r="B6" s="14"/>
      <c r="C6" s="15"/>
      <c r="D6" s="16">
        <v>2020</v>
      </c>
      <c r="E6" s="17">
        <v>2021</v>
      </c>
      <c r="F6" s="49"/>
    </row>
    <row r="7" spans="1:6" ht="15.75" customHeight="1" x14ac:dyDescent="0.2">
      <c r="A7" s="89" t="s">
        <v>128</v>
      </c>
      <c r="B7" s="20">
        <v>5718897.8837799998</v>
      </c>
      <c r="C7" s="20">
        <v>132.20442009458552</v>
      </c>
      <c r="D7" s="90">
        <v>100</v>
      </c>
      <c r="E7" s="90">
        <v>100</v>
      </c>
    </row>
    <row r="8" spans="1:6" ht="15.75" customHeight="1" x14ac:dyDescent="0.2">
      <c r="A8" s="91" t="s">
        <v>127</v>
      </c>
      <c r="B8" s="92"/>
      <c r="C8" s="93"/>
      <c r="D8" s="92"/>
      <c r="E8" s="92"/>
    </row>
    <row r="9" spans="1:6" x14ac:dyDescent="0.2">
      <c r="A9" s="94" t="s">
        <v>112</v>
      </c>
      <c r="B9" s="36">
        <v>187925.20624</v>
      </c>
      <c r="C9" s="93" t="s">
        <v>301</v>
      </c>
      <c r="D9" s="36">
        <f>IF(65117.63548="","-",65117.63548/4325799.3036*100)</f>
        <v>1.5053318683973167</v>
      </c>
      <c r="E9" s="36">
        <f>IF(187925.20624="","-",187925.20624/5718897.88378*100)</f>
        <v>3.2860388497755051</v>
      </c>
    </row>
    <row r="10" spans="1:6" x14ac:dyDescent="0.2">
      <c r="A10" s="94" t="s">
        <v>113</v>
      </c>
      <c r="B10" s="36">
        <v>270811.56597</v>
      </c>
      <c r="C10" s="93">
        <v>130.43907784058118</v>
      </c>
      <c r="D10" s="36">
        <f>IF(207615.36378="","-",207615.36378/4325799.3036*100)</f>
        <v>4.7994682417933525</v>
      </c>
      <c r="E10" s="36">
        <f>IF(270811.56597="","-",270811.56597/5718897.88378*100)</f>
        <v>4.7353803385452764</v>
      </c>
    </row>
    <row r="11" spans="1:6" x14ac:dyDescent="0.2">
      <c r="A11" s="94" t="s">
        <v>114</v>
      </c>
      <c r="B11" s="36">
        <v>4858410.4454800002</v>
      </c>
      <c r="C11" s="93">
        <v>128.24056067663918</v>
      </c>
      <c r="D11" s="36">
        <f>IF(3788513.10369="","-",3788513.10369/4325799.3036*100)</f>
        <v>87.579493124822918</v>
      </c>
      <c r="E11" s="36">
        <f>IF(4858410.44548="","-",4858410.44548/5718897.88378*100)</f>
        <v>84.953614214016255</v>
      </c>
    </row>
    <row r="12" spans="1:6" x14ac:dyDescent="0.2">
      <c r="A12" s="94" t="s">
        <v>115</v>
      </c>
      <c r="B12" s="36">
        <v>135074.48968</v>
      </c>
      <c r="C12" s="93">
        <v>137.35091801440339</v>
      </c>
      <c r="D12" s="36">
        <f>IF(98342.61877="","-",98342.61877/4325799.3036*100)</f>
        <v>2.2733976282292545</v>
      </c>
      <c r="E12" s="36">
        <f>IF(135074.48968="","-",135074.48968/5718897.88378*100)</f>
        <v>2.361897212102698</v>
      </c>
    </row>
    <row r="13" spans="1:6" x14ac:dyDescent="0.2">
      <c r="A13" s="94" t="s">
        <v>116</v>
      </c>
      <c r="B13" s="36">
        <v>9924.8406400000003</v>
      </c>
      <c r="C13" s="93">
        <v>93.425519805582184</v>
      </c>
      <c r="D13" s="36">
        <f>IF(10623.2651="","-",10623.2651/4325799.3036*100)</f>
        <v>0.24557924107017973</v>
      </c>
      <c r="E13" s="36">
        <f>IF(9924.84064="","-",9924.84064/5718897.88378*100)</f>
        <v>0.17354463817493473</v>
      </c>
    </row>
    <row r="14" spans="1:6" x14ac:dyDescent="0.2">
      <c r="A14" s="94" t="s">
        <v>117</v>
      </c>
      <c r="B14" s="36">
        <v>220105.80410000001</v>
      </c>
      <c r="C14" s="93" t="s">
        <v>103</v>
      </c>
      <c r="D14" s="36">
        <f>IF(131794.72867="","-",131794.72867/4325799.3036*100)</f>
        <v>3.0467139000257895</v>
      </c>
      <c r="E14" s="36">
        <f>IF(220105.8041="","-",220105.8041/5718897.88378*100)</f>
        <v>3.8487451353916722</v>
      </c>
    </row>
    <row r="15" spans="1:6" x14ac:dyDescent="0.2">
      <c r="A15" s="94" t="s">
        <v>118</v>
      </c>
      <c r="B15" s="36">
        <v>36645.531669999997</v>
      </c>
      <c r="C15" s="93" t="s">
        <v>218</v>
      </c>
      <c r="D15" s="36">
        <f>IF(23792.58811="","-",23792.58811/4325799.3036*100)</f>
        <v>0.55001599566118164</v>
      </c>
      <c r="E15" s="36">
        <f>IF(36645.53167="","-",36645.53167/5718897.88378*100)</f>
        <v>0.64077961199367539</v>
      </c>
    </row>
    <row r="16" spans="1:6" x14ac:dyDescent="0.2">
      <c r="A16" s="24" t="s">
        <v>209</v>
      </c>
      <c r="B16" s="86">
        <v>2589041.9228400001</v>
      </c>
      <c r="C16" s="95">
        <v>130.58856859163953</v>
      </c>
      <c r="D16" s="86">
        <f>IF(1982594.61051="","-",1982594.61051/4325799.3036*100)</f>
        <v>45.831867624095565</v>
      </c>
      <c r="E16" s="86">
        <f>IF(2589041.92284="","-",2589041.92284/5718897.88378*100)</f>
        <v>45.271693523031225</v>
      </c>
    </row>
    <row r="17" spans="1:7" x14ac:dyDescent="0.2">
      <c r="A17" s="91" t="s">
        <v>127</v>
      </c>
      <c r="B17" s="92"/>
      <c r="C17" s="95"/>
      <c r="D17" s="92"/>
      <c r="E17" s="92"/>
    </row>
    <row r="18" spans="1:7" x14ac:dyDescent="0.2">
      <c r="A18" s="94" t="s">
        <v>112</v>
      </c>
      <c r="B18" s="36">
        <v>59159.312360000004</v>
      </c>
      <c r="C18" s="96" t="s">
        <v>375</v>
      </c>
      <c r="D18" s="36">
        <f>IF(21236.68581="","-",21236.68581/4325799.3036*100)</f>
        <v>0.49093090824455232</v>
      </c>
      <c r="E18" s="36">
        <f>IF(59159.31236="","-",59159.31236/5718897.88378*100)</f>
        <v>1.0344530285772069</v>
      </c>
    </row>
    <row r="19" spans="1:7" x14ac:dyDescent="0.2">
      <c r="A19" s="94" t="s">
        <v>113</v>
      </c>
      <c r="B19" s="36">
        <v>93136.288879999993</v>
      </c>
      <c r="C19" s="96" t="s">
        <v>401</v>
      </c>
      <c r="D19" s="36">
        <f>IF(17687.86678="","-",17687.86678/4325799.3036*100)</f>
        <v>0.40889245058779938</v>
      </c>
      <c r="E19" s="36">
        <f>IF(93136.28888="","-",93136.28888/5718897.88378*100)</f>
        <v>1.6285705877727621</v>
      </c>
    </row>
    <row r="20" spans="1:7" x14ac:dyDescent="0.2">
      <c r="A20" s="94" t="s">
        <v>114</v>
      </c>
      <c r="B20" s="36">
        <v>2370117.14334</v>
      </c>
      <c r="C20" s="96">
        <v>124.99066028878691</v>
      </c>
      <c r="D20" s="36">
        <f>IF(1896235.397="","-",1896235.397/4325799.3036*100)</f>
        <v>43.835491753441318</v>
      </c>
      <c r="E20" s="36">
        <f>IF(2370117.14334="","-",2370117.14334/5718897.88378*100)</f>
        <v>41.443599649893244</v>
      </c>
    </row>
    <row r="21" spans="1:7" x14ac:dyDescent="0.2">
      <c r="A21" s="94" t="s">
        <v>115</v>
      </c>
      <c r="B21" s="36">
        <v>32060.562679999999</v>
      </c>
      <c r="C21" s="96">
        <v>134.87223997797139</v>
      </c>
      <c r="D21" s="36">
        <f>IF(23771.06118="","-",23771.06118/4325799.3036*100)</f>
        <v>0.54951835514461667</v>
      </c>
      <c r="E21" s="36">
        <f>IF(32060.56268="","-",32060.56268/5718897.88378*100)</f>
        <v>0.56060736406800538</v>
      </c>
    </row>
    <row r="22" spans="1:7" x14ac:dyDescent="0.2">
      <c r="A22" s="94" t="s">
        <v>116</v>
      </c>
      <c r="B22" s="36">
        <v>4976.9221500000003</v>
      </c>
      <c r="C22" s="96" t="s">
        <v>218</v>
      </c>
      <c r="D22" s="36">
        <f>IF(3213.5019="","-",3213.5019/4325799.3036*100)</f>
        <v>7.4286892998611187E-2</v>
      </c>
      <c r="E22" s="36">
        <f>IF(4976.92215="","-",4976.92215/5718897.88378*100)</f>
        <v>8.7025896442662509E-2</v>
      </c>
    </row>
    <row r="23" spans="1:7" x14ac:dyDescent="0.2">
      <c r="A23" s="94" t="s">
        <v>117</v>
      </c>
      <c r="B23" s="36">
        <v>365.56008000000003</v>
      </c>
      <c r="C23" s="96" t="s">
        <v>302</v>
      </c>
      <c r="D23" s="36">
        <f>IF(78.44742="","-",78.44742/4325799.3036*100)</f>
        <v>1.81347803016924E-3</v>
      </c>
      <c r="E23" s="36">
        <f>IF(365.56008="","-",365.56008/5718897.88378*100)</f>
        <v>6.3921421125004785E-3</v>
      </c>
    </row>
    <row r="24" spans="1:7" x14ac:dyDescent="0.2">
      <c r="A24" s="94" t="s">
        <v>118</v>
      </c>
      <c r="B24" s="36">
        <v>29226.13335</v>
      </c>
      <c r="C24" s="96">
        <v>143.46473038486391</v>
      </c>
      <c r="D24" s="36">
        <f>IF(20371.65042="","-",20371.65042/4325799.3036*100)</f>
        <v>0.47093378564850169</v>
      </c>
      <c r="E24" s="36">
        <f>IF(29226.13335="","-",29226.13335/5718897.88378*100)</f>
        <v>0.51104485416484668</v>
      </c>
    </row>
    <row r="25" spans="1:7" x14ac:dyDescent="0.2">
      <c r="A25" s="24" t="s">
        <v>210</v>
      </c>
      <c r="B25" s="86">
        <v>1435079.99707</v>
      </c>
      <c r="C25" s="86">
        <v>134.58297079009225</v>
      </c>
      <c r="D25" s="86">
        <f>IF(1066316.18298="","-",1066316.18298/4325799.3036*100)</f>
        <v>24.650153836138315</v>
      </c>
      <c r="E25" s="86">
        <f>IF(1435079.99707="","-",1435079.99707/5718897.88378*100)</f>
        <v>25.093646122624246</v>
      </c>
    </row>
    <row r="26" spans="1:7" x14ac:dyDescent="0.2">
      <c r="A26" s="94" t="s">
        <v>127</v>
      </c>
      <c r="B26" s="92"/>
      <c r="C26" s="97"/>
      <c r="D26" s="92"/>
      <c r="E26" s="98"/>
    </row>
    <row r="27" spans="1:7" x14ac:dyDescent="0.2">
      <c r="A27" s="94" t="s">
        <v>112</v>
      </c>
      <c r="B27" s="36">
        <v>107139.27703</v>
      </c>
      <c r="C27" s="93" t="s">
        <v>402</v>
      </c>
      <c r="D27" s="36">
        <f>IF(31404.52106="","-",31404.52106/4325799.3036*100)</f>
        <v>0.72598192509450565</v>
      </c>
      <c r="E27" s="36">
        <f>IF(107139.27703="","-",107139.27703/5718897.88378*100)</f>
        <v>1.8734252509363662</v>
      </c>
    </row>
    <row r="28" spans="1:7" x14ac:dyDescent="0.2">
      <c r="A28" s="94" t="s">
        <v>113</v>
      </c>
      <c r="B28" s="36">
        <v>177558.98694999999</v>
      </c>
      <c r="C28" s="93">
        <v>93.593887434825447</v>
      </c>
      <c r="D28" s="36">
        <f>IF(189712.16157="","-",189712.16157/4325799.3036*100)</f>
        <v>4.3855978573050871</v>
      </c>
      <c r="E28" s="36">
        <f>IF(177558.98695="","-",177558.98695/5718897.88378*100)</f>
        <v>3.1047763145691887</v>
      </c>
      <c r="F28" s="49"/>
      <c r="G28" s="49"/>
    </row>
    <row r="29" spans="1:7" x14ac:dyDescent="0.2">
      <c r="A29" s="94" t="s">
        <v>114</v>
      </c>
      <c r="B29" s="36">
        <v>906076.10082000005</v>
      </c>
      <c r="C29" s="93">
        <v>129.39981283232794</v>
      </c>
      <c r="D29" s="36">
        <f>IF(700214.38284="","-",700214.38284/4325799.3036*100)</f>
        <v>16.186936417907098</v>
      </c>
      <c r="E29" s="36">
        <f>IF(906076.10082="","-",906076.10082/5718897.88378*100)</f>
        <v>15.843543970068479</v>
      </c>
      <c r="F29" s="49"/>
      <c r="G29" s="49"/>
    </row>
    <row r="30" spans="1:7" x14ac:dyDescent="0.2">
      <c r="A30" s="94" t="s">
        <v>115</v>
      </c>
      <c r="B30" s="36">
        <v>21895.139589999999</v>
      </c>
      <c r="C30" s="93" t="s">
        <v>206</v>
      </c>
      <c r="D30" s="36">
        <f>IF(11982.04996="","-",11982.04996/4325799.3036*100)</f>
        <v>0.27699042694903447</v>
      </c>
      <c r="E30" s="36">
        <f>IF(21895.13959="","-",21895.13959/5718897.88378*100)</f>
        <v>0.38285592844906763</v>
      </c>
      <c r="F30" s="1"/>
      <c r="G30" s="1"/>
    </row>
    <row r="31" spans="1:7" x14ac:dyDescent="0.2">
      <c r="A31" s="94" t="s">
        <v>116</v>
      </c>
      <c r="B31" s="36">
        <v>329.90051</v>
      </c>
      <c r="C31" s="93">
        <v>94.710494523809771</v>
      </c>
      <c r="D31" s="36">
        <f>IF(348.32519="","-",348.32519/4325799.3036*100)</f>
        <v>8.0522734771841624E-3</v>
      </c>
      <c r="E31" s="36">
        <f>IF(329.90051="","-",329.90051/5718897.88378*100)</f>
        <v>5.7686029144823061E-3</v>
      </c>
    </row>
    <row r="32" spans="1:7" x14ac:dyDescent="0.2">
      <c r="A32" s="94" t="s">
        <v>117</v>
      </c>
      <c r="B32" s="36">
        <v>219740.24402000001</v>
      </c>
      <c r="C32" s="93" t="s">
        <v>103</v>
      </c>
      <c r="D32" s="36">
        <f>IF(131716.28125="","-",131716.28125/4325799.3036*100)</f>
        <v>3.0449004219956199</v>
      </c>
      <c r="E32" s="36">
        <f>IF(219740.24402="","-",219740.24402/5718897.88378*100)</f>
        <v>3.8423529932791718</v>
      </c>
    </row>
    <row r="33" spans="1:5" x14ac:dyDescent="0.2">
      <c r="A33" s="94" t="s">
        <v>118</v>
      </c>
      <c r="B33" s="36">
        <v>2340.3481499999998</v>
      </c>
      <c r="C33" s="93" t="s">
        <v>208</v>
      </c>
      <c r="D33" s="36">
        <f>IF(938.46111="","-",938.46111/4325799.3036*100)</f>
        <v>2.1694513409787584E-2</v>
      </c>
      <c r="E33" s="36">
        <f>IF(2340.34815="","-",2340.34815/5718897.88378*100)</f>
        <v>4.0923062407491495E-2</v>
      </c>
    </row>
    <row r="34" spans="1:5" x14ac:dyDescent="0.2">
      <c r="A34" s="24" t="s">
        <v>211</v>
      </c>
      <c r="B34" s="86">
        <v>1694775.9638700001</v>
      </c>
      <c r="C34" s="95">
        <v>132.72701183003053</v>
      </c>
      <c r="D34" s="86">
        <f>IF(1276888.51011="","-",1276888.51011/4325799.3036*100)</f>
        <v>29.517978539766109</v>
      </c>
      <c r="E34" s="86">
        <f>IF(1694775.96387="","-",1694775.96387/5718897.88378*100)</f>
        <v>29.634660354344533</v>
      </c>
    </row>
    <row r="35" spans="1:5" x14ac:dyDescent="0.2">
      <c r="A35" s="94" t="s">
        <v>127</v>
      </c>
      <c r="B35" s="92"/>
      <c r="C35" s="95"/>
      <c r="D35" s="92"/>
      <c r="E35" s="92"/>
    </row>
    <row r="36" spans="1:5" x14ac:dyDescent="0.2">
      <c r="A36" s="94" t="s">
        <v>112</v>
      </c>
      <c r="B36" s="36">
        <v>21626.616849999999</v>
      </c>
      <c r="C36" s="96" t="s">
        <v>103</v>
      </c>
      <c r="D36" s="36">
        <f>IF(12476.42861="","-",12476.42861/4325799.3036*100)</f>
        <v>0.28841903505825883</v>
      </c>
      <c r="E36" s="36">
        <f>IF(21626.61685="","-",21626.61685/5718897.88378*100)</f>
        <v>0.37816057026193184</v>
      </c>
    </row>
    <row r="37" spans="1:5" x14ac:dyDescent="0.2">
      <c r="A37" s="94" t="s">
        <v>113</v>
      </c>
      <c r="B37" s="36">
        <v>116.29013999999999</v>
      </c>
      <c r="C37" s="96">
        <v>54.004183148123829</v>
      </c>
      <c r="D37" s="36">
        <f>IF(215.33543="","-",215.33543/4325799.3036*100)</f>
        <v>4.9779339004653866E-3</v>
      </c>
      <c r="E37" s="36">
        <f>IF(116.29014="","-",116.29014/5718897.88378*100)</f>
        <v>2.0334362033255279E-3</v>
      </c>
    </row>
    <row r="38" spans="1:5" x14ac:dyDescent="0.2">
      <c r="A38" s="94" t="s">
        <v>114</v>
      </c>
      <c r="B38" s="36">
        <v>1582217.20132</v>
      </c>
      <c r="C38" s="96">
        <v>132.72929127707093</v>
      </c>
      <c r="D38" s="36">
        <f>IF(1192063.32385="","-",1192063.32385/4325799.3036*100)</f>
        <v>27.557064953474509</v>
      </c>
      <c r="E38" s="36">
        <f>IF(1582217.20132="","-",1582217.20132/5718897.88378*100)</f>
        <v>27.66647059405452</v>
      </c>
    </row>
    <row r="39" spans="1:5" x14ac:dyDescent="0.2">
      <c r="A39" s="94" t="s">
        <v>115</v>
      </c>
      <c r="B39" s="36">
        <v>81118.787410000004</v>
      </c>
      <c r="C39" s="96">
        <v>129.60445046082879</v>
      </c>
      <c r="D39" s="36">
        <f>IF(62589.50763="","-",62589.50763/4325799.3036*100)</f>
        <v>1.4468888461356033</v>
      </c>
      <c r="E39" s="36">
        <f>IF(81118.78741="","-",81118.78741/5718897.88378*100)</f>
        <v>1.4184339195856248</v>
      </c>
    </row>
    <row r="40" spans="1:5" x14ac:dyDescent="0.2">
      <c r="A40" s="94" t="s">
        <v>116</v>
      </c>
      <c r="B40" s="36">
        <v>4618.0179799999996</v>
      </c>
      <c r="C40" s="96">
        <v>65.397699072911635</v>
      </c>
      <c r="D40" s="36">
        <f>IF(7061.43801="","-",7061.43801/4325799.3036*100)</f>
        <v>0.16324007459438436</v>
      </c>
      <c r="E40" s="36">
        <f>IF(4618.01798="","-",4618.01798/5718897.88378*100)</f>
        <v>8.0750138817789918E-2</v>
      </c>
    </row>
    <row r="41" spans="1:5" x14ac:dyDescent="0.2">
      <c r="A41" s="99" t="s">
        <v>118</v>
      </c>
      <c r="B41" s="39">
        <v>5079.0501700000004</v>
      </c>
      <c r="C41" s="100" t="s">
        <v>20</v>
      </c>
      <c r="D41" s="39">
        <f>IF(2482.47658="","-",2482.47658/4325799.3036*100)</f>
        <v>5.7387696602892391E-2</v>
      </c>
      <c r="E41" s="39">
        <f>IF(5079.05017="","-",5079.05017/5718897.88378*100)</f>
        <v>8.881169542133735E-2</v>
      </c>
    </row>
    <row r="42" spans="1:5" x14ac:dyDescent="0.2">
      <c r="A42" s="101" t="s">
        <v>21</v>
      </c>
      <c r="B42" s="36"/>
      <c r="C42" s="96"/>
      <c r="D42" s="36"/>
      <c r="E42" s="36"/>
    </row>
    <row r="43" spans="1:5" x14ac:dyDescent="0.2">
      <c r="B43" s="49"/>
      <c r="C43" s="49"/>
      <c r="D43" s="49"/>
      <c r="E43" s="49"/>
    </row>
  </sheetData>
  <mergeCells count="7">
    <mergeCell ref="A2:E2"/>
    <mergeCell ref="A4:A6"/>
    <mergeCell ref="B4:C4"/>
    <mergeCell ref="D4:E4"/>
    <mergeCell ref="B5:B6"/>
    <mergeCell ref="C5:C6"/>
    <mergeCell ref="D5:E5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K82"/>
  <sheetViews>
    <sheetView zoomScaleNormal="100" workbookViewId="0">
      <selection activeCell="B2" sqref="B2:H2"/>
    </sheetView>
  </sheetViews>
  <sheetFormatPr defaultRowHeight="12" x14ac:dyDescent="0.2"/>
  <cols>
    <col min="1" max="1" width="5.625" style="3" customWidth="1"/>
    <col min="2" max="2" width="26.125" style="3" customWidth="1"/>
    <col min="3" max="3" width="11.625" style="3" customWidth="1"/>
    <col min="4" max="4" width="10.125" style="3" customWidth="1"/>
    <col min="5" max="5" width="7.75" style="3" customWidth="1"/>
    <col min="6" max="8" width="8.625" style="3" customWidth="1"/>
    <col min="9" max="9" width="9" style="3"/>
    <col min="10" max="10" width="9.125" style="3" customWidth="1"/>
    <col min="11" max="16384" width="9" style="3"/>
  </cols>
  <sheetData>
    <row r="2" spans="1:11" x14ac:dyDescent="0.2">
      <c r="B2" s="43" t="s">
        <v>411</v>
      </c>
      <c r="C2" s="43"/>
      <c r="D2" s="43"/>
      <c r="E2" s="43"/>
      <c r="F2" s="43"/>
      <c r="G2" s="43"/>
      <c r="H2" s="43"/>
    </row>
    <row r="3" spans="1:11" x14ac:dyDescent="0.2">
      <c r="B3" s="43" t="s">
        <v>298</v>
      </c>
      <c r="C3" s="43"/>
      <c r="D3" s="43"/>
      <c r="E3" s="43"/>
      <c r="F3" s="43"/>
      <c r="G3" s="43"/>
      <c r="H3" s="43"/>
    </row>
    <row r="4" spans="1:11" x14ac:dyDescent="0.2">
      <c r="B4" s="85"/>
    </row>
    <row r="5" spans="1:11" ht="57" customHeight="1" x14ac:dyDescent="0.2">
      <c r="A5" s="72" t="s">
        <v>223</v>
      </c>
      <c r="B5" s="73"/>
      <c r="C5" s="74" t="s">
        <v>355</v>
      </c>
      <c r="D5" s="47"/>
      <c r="E5" s="74" t="s">
        <v>0</v>
      </c>
      <c r="F5" s="47"/>
      <c r="G5" s="48" t="s">
        <v>106</v>
      </c>
      <c r="H5" s="75"/>
    </row>
    <row r="6" spans="1:11" ht="19.5" customHeight="1" x14ac:dyDescent="0.2">
      <c r="A6" s="76"/>
      <c r="B6" s="77"/>
      <c r="C6" s="78" t="s">
        <v>110</v>
      </c>
      <c r="D6" s="45" t="s">
        <v>356</v>
      </c>
      <c r="E6" s="79" t="s">
        <v>357</v>
      </c>
      <c r="F6" s="79"/>
      <c r="G6" s="79" t="s">
        <v>412</v>
      </c>
      <c r="H6" s="74"/>
    </row>
    <row r="7" spans="1:11" ht="33" customHeight="1" x14ac:dyDescent="0.2">
      <c r="A7" s="80"/>
      <c r="B7" s="81"/>
      <c r="C7" s="82"/>
      <c r="D7" s="50"/>
      <c r="E7" s="83">
        <v>2020</v>
      </c>
      <c r="F7" s="83">
        <v>2021</v>
      </c>
      <c r="G7" s="83">
        <v>2020</v>
      </c>
      <c r="H7" s="52">
        <v>2021</v>
      </c>
    </row>
    <row r="8" spans="1:11" ht="16.5" customHeight="1" x14ac:dyDescent="0.2">
      <c r="A8" s="84"/>
      <c r="B8" s="55" t="s">
        <v>100</v>
      </c>
      <c r="C8" s="19">
        <v>2455618.67545</v>
      </c>
      <c r="D8" s="20">
        <f>IF(1986828.81646="","-",2455618.67545/1986828.81646*100)</f>
        <v>123.59487919171914</v>
      </c>
      <c r="E8" s="20">
        <v>100</v>
      </c>
      <c r="F8" s="20">
        <v>100</v>
      </c>
      <c r="G8" s="20">
        <f>IF(2294320.13289="","-",(1986828.81646-2294320.13289)/2294320.13289*100)</f>
        <v>-13.40228471266885</v>
      </c>
      <c r="H8" s="20">
        <f>IF(1986828.81646="","-",(2455618.67545-1986828.81646)/1986828.81646*100)</f>
        <v>23.594879191719137</v>
      </c>
    </row>
    <row r="9" spans="1:11" x14ac:dyDescent="0.2">
      <c r="A9" s="61" t="s">
        <v>224</v>
      </c>
      <c r="B9" s="62" t="s">
        <v>183</v>
      </c>
      <c r="C9" s="25">
        <f>IF(591817.91886="","-",591817.91886)</f>
        <v>591817.91885999998</v>
      </c>
      <c r="D9" s="86">
        <f>IF(446355.89243="","-",591817.91886/446355.89243*100)</f>
        <v>132.58879940804457</v>
      </c>
      <c r="E9" s="86">
        <f>IF(446355.89243="","-",446355.89243/1986828.81646*100)</f>
        <v>22.465744845863842</v>
      </c>
      <c r="F9" s="86">
        <f>IF(591817.91886="","-",591817.91886/2455618.67545*100)</f>
        <v>24.100562712634829</v>
      </c>
      <c r="G9" s="86">
        <f>IF(2294320.13289="","-",(446355.89243-512271.95447)/2294320.13289*100)</f>
        <v>-2.8730106620722533</v>
      </c>
      <c r="H9" s="86">
        <f>IF(1986828.81646="","-",(591817.91886-446355.89243)/1986828.81646*100)</f>
        <v>7.3213165233416824</v>
      </c>
    </row>
    <row r="10" spans="1:11" ht="13.5" customHeight="1" x14ac:dyDescent="0.2">
      <c r="A10" s="63" t="s">
        <v>225</v>
      </c>
      <c r="B10" s="64" t="s">
        <v>23</v>
      </c>
      <c r="C10" s="28">
        <f>IF(6462.92569="","-",6462.92569)</f>
        <v>6462.92569</v>
      </c>
      <c r="D10" s="36">
        <f>IF(OR(9145.67957="",6462.92569=""),"-",6462.92569/9145.67957*100)</f>
        <v>70.666434796162449</v>
      </c>
      <c r="E10" s="36">
        <f>IF(9145.67957="","-",9145.67957/1986828.81646*100)</f>
        <v>0.46031542799420272</v>
      </c>
      <c r="F10" s="36">
        <f>IF(6462.92569="","-",6462.92569/2455618.67545*100)</f>
        <v>0.26318930355974945</v>
      </c>
      <c r="G10" s="36">
        <f>IF(OR(2294320.13289="",8973.40312="",9145.67957=""),"-",(9145.67957-8973.40312)/2294320.13289*100)</f>
        <v>7.508823530349899E-3</v>
      </c>
      <c r="H10" s="36">
        <f>IF(OR(1986828.81646="",6462.92569="",9145.67957=""),"-",(6462.92569-9145.67957)/1986828.81646*100)</f>
        <v>-0.13502692621400336</v>
      </c>
      <c r="I10" s="61"/>
      <c r="J10" s="62"/>
      <c r="K10" s="25"/>
    </row>
    <row r="11" spans="1:11" x14ac:dyDescent="0.2">
      <c r="A11" s="63" t="s">
        <v>226</v>
      </c>
      <c r="B11" s="64" t="s">
        <v>184</v>
      </c>
      <c r="C11" s="28">
        <f>IF(6395.40602="","-",6395.40602)</f>
        <v>6395.4060200000004</v>
      </c>
      <c r="D11" s="36">
        <f>IF(OR(4520.4124="",6395.40602=""),"-",6395.40602/4520.4124*100)</f>
        <v>141.47837529159949</v>
      </c>
      <c r="E11" s="36">
        <f>IF(4520.4124="","-",4520.4124/1986828.81646*100)</f>
        <v>0.22751896703683672</v>
      </c>
      <c r="F11" s="36">
        <f>IF(6395.40602="","-",6395.40602/2455618.67545*100)</f>
        <v>0.26043970441901049</v>
      </c>
      <c r="G11" s="36">
        <f>IF(OR(2294320.13289="",6496.35073="",4520.4124=""),"-",(4520.4124-6496.35073)/2294320.13289*100)</f>
        <v>-8.6123043670938981E-2</v>
      </c>
      <c r="H11" s="36">
        <f>IF(OR(1986828.81646="",6395.40602="",4520.4124=""),"-",(6395.40602-4520.4124)/1986828.81646*100)</f>
        <v>9.4371171007109705E-2</v>
      </c>
      <c r="I11" s="63"/>
      <c r="J11" s="64"/>
      <c r="K11" s="28"/>
    </row>
    <row r="12" spans="1:11" s="32" customFormat="1" x14ac:dyDescent="0.2">
      <c r="A12" s="63" t="s">
        <v>227</v>
      </c>
      <c r="B12" s="64" t="s">
        <v>185</v>
      </c>
      <c r="C12" s="28">
        <f>IF(10195.65409="","-",10195.65409)</f>
        <v>10195.65409</v>
      </c>
      <c r="D12" s="36">
        <f>IF(OR(9812.39466="",10195.65409=""),"-",10195.65409/9812.39466*100)</f>
        <v>103.90587051662676</v>
      </c>
      <c r="E12" s="36">
        <f>IF(9812.39466="","-",9812.39466/1986828.81646*100)</f>
        <v>0.49387217352137441</v>
      </c>
      <c r="F12" s="36">
        <f>IF(10195.65409="","-",10195.65409/2455618.67545*100)</f>
        <v>0.41519696001381867</v>
      </c>
      <c r="G12" s="36">
        <f>IF(OR(2294320.13289="",13640.13732="",9812.39466=""),"-",(9812.39466-13640.13732)/2294320.13289*100)</f>
        <v>-0.16683559565763176</v>
      </c>
      <c r="H12" s="36">
        <f>IF(OR(1986828.81646="",10195.65409="",9812.39466=""),"-",(10195.65409-9812.39466)/1986828.81646*100)</f>
        <v>1.9290007615395188E-2</v>
      </c>
      <c r="I12" s="63"/>
      <c r="J12" s="64"/>
      <c r="K12" s="28"/>
    </row>
    <row r="13" spans="1:11" s="32" customFormat="1" x14ac:dyDescent="0.2">
      <c r="A13" s="63" t="s">
        <v>228</v>
      </c>
      <c r="B13" s="64" t="s">
        <v>186</v>
      </c>
      <c r="C13" s="28">
        <f>IF(39.54038="","-",39.54038)</f>
        <v>39.540379999999999</v>
      </c>
      <c r="D13" s="36" t="s">
        <v>397</v>
      </c>
      <c r="E13" s="36">
        <f>IF(3.35841="","-",3.35841/1986828.81646*100)</f>
        <v>1.6903368685701836E-4</v>
      </c>
      <c r="F13" s="36">
        <f>IF(39.54038="","-",39.54038/2455618.67545*100)</f>
        <v>1.6102003293631938E-3</v>
      </c>
      <c r="G13" s="36">
        <f>IF(OR(2294320.13289="",21.87227="",3.35841=""),"-",(3.35841-21.87227)/2294320.13289*100)</f>
        <v>-8.0694318698582587E-4</v>
      </c>
      <c r="H13" s="36">
        <f>IF(OR(1986828.81646="",39.54038="",3.35841=""),"-",(39.54038-3.35841)/1986828.81646*100)</f>
        <v>1.8210914649640848E-3</v>
      </c>
      <c r="I13" s="63"/>
      <c r="J13" s="64"/>
      <c r="K13" s="28"/>
    </row>
    <row r="14" spans="1:11" s="32" customFormat="1" ht="15.75" customHeight="1" x14ac:dyDescent="0.2">
      <c r="A14" s="63" t="s">
        <v>229</v>
      </c>
      <c r="B14" s="64" t="s">
        <v>187</v>
      </c>
      <c r="C14" s="28">
        <f>IF(270200.40331="","-",270200.40331)</f>
        <v>270200.40331000002</v>
      </c>
      <c r="D14" s="36" t="s">
        <v>95</v>
      </c>
      <c r="E14" s="36">
        <f>IF(126315.59198="","-",126315.59198/1986828.81646*100)</f>
        <v>6.3576484764832815</v>
      </c>
      <c r="F14" s="36">
        <f>IF(270200.40331="","-",270200.40331/2455618.67545*100)</f>
        <v>11.003353493411796</v>
      </c>
      <c r="G14" s="36">
        <f>IF(OR(2294320.13289="",212666.91617="",126315.59198=""),"-",(126315.59198-212666.91617)/2294320.13289*100)</f>
        <v>-3.7636998844284681</v>
      </c>
      <c r="H14" s="36">
        <f>IF(OR(1986828.81646="",270200.40331="",126315.59198=""),"-",(270200.40331-126315.59198)/1986828.81646*100)</f>
        <v>7.2419329807368342</v>
      </c>
      <c r="I14" s="63"/>
      <c r="J14" s="64"/>
      <c r="K14" s="28"/>
    </row>
    <row r="15" spans="1:11" s="32" customFormat="1" ht="15.75" customHeight="1" x14ac:dyDescent="0.2">
      <c r="A15" s="63" t="s">
        <v>230</v>
      </c>
      <c r="B15" s="64" t="s">
        <v>188</v>
      </c>
      <c r="C15" s="28">
        <f>IF(244066.24774="","-",244066.24774)</f>
        <v>244066.24773999999</v>
      </c>
      <c r="D15" s="36">
        <f>IF(OR(249789.2013="",244066.24774=""),"-",244066.24774/249789.2013*100)</f>
        <v>97.708886721197103</v>
      </c>
      <c r="E15" s="36">
        <f>IF(249789.2013="","-",249789.2013/1986828.81646*100)</f>
        <v>12.572255809388643</v>
      </c>
      <c r="F15" s="36">
        <f>IF(244066.24774="","-",244066.24774/2455618.67545*100)</f>
        <v>9.939093971716682</v>
      </c>
      <c r="G15" s="36">
        <f>IF(OR(2294320.13289="",225075.63113="",249789.2013=""),"-",(249789.2013-225075.63113)/2294320.13289*100)</f>
        <v>1.0771631131907462</v>
      </c>
      <c r="H15" s="36">
        <f>IF(OR(1986828.81646="",244066.24774="",249789.2013=""),"-",(244066.24774-249789.2013)/1986828.81646*100)</f>
        <v>-0.28804462229397165</v>
      </c>
      <c r="I15" s="63"/>
      <c r="J15" s="64"/>
      <c r="K15" s="28"/>
    </row>
    <row r="16" spans="1:11" s="32" customFormat="1" ht="24" x14ac:dyDescent="0.2">
      <c r="A16" s="63" t="s">
        <v>231</v>
      </c>
      <c r="B16" s="64" t="s">
        <v>146</v>
      </c>
      <c r="C16" s="28">
        <f>IF(22548.61673="","-",22548.61673)</f>
        <v>22548.616730000002</v>
      </c>
      <c r="D16" s="36">
        <f>IF(OR(15371.20901="",22548.61673=""),"-",22548.61673/15371.20901*100)</f>
        <v>146.69383986211247</v>
      </c>
      <c r="E16" s="36">
        <f>IF(15371.20901="","-",15371.20901/1986828.81646*100)</f>
        <v>0.77365542932819964</v>
      </c>
      <c r="F16" s="36">
        <f>IF(22548.61673="","-",22548.61673/2455618.67545*100)</f>
        <v>0.91824585614327503</v>
      </c>
      <c r="G16" s="36">
        <f>IF(OR(2294320.13289="",16502.87049="",15371.20901=""),"-",(15371.20901-16502.87049)/2294320.13289*100)</f>
        <v>-4.9324480214298742E-2</v>
      </c>
      <c r="H16" s="36">
        <f>IF(OR(1986828.81646="",22548.61673="",15371.20901=""),"-",(22548.61673-15371.20901)/1986828.81646*100)</f>
        <v>0.36124942725504811</v>
      </c>
      <c r="I16" s="63"/>
      <c r="J16" s="64"/>
      <c r="K16" s="28"/>
    </row>
    <row r="17" spans="1:11" s="32" customFormat="1" ht="24" x14ac:dyDescent="0.2">
      <c r="A17" s="63" t="s">
        <v>232</v>
      </c>
      <c r="B17" s="64" t="s">
        <v>189</v>
      </c>
      <c r="C17" s="28">
        <f>IF(8711.76008="","-",8711.76008)</f>
        <v>8711.76008</v>
      </c>
      <c r="D17" s="36">
        <f>IF(OR(6418.49457="",8711.76008=""),"-",8711.76008/6418.49457*100)</f>
        <v>135.72902469558372</v>
      </c>
      <c r="E17" s="36">
        <f>IF(6418.49457="","-",6418.49457/1986828.81646*100)</f>
        <v>0.32305221853164223</v>
      </c>
      <c r="F17" s="36">
        <f>IF(8711.76008="","-",8711.76008/2455618.67545*100)</f>
        <v>0.35476844051951761</v>
      </c>
      <c r="G17" s="36">
        <f>IF(OR(2294320.13289="",8198.41356="",6418.49457=""),"-",(6418.49457-8198.41356)/2294320.13289*100)</f>
        <v>-7.7579364992886035E-2</v>
      </c>
      <c r="H17" s="36">
        <f>IF(OR(1986828.81646="",8711.76008="",6418.49457=""),"-",(8711.76008-6418.49457)/1986828.81646*100)</f>
        <v>0.11542340693880154</v>
      </c>
      <c r="I17" s="63"/>
      <c r="J17" s="64"/>
      <c r="K17" s="28"/>
    </row>
    <row r="18" spans="1:11" s="32" customFormat="1" ht="24" x14ac:dyDescent="0.2">
      <c r="A18" s="63" t="s">
        <v>233</v>
      </c>
      <c r="B18" s="64" t="s">
        <v>147</v>
      </c>
      <c r="C18" s="28">
        <f>IF(18610.54617="","-",18610.54617)</f>
        <v>18610.546170000001</v>
      </c>
      <c r="D18" s="36">
        <f>IF(OR(21883.04223="",18610.54617=""),"-",18610.54617/21883.04223*100)</f>
        <v>85.045515949726351</v>
      </c>
      <c r="E18" s="36">
        <f>IF(21883.04223="","-",21883.04223/1986828.81646*100)</f>
        <v>1.1014055186188487</v>
      </c>
      <c r="F18" s="36">
        <f>IF(18610.54617="","-",18610.54617/2455618.67545*100)</f>
        <v>0.75787606423010934</v>
      </c>
      <c r="G18" s="36">
        <f>IF(OR(2294320.13289="",18336.04362="",21883.04223=""),"-",(21883.04223-18336.04362)/2294320.13289*100)</f>
        <v>0.15459911453298736</v>
      </c>
      <c r="H18" s="36">
        <f>IF(OR(1986828.81646="",18610.54617="",21883.04223=""),"-",(18610.54617-21883.04223)/1986828.81646*100)</f>
        <v>-0.16470951261068956</v>
      </c>
      <c r="I18" s="63"/>
      <c r="J18" s="64"/>
      <c r="K18" s="28"/>
    </row>
    <row r="19" spans="1:11" s="32" customFormat="1" ht="24" x14ac:dyDescent="0.2">
      <c r="A19" s="63" t="s">
        <v>234</v>
      </c>
      <c r="B19" s="64" t="s">
        <v>190</v>
      </c>
      <c r="C19" s="28">
        <f>IF(4586.81865="","-",4586.81865)</f>
        <v>4586.8186500000002</v>
      </c>
      <c r="D19" s="36">
        <f>IF(OR(3096.5083="",4586.81865=""),"-",4586.81865/3096.5083*100)</f>
        <v>148.12873745566904</v>
      </c>
      <c r="E19" s="36">
        <f>IF(3096.5083="","-",3096.5083/1986828.81646*100)</f>
        <v>0.15585179127395352</v>
      </c>
      <c r="F19" s="36">
        <f>IF(4586.81865="","-",4586.81865/2455618.67545*100)</f>
        <v>0.18678871829150961</v>
      </c>
      <c r="G19" s="36">
        <f>IF(OR(2294320.13289="",2360.31606="",3096.5083=""),"-",(3096.5083-2360.31606)/2294320.13289*100)</f>
        <v>3.2087598824871409E-2</v>
      </c>
      <c r="H19" s="36">
        <f>IF(OR(1986828.81646="",4586.81865="",3096.5083=""),"-",(4586.81865-3096.5083)/1986828.81646*100)</f>
        <v>7.5009499442198369E-2</v>
      </c>
      <c r="I19" s="63"/>
      <c r="J19" s="64"/>
      <c r="K19" s="28"/>
    </row>
    <row r="20" spans="1:11" s="32" customFormat="1" x14ac:dyDescent="0.2">
      <c r="A20" s="61" t="s">
        <v>235</v>
      </c>
      <c r="B20" s="62" t="s">
        <v>191</v>
      </c>
      <c r="C20" s="25">
        <f>IF(167538.07043="","-",167538.07043)</f>
        <v>167538.07042999999</v>
      </c>
      <c r="D20" s="86">
        <f>IF(150241.42958="","-",167538.07043/150241.42958*100)</f>
        <v>111.51256407660175</v>
      </c>
      <c r="E20" s="86">
        <f>IF(150241.42958="","-",150241.42958/1986828.81646*100)</f>
        <v>7.561870873590923</v>
      </c>
      <c r="F20" s="86">
        <f>IF(167538.07043="","-",167538.07043/2455618.67545*100)</f>
        <v>6.8226419722637957</v>
      </c>
      <c r="G20" s="86">
        <f>IF(2294320.13289="","-",(150241.42958-179195.20932)/2294320.13289*100)</f>
        <v>-1.261976448924278</v>
      </c>
      <c r="H20" s="86">
        <f>IF(1986828.81646="","-",(167538.07043-150241.42958)/1986828.81646*100)</f>
        <v>0.87056522971203953</v>
      </c>
      <c r="I20" s="63"/>
      <c r="J20" s="64"/>
      <c r="K20" s="28"/>
    </row>
    <row r="21" spans="1:11" s="32" customFormat="1" x14ac:dyDescent="0.2">
      <c r="A21" s="63" t="s">
        <v>236</v>
      </c>
      <c r="B21" s="64" t="s">
        <v>192</v>
      </c>
      <c r="C21" s="28">
        <f>IF(157026.99662="","-",157026.99662)</f>
        <v>157026.99661999999</v>
      </c>
      <c r="D21" s="36">
        <f>IF(OR(143093.57721="",157026.99662=""),"-",157026.99662/143093.57721*100)</f>
        <v>109.73727799784592</v>
      </c>
      <c r="E21" s="36">
        <f>IF(143093.57721="","-",143093.57721/1986828.81646*100)</f>
        <v>7.2021090103250387</v>
      </c>
      <c r="F21" s="36">
        <f>IF(157026.99662="","-",157026.99662/2455618.67545*100)</f>
        <v>6.3946001954568246</v>
      </c>
      <c r="G21" s="36">
        <f>IF(OR(2294320.13289="",159367.17192="",143093.57721=""),"-",(143093.57721-159367.17192)/2294320.13289*100)</f>
        <v>-0.70929921577688715</v>
      </c>
      <c r="H21" s="36">
        <f>IF(OR(1986828.81646="",157026.99662="",143093.57721=""),"-",(157026.99662-143093.57721)/1986828.81646*100)</f>
        <v>0.70128937604325914</v>
      </c>
      <c r="I21" s="61"/>
      <c r="J21" s="62"/>
      <c r="K21" s="25"/>
    </row>
    <row r="22" spans="1:11" s="32" customFormat="1" x14ac:dyDescent="0.2">
      <c r="A22" s="63" t="s">
        <v>237</v>
      </c>
      <c r="B22" s="64" t="s">
        <v>193</v>
      </c>
      <c r="C22" s="28">
        <f>IF(10511.07381="","-",10511.07381)</f>
        <v>10511.07381</v>
      </c>
      <c r="D22" s="36">
        <f>IF(OR(7147.85237="",10511.07381=""),"-",10511.07381/7147.85237*100)</f>
        <v>147.05219506373211</v>
      </c>
      <c r="E22" s="36">
        <f>IF(7147.85237="","-",7147.85237/1986828.81646*100)</f>
        <v>0.35976186326588366</v>
      </c>
      <c r="F22" s="36">
        <f>IF(10511.07381="","-",10511.07381/2455618.67545*100)</f>
        <v>0.42804177680697153</v>
      </c>
      <c r="G22" s="36">
        <f>IF(OR(2294320.13289="",19828.0374="",7147.85237=""),"-",(7147.85237-19828.0374)/2294320.13289*100)</f>
        <v>-0.55267723314739114</v>
      </c>
      <c r="H22" s="36">
        <f>IF(OR(1986828.81646="",10511.07381="",7147.85237=""),"-",(10511.07381-7147.85237)/1986828.81646*100)</f>
        <v>0.16927585366878087</v>
      </c>
      <c r="I22" s="63"/>
      <c r="J22" s="64"/>
      <c r="K22" s="28"/>
    </row>
    <row r="23" spans="1:11" s="32" customFormat="1" ht="24" x14ac:dyDescent="0.2">
      <c r="A23" s="61" t="s">
        <v>238</v>
      </c>
      <c r="B23" s="62" t="s">
        <v>24</v>
      </c>
      <c r="C23" s="25">
        <f>IF(270779.30444="","-",270779.30444)</f>
        <v>270779.30443999998</v>
      </c>
      <c r="D23" s="86">
        <f>IF(190018.7233="","-",270779.30444/190018.7233*100)</f>
        <v>142.50138077840666</v>
      </c>
      <c r="E23" s="86">
        <f>IF(190018.7233="","-",190018.7233/1986828.81646*100)</f>
        <v>9.5639202394176461</v>
      </c>
      <c r="F23" s="86">
        <f>IF(270779.30444="","-",270779.30444/2455618.67545*100)</f>
        <v>11.026928046569722</v>
      </c>
      <c r="G23" s="86">
        <f>IF(2294320.13289="","-",(190018.7233-242299.19632)/2294320.13289*100)</f>
        <v>-2.2786912894385751</v>
      </c>
      <c r="H23" s="86">
        <f>IF(1986828.81646="","-",(270779.30444-190018.7233)/1986828.81646*100)</f>
        <v>4.0647981582979966</v>
      </c>
      <c r="I23" s="63"/>
      <c r="J23" s="64"/>
      <c r="K23" s="28"/>
    </row>
    <row r="24" spans="1:11" s="32" customFormat="1" ht="15" customHeight="1" x14ac:dyDescent="0.2">
      <c r="A24" s="63" t="s">
        <v>239</v>
      </c>
      <c r="B24" s="64" t="s">
        <v>200</v>
      </c>
      <c r="C24" s="28">
        <f>IF(996.82803="","-",996.82803)</f>
        <v>996.82803000000001</v>
      </c>
      <c r="D24" s="36">
        <f>IF(OR(1027.27684="",996.82803=""),"-",996.82803/1027.27684*100)</f>
        <v>97.035968415291052</v>
      </c>
      <c r="E24" s="36">
        <f>IF(1027.27684="","-",1027.27684/1986828.81646*100)</f>
        <v>5.1704345713604757E-2</v>
      </c>
      <c r="F24" s="36">
        <f>IF(996.82803="","-",996.82803/2455618.67545*100)</f>
        <v>4.0593763191564262E-2</v>
      </c>
      <c r="G24" s="36">
        <f>IF(OR(2294320.13289="",1315.67343="",1027.27684=""),"-",(1027.27684-1315.67343)/2294320.13289*100)</f>
        <v>-1.2570023941546743E-2</v>
      </c>
      <c r="H24" s="36">
        <f>IF(OR(1986828.81646="",996.82803="",1027.27684=""),"-",(996.82803-1027.27684)/1986828.81646*100)</f>
        <v>-1.5325331376183509E-3</v>
      </c>
      <c r="I24" s="61"/>
      <c r="J24" s="62"/>
      <c r="K24" s="25"/>
    </row>
    <row r="25" spans="1:11" s="32" customFormat="1" ht="15" customHeight="1" x14ac:dyDescent="0.2">
      <c r="A25" s="63" t="s">
        <v>240</v>
      </c>
      <c r="B25" s="64" t="s">
        <v>194</v>
      </c>
      <c r="C25" s="28">
        <f>IF(182131.55388="","-",182131.55388)</f>
        <v>182131.55387999999</v>
      </c>
      <c r="D25" s="36">
        <f>IF(OR(155918.98373="",182131.55388=""),"-",182131.55388/155918.98373*100)</f>
        <v>116.81166046810019</v>
      </c>
      <c r="E25" s="36">
        <f>IF(155918.98373="","-",155918.98373/1986828.81646*100)</f>
        <v>7.8476304771845484</v>
      </c>
      <c r="F25" s="36">
        <f>IF(182131.55388="","-",182131.55388/2455618.67545*100)</f>
        <v>7.4169314519740652</v>
      </c>
      <c r="G25" s="36">
        <f>IF(OR(2294320.13289="",212568.80829="",155918.98373=""),"-",(155918.98373-212568.80829)/2294320.13289*100)</f>
        <v>-2.4691333937187756</v>
      </c>
      <c r="H25" s="36">
        <f>IF(OR(1986828.81646="",182131.55388="",155918.98373=""),"-",(182131.55388-155918.98373)/1986828.81646*100)</f>
        <v>1.3193169906154174</v>
      </c>
      <c r="I25" s="63"/>
      <c r="J25" s="64"/>
      <c r="K25" s="28"/>
    </row>
    <row r="26" spans="1:11" s="32" customFormat="1" ht="24" x14ac:dyDescent="0.2">
      <c r="A26" s="63" t="s">
        <v>294</v>
      </c>
      <c r="B26" s="64" t="s">
        <v>195</v>
      </c>
      <c r="C26" s="28">
        <f>IF(0.73095="","-",0.73095)</f>
        <v>0.73094999999999999</v>
      </c>
      <c r="D26" s="36" t="s">
        <v>334</v>
      </c>
      <c r="E26" s="36">
        <f>IF(0.14712="","-",0.14712/1986828.81646*100)</f>
        <v>7.4047647578480703E-6</v>
      </c>
      <c r="F26" s="36">
        <f>IF(0.73095="","-",0.73095/2455618.67545*100)</f>
        <v>2.9766429426020353E-5</v>
      </c>
      <c r="G26" s="36">
        <f>IF(OR(2294320.13289="",0.74013="",0.14712=""),"-",(0.14712-0.74013)/2294320.13289*100)</f>
        <v>-2.5846872522232778E-5</v>
      </c>
      <c r="H26" s="36">
        <f>IF(OR(1986828.81646="",0.73095="",0.14712=""),"-",(0.73095-0.14712)/1986828.81646*100)</f>
        <v>2.9385017730930118E-5</v>
      </c>
      <c r="I26" s="63"/>
      <c r="J26" s="64"/>
      <c r="K26" s="28"/>
    </row>
    <row r="27" spans="1:11" s="32" customFormat="1" x14ac:dyDescent="0.2">
      <c r="A27" s="63" t="s">
        <v>241</v>
      </c>
      <c r="B27" s="64" t="s">
        <v>196</v>
      </c>
      <c r="C27" s="28">
        <f>IF(2049.25406="","-",2049.25406)</f>
        <v>2049.2540600000002</v>
      </c>
      <c r="D27" s="36" t="s">
        <v>218</v>
      </c>
      <c r="E27" s="36">
        <f>IF(1349.14609="","-",1349.14609/1986828.81646*100)</f>
        <v>6.7904495788611477E-2</v>
      </c>
      <c r="F27" s="36">
        <f>IF(2049.25406="","-",2049.25406/2455618.67545*100)</f>
        <v>8.3451640129934584E-2</v>
      </c>
      <c r="G27" s="36">
        <f>IF(OR(2294320.13289="",850.80188="",1349.14609=""),"-",(1349.14609-850.80188)/2294320.13289*100)</f>
        <v>2.1720779191013305E-2</v>
      </c>
      <c r="H27" s="36">
        <f>IF(OR(1986828.81646="",2049.25406="",1349.14609=""),"-",(2049.25406-1349.14609)/1986828.81646*100)</f>
        <v>3.5237458013489369E-2</v>
      </c>
      <c r="I27" s="63"/>
      <c r="J27" s="64"/>
      <c r="K27" s="28"/>
    </row>
    <row r="28" spans="1:11" s="32" customFormat="1" ht="14.25" customHeight="1" x14ac:dyDescent="0.2">
      <c r="A28" s="63" t="s">
        <v>242</v>
      </c>
      <c r="B28" s="64" t="s">
        <v>148</v>
      </c>
      <c r="C28" s="28">
        <f>IF(4188.44089="","-",4188.44089)</f>
        <v>4188.4408899999999</v>
      </c>
      <c r="D28" s="36" t="s">
        <v>293</v>
      </c>
      <c r="E28" s="36">
        <f>IF(1620.65632="","-",1620.65632/1986828.81646*100)</f>
        <v>8.1570002738714967E-2</v>
      </c>
      <c r="F28" s="36">
        <f>IF(4188.44089="","-",4188.44089/2455618.67545*100)</f>
        <v>0.17056560661774794</v>
      </c>
      <c r="G28" s="36">
        <f>IF(OR(2294320.13289="",2254.7781="",1620.65632=""),"-",(1620.65632-2254.7781)/2294320.13289*100)</f>
        <v>-2.7638766312931211E-2</v>
      </c>
      <c r="H28" s="36">
        <f>IF(OR(1986828.81646="",4188.44089="",1620.65632=""),"-",(4188.44089-1620.65632)/1986828.81646*100)</f>
        <v>0.12924035270311351</v>
      </c>
      <c r="I28" s="63"/>
      <c r="J28" s="64"/>
      <c r="K28" s="28"/>
    </row>
    <row r="29" spans="1:11" s="32" customFormat="1" ht="36" x14ac:dyDescent="0.2">
      <c r="A29" s="63" t="s">
        <v>243</v>
      </c>
      <c r="B29" s="64" t="s">
        <v>149</v>
      </c>
      <c r="C29" s="28">
        <f>IF(229.67679="","-",229.67679)</f>
        <v>229.67679000000001</v>
      </c>
      <c r="D29" s="36">
        <f>IF(OR(161.39722="",229.67679=""),"-",229.67679/161.39722*100)</f>
        <v>142.30529497348218</v>
      </c>
      <c r="E29" s="36">
        <f>IF(161.39722="","-",161.39722/1986828.81646*100)</f>
        <v>8.1233581203823541E-3</v>
      </c>
      <c r="F29" s="36">
        <f>IF(229.67679="","-",229.67679/2455618.67545*100)</f>
        <v>9.3531130177575712E-3</v>
      </c>
      <c r="G29" s="36">
        <f>IF(OR(2294320.13289="",319.53469="",161.39722=""),"-",(161.39722-319.53469)/2294320.13289*100)</f>
        <v>-6.8925634105300258E-3</v>
      </c>
      <c r="H29" s="36">
        <f>IF(OR(1986828.81646="",229.67679="",161.39722=""),"-",(229.67679-161.39722)/1986828.81646*100)</f>
        <v>3.4366106145800736E-3</v>
      </c>
      <c r="I29" s="63"/>
      <c r="J29" s="64"/>
      <c r="K29" s="28"/>
    </row>
    <row r="30" spans="1:11" s="32" customFormat="1" ht="36" x14ac:dyDescent="0.2">
      <c r="A30" s="63" t="s">
        <v>244</v>
      </c>
      <c r="B30" s="64" t="s">
        <v>150</v>
      </c>
      <c r="C30" s="28">
        <f>IF(6775.91919="","-",6775.91919)</f>
        <v>6775.9191899999996</v>
      </c>
      <c r="D30" s="36">
        <f>IF(OR(7288.84165="",6775.91919=""),"-",6775.91919/7288.84165*100)</f>
        <v>92.962908447873872</v>
      </c>
      <c r="E30" s="36">
        <f>IF(7288.84165="","-",7288.84165/1986828.81646*100)</f>
        <v>0.36685805992016846</v>
      </c>
      <c r="F30" s="36">
        <f>IF(6775.91919="","-",6775.91919/2455618.67545*100)</f>
        <v>0.27593531755325534</v>
      </c>
      <c r="G30" s="36">
        <f>IF(OR(2294320.13289="",8131.98939="",7288.84165=""),"-",(7288.84165-8131.98939)/2294320.13289*100)</f>
        <v>-3.6749350184969311E-2</v>
      </c>
      <c r="H30" s="36">
        <f>IF(OR(1986828.81646="",6775.91919="",7288.84165=""),"-",(6775.91919-7288.84165)/1986828.81646*100)</f>
        <v>-2.5816137542935984E-2</v>
      </c>
      <c r="I30" s="63"/>
      <c r="J30" s="64"/>
      <c r="K30" s="28"/>
    </row>
    <row r="31" spans="1:11" s="32" customFormat="1" ht="24" x14ac:dyDescent="0.2">
      <c r="A31" s="63" t="s">
        <v>245</v>
      </c>
      <c r="B31" s="64" t="s">
        <v>151</v>
      </c>
      <c r="C31" s="28">
        <f>IF(71314.40198="","-",71314.40198)</f>
        <v>71314.401979999995</v>
      </c>
      <c r="D31" s="36" t="s">
        <v>351</v>
      </c>
      <c r="E31" s="36">
        <f>IF(19451.79416="","-",19451.79416/1986828.81646*100)</f>
        <v>0.97903724764058542</v>
      </c>
      <c r="F31" s="36">
        <f>IF(71314.40198="","-",71314.40198/2455618.67545*100)</f>
        <v>2.9041317649586373</v>
      </c>
      <c r="G31" s="36">
        <f>IF(OR(2294320.13289="",13949.70818="",19451.79416=""),"-",(19451.79416-13949.70818)/2294320.13289*100)</f>
        <v>0.23981335041807772</v>
      </c>
      <c r="H31" s="36">
        <f>IF(OR(1986828.81646="",71314.40198="",19451.79416=""),"-",(71314.40198-19451.79416)/1986828.81646*100)</f>
        <v>2.610320898828383</v>
      </c>
      <c r="I31" s="63"/>
      <c r="J31" s="64"/>
      <c r="K31" s="28"/>
    </row>
    <row r="32" spans="1:11" s="32" customFormat="1" ht="24" x14ac:dyDescent="0.2">
      <c r="A32" s="63" t="s">
        <v>246</v>
      </c>
      <c r="B32" s="64" t="s">
        <v>152</v>
      </c>
      <c r="C32" s="28">
        <f>IF(3092.49867="","-",3092.49867)</f>
        <v>3092.4986699999999</v>
      </c>
      <c r="D32" s="36">
        <f>IF(OR(3200.48017="",3092.49867=""),"-",3092.49867/3200.48017*100)</f>
        <v>96.626084391580534</v>
      </c>
      <c r="E32" s="36">
        <f>IF(3200.48017="","-",3200.48017/1986828.81646*100)</f>
        <v>0.16108484754627242</v>
      </c>
      <c r="F32" s="36">
        <f>IF(3092.49867="","-",3092.49867/2455618.67545*100)</f>
        <v>0.12593562269733471</v>
      </c>
      <c r="G32" s="36">
        <f>IF(OR(2294320.13289="",2907.16223="",3200.48017=""),"-",(3200.48017-2907.16223)/2294320.13289*100)</f>
        <v>1.2784525393608743E-2</v>
      </c>
      <c r="H32" s="36">
        <f>IF(OR(1986828.81646="",3092.49867="",3200.48017=""),"-",(3092.49867-3200.48017)/1986828.81646*100)</f>
        <v>-5.4348668141623877E-3</v>
      </c>
      <c r="I32" s="63"/>
      <c r="J32" s="64"/>
      <c r="K32" s="28"/>
    </row>
    <row r="33" spans="1:11" s="32" customFormat="1" ht="24" x14ac:dyDescent="0.2">
      <c r="A33" s="61" t="s">
        <v>247</v>
      </c>
      <c r="B33" s="62" t="s">
        <v>153</v>
      </c>
      <c r="C33" s="25">
        <f>IF(14754.76676="","-",14754.76676)</f>
        <v>14754.76676</v>
      </c>
      <c r="D33" s="86">
        <f>IF(9924.91982="","-",14754.76676/9924.91982*100)</f>
        <v>148.6638383744646</v>
      </c>
      <c r="E33" s="86">
        <f>IF(9924.91982="","-",9924.91982/1986828.81646*100)</f>
        <v>0.49953572938828039</v>
      </c>
      <c r="F33" s="86">
        <f>IF(14754.76676="","-",14754.76676/2455618.67545*100)</f>
        <v>0.60085740947935007</v>
      </c>
      <c r="G33" s="86">
        <f>IF(2294320.13289="","-",(9924.91982-8978.7586)/2294320.13289*100)</f>
        <v>4.1239285069088617E-2</v>
      </c>
      <c r="H33" s="86">
        <f>IF(1986828.81646="","-",(14754.76676-9924.91982)/1986828.81646*100)</f>
        <v>0.24309325997221559</v>
      </c>
      <c r="I33" s="63"/>
      <c r="J33" s="64"/>
      <c r="K33" s="28"/>
    </row>
    <row r="34" spans="1:11" s="32" customFormat="1" x14ac:dyDescent="0.2">
      <c r="A34" s="63" t="s">
        <v>248</v>
      </c>
      <c r="B34" s="64" t="s">
        <v>197</v>
      </c>
      <c r="C34" s="28">
        <f>IF(379.90658="","-",379.90658)</f>
        <v>379.90658000000002</v>
      </c>
      <c r="D34" s="36" t="s">
        <v>398</v>
      </c>
      <c r="E34" s="36">
        <f>IF(62.13941="","-",62.13941/1986828.81646*100)</f>
        <v>3.1275673820110928E-3</v>
      </c>
      <c r="F34" s="36">
        <f>IF(379.90658="","-",379.90658/2455618.67545*100)</f>
        <v>1.5470911009030379E-2</v>
      </c>
      <c r="G34" s="36">
        <f>IF(OR(2294320.13289="",3.98403="",62.13941=""),"-",(62.13941-3.98403)/2294320.13289*100)</f>
        <v>2.5347543774000537E-3</v>
      </c>
      <c r="H34" s="36">
        <f>IF(OR(1986828.81646="",379.90658="",62.13941=""),"-",(379.90658-62.13941)/1986828.81646*100)</f>
        <v>1.5993686389458382E-2</v>
      </c>
      <c r="I34" s="61"/>
      <c r="J34" s="62"/>
      <c r="K34" s="25"/>
    </row>
    <row r="35" spans="1:11" s="32" customFormat="1" ht="24" x14ac:dyDescent="0.2">
      <c r="A35" s="63" t="s">
        <v>249</v>
      </c>
      <c r="B35" s="64" t="s">
        <v>154</v>
      </c>
      <c r="C35" s="28">
        <f>IF(14369.78856="","-",14369.78856)</f>
        <v>14369.788560000001</v>
      </c>
      <c r="D35" s="36" t="s">
        <v>218</v>
      </c>
      <c r="E35" s="36">
        <f>IF(9331.30706="","-",9331.30706/1986828.81646*100)</f>
        <v>0.46965833103960636</v>
      </c>
      <c r="F35" s="36">
        <f>IF(14369.78856="","-",14369.78856/2455618.67545*100)</f>
        <v>0.58517996721810617</v>
      </c>
      <c r="G35" s="36">
        <f>IF(OR(2294320.13289="",8942.0939="",9331.30706=""),"-",(9331.30706-8942.0939)/2294320.13289*100)</f>
        <v>1.6964204533642557E-2</v>
      </c>
      <c r="H35" s="36">
        <f>IF(OR(1986828.81646="",14369.78856="",9331.30706=""),"-",(14369.78856-9331.30706)/1986828.81646*100)</f>
        <v>0.25359414249775353</v>
      </c>
      <c r="I35" s="63"/>
      <c r="J35" s="64"/>
      <c r="K35" s="28"/>
    </row>
    <row r="36" spans="1:11" s="32" customFormat="1" x14ac:dyDescent="0.2">
      <c r="A36" s="63" t="s">
        <v>305</v>
      </c>
      <c r="B36" s="64" t="s">
        <v>306</v>
      </c>
      <c r="C36" s="28">
        <f>IF(5.07162="","-",5.07162)</f>
        <v>5.0716200000000002</v>
      </c>
      <c r="D36" s="36">
        <f>IF(OR(6.09571="",5.07162=""),"-",5.07162/6.09571*100)</f>
        <v>83.199824138615526</v>
      </c>
      <c r="E36" s="36">
        <f>IF(6.09571="","-",6.09571/1986828.81646*100)</f>
        <v>3.0680599906241206E-4</v>
      </c>
      <c r="F36" s="36">
        <f>IF(5.07162="","-",5.07162/2455618.67545*100)</f>
        <v>2.0653125221368541E-4</v>
      </c>
      <c r="G36" s="36">
        <f>IF(OR(2294320.13289="",6.56943="",6.09571=""),"-",(6.09571-6.56943)/2294320.13289*100)</f>
        <v>-2.0647510920949212E-5</v>
      </c>
      <c r="H36" s="36">
        <f>IF(OR(1986828.81646="",5.07162="",6.09571=""),"-",(5.07162-6.09571)/1986828.81646*100)</f>
        <v>-5.1543947395762858E-5</v>
      </c>
      <c r="I36" s="63"/>
      <c r="J36" s="64"/>
      <c r="K36" s="28"/>
    </row>
    <row r="37" spans="1:11" s="32" customFormat="1" ht="24" x14ac:dyDescent="0.2">
      <c r="A37" s="61" t="s">
        <v>250</v>
      </c>
      <c r="B37" s="62" t="s">
        <v>155</v>
      </c>
      <c r="C37" s="25">
        <f>IF(73961.07164="","-",73961.07164)</f>
        <v>73961.071639999995</v>
      </c>
      <c r="D37" s="86">
        <f>IF(80047.72032="","-",73961.07164/80047.72032*100)</f>
        <v>92.396224832302636</v>
      </c>
      <c r="E37" s="86">
        <f>IF(80047.72032="","-",80047.72032/1986828.81646*100)</f>
        <v>4.0289188306934127</v>
      </c>
      <c r="F37" s="86">
        <f>IF(73961.07164="","-",73961.07164/2455618.67545*100)</f>
        <v>3.0119119218070938</v>
      </c>
      <c r="G37" s="86">
        <f>IF(2294320.13289="","-",(80047.72032-48237.18862)/2294320.13289*100)</f>
        <v>1.3864905443657689</v>
      </c>
      <c r="H37" s="86">
        <f>IF(1986828.81646="","-",(73961.07164-80047.72032)/1986828.81646*100)</f>
        <v>-0.30634992957494883</v>
      </c>
      <c r="I37" s="63"/>
      <c r="J37" s="64"/>
      <c r="K37" s="28"/>
    </row>
    <row r="38" spans="1:11" s="32" customFormat="1" ht="24" x14ac:dyDescent="0.2">
      <c r="A38" s="63" t="s">
        <v>251</v>
      </c>
      <c r="B38" s="64" t="s">
        <v>201</v>
      </c>
      <c r="C38" s="28">
        <f>IF(10.03732="","-",10.03732)</f>
        <v>10.037319999999999</v>
      </c>
      <c r="D38" s="36" t="s">
        <v>217</v>
      </c>
      <c r="E38" s="36">
        <f>IF(4.31983="","-",4.31983/1986828.81646*100)</f>
        <v>2.174233615001008E-4</v>
      </c>
      <c r="F38" s="36">
        <f>IF(10.03732="","-",10.03732/2455618.67545*100)</f>
        <v>4.0874913113945224E-4</v>
      </c>
      <c r="G38" s="36" t="str">
        <f>IF(OR(2294320.13289="",""="",4.31983=""),"-",(4.31983-"")/2294320.13289*100)</f>
        <v>-</v>
      </c>
      <c r="H38" s="36">
        <f>IF(OR(1986828.81646="",10.03732="",4.31983=""),"-",(10.03732-4.31983)/1986828.81646*100)</f>
        <v>2.8776963332890674E-4</v>
      </c>
      <c r="I38" s="61"/>
      <c r="J38" s="62"/>
      <c r="K38" s="25"/>
    </row>
    <row r="39" spans="1:11" s="32" customFormat="1" ht="24" x14ac:dyDescent="0.2">
      <c r="A39" s="63" t="s">
        <v>252</v>
      </c>
      <c r="B39" s="64" t="s">
        <v>156</v>
      </c>
      <c r="C39" s="28">
        <f>IF(73947.47199="","-",73947.47199)</f>
        <v>73947.471990000005</v>
      </c>
      <c r="D39" s="36">
        <f>IF(OR(80011.7092="",73947.47199=""),"-",73947.47199/80011.7092*100)</f>
        <v>92.42081281523231</v>
      </c>
      <c r="E39" s="36">
        <f>IF(80011.7092="","-",80011.7092/1986828.81646*100)</f>
        <v>4.027106338358811</v>
      </c>
      <c r="F39" s="36">
        <f>IF(73947.47199="","-",73947.47199/2455618.67545*100)</f>
        <v>3.0113581041424884</v>
      </c>
      <c r="G39" s="36">
        <f>IF(OR(2294320.13289="",48210.7894="",80011.7092=""),"-",(80011.7092-48210.7894)/2294320.13289*100)</f>
        <v>1.3860716010865723</v>
      </c>
      <c r="H39" s="36">
        <f>IF(OR(1986828.81646="",73947.47199="",80011.7092=""),"-",(73947.47199-80011.7092)/1986828.81646*100)</f>
        <v>-0.30522192751385846</v>
      </c>
      <c r="I39" s="63"/>
      <c r="J39" s="64"/>
      <c r="K39" s="28"/>
    </row>
    <row r="40" spans="1:11" s="32" customFormat="1" ht="72" x14ac:dyDescent="0.2">
      <c r="A40" s="63" t="s">
        <v>253</v>
      </c>
      <c r="B40" s="64" t="s">
        <v>199</v>
      </c>
      <c r="C40" s="28">
        <f>IF(3.56233="","-",3.56233)</f>
        <v>3.5623300000000002</v>
      </c>
      <c r="D40" s="36">
        <f>IF(OR(31.69129="",3.56233=""),"-",3.56233/31.69129*100)</f>
        <v>11.24072260864105</v>
      </c>
      <c r="E40" s="36">
        <f>IF(31.69129="","-",31.69129/1986828.81646*100)</f>
        <v>1.5950689731018418E-3</v>
      </c>
      <c r="F40" s="36">
        <f>IF(3.56233="","-",3.56233/2455618.67545*100)</f>
        <v>1.4506853346630424E-4</v>
      </c>
      <c r="G40" s="36">
        <f>IF(OR(2294320.13289="",26.39922="",31.69129=""),"-",(31.69129-26.39922)/2294320.13289*100)</f>
        <v>2.3065961563672181E-4</v>
      </c>
      <c r="H40" s="36">
        <f>IF(OR(1986828.81646="",3.56233="",31.69129=""),"-",(3.56233-31.69129)/1986828.81646*100)</f>
        <v>-1.4157716944189645E-3</v>
      </c>
      <c r="I40" s="63"/>
      <c r="J40" s="64"/>
      <c r="K40" s="28"/>
    </row>
    <row r="41" spans="1:11" s="32" customFormat="1" ht="24" x14ac:dyDescent="0.2">
      <c r="A41" s="61" t="s">
        <v>254</v>
      </c>
      <c r="B41" s="62" t="s">
        <v>157</v>
      </c>
      <c r="C41" s="25">
        <f>IF(123067.41241="","-",123067.41241)</f>
        <v>123067.41241</v>
      </c>
      <c r="D41" s="86">
        <f>IF(100527.27416="","-",123067.41241/100527.27416*100)</f>
        <v>122.42191329501777</v>
      </c>
      <c r="E41" s="86">
        <f>IF(100527.27416="","-",100527.27416/1986828.81646*100)</f>
        <v>5.0596847260909401</v>
      </c>
      <c r="F41" s="86">
        <f>IF(123067.41241="","-",123067.41241/2455618.67545*100)</f>
        <v>5.0116662509682008</v>
      </c>
      <c r="G41" s="86">
        <f>IF(2294320.13289="","-",(100527.27416-116146.38896)/2294320.13289*100)</f>
        <v>-0.68077312211551111</v>
      </c>
      <c r="H41" s="86">
        <f>IF(1986828.81646="","-",(123067.41241-100527.27416)/1986828.81646*100)</f>
        <v>1.1344781222853677</v>
      </c>
      <c r="I41" s="63"/>
      <c r="J41" s="64"/>
      <c r="K41" s="28"/>
    </row>
    <row r="42" spans="1:11" s="32" customFormat="1" x14ac:dyDescent="0.2">
      <c r="A42" s="63" t="s">
        <v>255</v>
      </c>
      <c r="B42" s="64" t="s">
        <v>25</v>
      </c>
      <c r="C42" s="28">
        <f>IF(28079.76946="","-",28079.76946)</f>
        <v>28079.76946</v>
      </c>
      <c r="D42" s="36">
        <f>IF(OR(40810.31275="",28079.76946=""),"-",28079.76946/40810.31275*100)</f>
        <v>68.805572826687055</v>
      </c>
      <c r="E42" s="36">
        <f>IF(40810.31275="","-",40810.31275/1986828.81646*100)</f>
        <v>2.0540427243607788</v>
      </c>
      <c r="F42" s="36">
        <f>IF(28079.76946="","-",28079.76946/2455618.67545*100)</f>
        <v>1.1434906299063023</v>
      </c>
      <c r="G42" s="36">
        <f>IF(OR(2294320.13289="",19697.37225="",40810.31275=""),"-",(40810.31275-19697.37225)/2294320.13289*100)</f>
        <v>0.92022644082390781</v>
      </c>
      <c r="H42" s="36">
        <f>IF(OR(1986828.81646="",28079.76946="",40810.31275=""),"-",(28079.76946-40810.31275)/1986828.81646*100)</f>
        <v>-0.64074686175945639</v>
      </c>
      <c r="I42" s="61"/>
      <c r="J42" s="62"/>
      <c r="K42" s="25"/>
    </row>
    <row r="43" spans="1:11" s="32" customFormat="1" x14ac:dyDescent="0.2">
      <c r="A43" s="63" t="s">
        <v>256</v>
      </c>
      <c r="B43" s="64" t="s">
        <v>26</v>
      </c>
      <c r="C43" s="28">
        <f>IF(1012.74693="","-",1012.74693)</f>
        <v>1012.74693</v>
      </c>
      <c r="D43" s="36">
        <f>IF(OR(1321.19409="",1012.74693=""),"-",1012.74693/1321.19409*100)</f>
        <v>76.653910100369899</v>
      </c>
      <c r="E43" s="36">
        <f>IF(1321.19409="","-",1321.19409/1986828.81646*100)</f>
        <v>6.6497630749790315E-2</v>
      </c>
      <c r="F43" s="36">
        <f>IF(1012.74693="","-",1012.74693/2455618.67545*100)</f>
        <v>4.1242027523447258E-2</v>
      </c>
      <c r="G43" s="36">
        <f>IF(OR(2294320.13289="",1120.46353="",1321.19409=""),"-",(1321.19409-1120.46353)/2294320.13289*100)</f>
        <v>8.7490214256697139E-3</v>
      </c>
      <c r="H43" s="36">
        <f>IF(OR(1986828.81646="",1012.74693="",1321.19409=""),"-",(1012.74693-1321.19409)/1986828.81646*100)</f>
        <v>-1.5524596655970124E-2</v>
      </c>
      <c r="I43" s="63"/>
      <c r="J43" s="64"/>
      <c r="K43" s="28"/>
    </row>
    <row r="44" spans="1:11" s="32" customFormat="1" x14ac:dyDescent="0.2">
      <c r="A44" s="63" t="s">
        <v>257</v>
      </c>
      <c r="B44" s="64" t="s">
        <v>158</v>
      </c>
      <c r="C44" s="28">
        <f>IF(2404.35544="","-",2404.35544)</f>
        <v>2404.3554399999998</v>
      </c>
      <c r="D44" s="36" t="s">
        <v>346</v>
      </c>
      <c r="E44" s="36">
        <f>IF(728.23546="","-",728.23546/1986828.81646*100)</f>
        <v>3.6653155720658498E-2</v>
      </c>
      <c r="F44" s="36">
        <f>IF(2404.35544="","-",2404.35544/2455618.67545*100)</f>
        <v>9.7912410588724408E-2</v>
      </c>
      <c r="G44" s="36">
        <f>IF(OR(2294320.13289="",728.78234="",728.23546=""),"-",(728.23546-728.78234)/2294320.13289*100)</f>
        <v>-2.3836255113671501E-5</v>
      </c>
      <c r="H44" s="36">
        <f>IF(OR(1986828.81646="",2404.35544="",728.23546=""),"-",(2404.35544-728.23546)/1986828.81646*100)</f>
        <v>8.4361569860175456E-2</v>
      </c>
      <c r="I44" s="63"/>
      <c r="J44" s="64"/>
      <c r="K44" s="28"/>
    </row>
    <row r="45" spans="1:11" s="32" customFormat="1" x14ac:dyDescent="0.2">
      <c r="A45" s="63" t="s">
        <v>258</v>
      </c>
      <c r="B45" s="64" t="s">
        <v>159</v>
      </c>
      <c r="C45" s="28">
        <f>IF(70791.62932="","-",70791.62932)</f>
        <v>70791.629319999993</v>
      </c>
      <c r="D45" s="36" t="s">
        <v>103</v>
      </c>
      <c r="E45" s="36">
        <f>IF(42028.70051="","-",42028.70051/1986828.81646*100)</f>
        <v>2.1153659621710119</v>
      </c>
      <c r="F45" s="36">
        <f>IF(70791.62932="","-",70791.62932/2455618.67545*100)</f>
        <v>2.8828429278429071</v>
      </c>
      <c r="G45" s="36">
        <f>IF(OR(2294320.13289="",75872.4241="",42028.70051=""),"-",(42028.70051-75872.4241)/2294320.13289*100)</f>
        <v>-1.4751090357808676</v>
      </c>
      <c r="H45" s="36">
        <f>IF(OR(1986828.81646="",70791.62932="",42028.70051=""),"-",(70791.62932-42028.70051)/1986828.81646*100)</f>
        <v>1.447680271783448</v>
      </c>
      <c r="I45" s="63"/>
      <c r="J45" s="64"/>
      <c r="K45" s="28"/>
    </row>
    <row r="46" spans="1:11" s="32" customFormat="1" ht="40.5" customHeight="1" x14ac:dyDescent="0.2">
      <c r="A46" s="63" t="s">
        <v>259</v>
      </c>
      <c r="B46" s="64" t="s">
        <v>160</v>
      </c>
      <c r="C46" s="28">
        <f>IF(10724.93416="","-",10724.93416)</f>
        <v>10724.934160000001</v>
      </c>
      <c r="D46" s="36">
        <f>IF(OR(9879.2526="",10724.93416=""),"-",10724.93416/9879.2526*100)</f>
        <v>108.56017751788227</v>
      </c>
      <c r="E46" s="36">
        <f>IF(9879.2526="","-",9879.2526/1986828.81646*100)</f>
        <v>0.49723723141897036</v>
      </c>
      <c r="F46" s="36">
        <f>IF(10724.93416="","-",10724.93416/2455618.67545*100)</f>
        <v>0.4367507979647785</v>
      </c>
      <c r="G46" s="36">
        <f>IF(OR(2294320.13289="",13034.31117="",9879.2526=""),"-",(9879.2526-13034.31117)/2294320.13289*100)</f>
        <v>-0.13751605648971868</v>
      </c>
      <c r="H46" s="36">
        <f>IF(OR(1986828.81646="",10724.93416="",9879.2526=""),"-",(10724.93416-9879.2526)/1986828.81646*100)</f>
        <v>4.2564389694467006E-2</v>
      </c>
      <c r="I46" s="63"/>
      <c r="J46" s="64"/>
      <c r="K46" s="28"/>
    </row>
    <row r="47" spans="1:11" s="32" customFormat="1" x14ac:dyDescent="0.2">
      <c r="A47" s="63" t="s">
        <v>260</v>
      </c>
      <c r="B47" s="64" t="s">
        <v>161</v>
      </c>
      <c r="C47" s="28">
        <f>IF(152.51542="","-",152.51542)</f>
        <v>152.51542000000001</v>
      </c>
      <c r="D47" s="36" t="s">
        <v>392</v>
      </c>
      <c r="E47" s="36">
        <f>IF(37.30839="","-",37.30839/1986828.81646*100)</f>
        <v>1.8777858309138894E-3</v>
      </c>
      <c r="F47" s="36">
        <f>IF(152.51542="","-",152.51542/2455618.67545*100)</f>
        <v>6.210875553471309E-3</v>
      </c>
      <c r="G47" s="36">
        <f>IF(OR(2294320.13289="",45.5386="",37.30839=""),"-",(37.30839-45.5386)/2294320.13289*100)</f>
        <v>-3.5872108177131151E-4</v>
      </c>
      <c r="H47" s="36">
        <f>IF(OR(1986828.81646="",152.51542="",37.30839=""),"-",(152.51542-37.30839)/1986828.81646*100)</f>
        <v>5.7985383061469921E-3</v>
      </c>
      <c r="I47" s="63"/>
      <c r="J47" s="64"/>
      <c r="K47" s="28"/>
    </row>
    <row r="48" spans="1:11" ht="24" x14ac:dyDescent="0.2">
      <c r="A48" s="63" t="s">
        <v>261</v>
      </c>
      <c r="B48" s="64" t="s">
        <v>27</v>
      </c>
      <c r="C48" s="28">
        <f>IF(2229.98405="","-",2229.98405)</f>
        <v>2229.98405</v>
      </c>
      <c r="D48" s="36">
        <f>IF(OR(1628.89882="",2229.98405=""),"-",2229.98405/1628.89882*100)</f>
        <v>136.90132392630747</v>
      </c>
      <c r="E48" s="36">
        <f>IF(1628.89882="","-",1628.89882/1986828.81646*100)</f>
        <v>8.1984859818082567E-2</v>
      </c>
      <c r="F48" s="36">
        <f>IF(2229.98405="","-",2229.98405/2455618.67545*100)</f>
        <v>9.0811495786956756E-2</v>
      </c>
      <c r="G48" s="36">
        <f>IF(OR(2294320.13289="",1770.59404="",1628.89882=""),"-",(1628.89882-1770.59404)/2294320.13289*100)</f>
        <v>-6.1759132027279983E-3</v>
      </c>
      <c r="H48" s="36">
        <f>IF(OR(1986828.81646="",2229.98405="",1628.89882=""),"-",(2229.98405-1628.89882)/1986828.81646*100)</f>
        <v>3.0253498691999746E-2</v>
      </c>
      <c r="I48" s="63"/>
      <c r="J48" s="64"/>
      <c r="K48" s="28"/>
    </row>
    <row r="49" spans="1:11" x14ac:dyDescent="0.2">
      <c r="A49" s="63" t="s">
        <v>262</v>
      </c>
      <c r="B49" s="64" t="s">
        <v>28</v>
      </c>
      <c r="C49" s="28">
        <f>IF(3051.29333="","-",3051.29333)</f>
        <v>3051.29333</v>
      </c>
      <c r="D49" s="36" t="s">
        <v>104</v>
      </c>
      <c r="E49" s="36">
        <f>IF(1967.2233="","-",1967.2233/1986828.81646*100)</f>
        <v>9.9013225684186953E-2</v>
      </c>
      <c r="F49" s="36">
        <f>IF(3051.29333="","-",3051.29333/2455618.67545*100)</f>
        <v>0.124257620309914</v>
      </c>
      <c r="G49" s="36">
        <f>IF(OR(2294320.13289="",2067.44854="",1967.2233=""),"-",(1967.2233-2067.44854)/2294320.13289*100)</f>
        <v>-4.368406943879832E-3</v>
      </c>
      <c r="H49" s="36">
        <f>IF(OR(1986828.81646="",3051.29333="",1967.2233=""),"-",(3051.29333-1967.2233)/1986828.81646*100)</f>
        <v>5.4562830024356301E-2</v>
      </c>
      <c r="I49" s="63"/>
      <c r="J49" s="64"/>
      <c r="K49" s="28"/>
    </row>
    <row r="50" spans="1:11" x14ac:dyDescent="0.2">
      <c r="A50" s="63" t="s">
        <v>263</v>
      </c>
      <c r="B50" s="64" t="s">
        <v>162</v>
      </c>
      <c r="C50" s="28">
        <f>IF(4620.1843="","-",4620.1843)</f>
        <v>4620.1842999999999</v>
      </c>
      <c r="D50" s="36" t="s">
        <v>205</v>
      </c>
      <c r="E50" s="36">
        <f>IF(2126.14824="","-",2126.14824/1986828.81646*100)</f>
        <v>0.10701215033654637</v>
      </c>
      <c r="F50" s="36">
        <f>IF(4620.1843="","-",4620.1843/2455618.67545*100)</f>
        <v>0.18814746549169881</v>
      </c>
      <c r="G50" s="36">
        <f>IF(OR(2294320.13289="",1809.45439="",2126.14824=""),"-",(2126.14824-1809.45439)/2294320.13289*100)</f>
        <v>1.3803385388990248E-2</v>
      </c>
      <c r="H50" s="36">
        <f>IF(OR(1986828.81646="",4620.1843="",2126.14824=""),"-",(4620.1843-2126.14824)/1986828.81646*100)</f>
        <v>0.12552848234020023</v>
      </c>
      <c r="I50" s="63"/>
      <c r="J50" s="64"/>
      <c r="K50" s="28"/>
    </row>
    <row r="51" spans="1:11" ht="24" x14ac:dyDescent="0.2">
      <c r="A51" s="61" t="s">
        <v>264</v>
      </c>
      <c r="B51" s="62" t="s">
        <v>335</v>
      </c>
      <c r="C51" s="25">
        <f>IF(201247.25693="","-",201247.25693)</f>
        <v>201247.25693</v>
      </c>
      <c r="D51" s="86">
        <f>IF(142904.68687="","-",201247.25693/142904.68687*100)</f>
        <v>140.82621174844604</v>
      </c>
      <c r="E51" s="86">
        <f>IF(142904.68687="","-",142904.68687/1986828.81646*100)</f>
        <v>7.1926018832673329</v>
      </c>
      <c r="F51" s="86">
        <f>IF(201247.25693="","-",201247.25693/2455618.67545*100)</f>
        <v>8.1953789870538749</v>
      </c>
      <c r="G51" s="86">
        <f>IF(2294320.13289="","-",(142904.68687-147364.55924)/2294320.13289*100)</f>
        <v>-0.19438753581359189</v>
      </c>
      <c r="H51" s="86">
        <f>IF(1986828.81646="","-",(201247.25693-142904.68687)/1986828.81646*100)</f>
        <v>2.9364668750854404</v>
      </c>
      <c r="I51" s="63"/>
      <c r="J51" s="64"/>
      <c r="K51" s="28"/>
    </row>
    <row r="52" spans="1:11" x14ac:dyDescent="0.2">
      <c r="A52" s="63" t="s">
        <v>265</v>
      </c>
      <c r="B52" s="64" t="s">
        <v>163</v>
      </c>
      <c r="C52" s="28">
        <f>IF(933.86565="","-",933.86565)</f>
        <v>933.86564999999996</v>
      </c>
      <c r="D52" s="36" t="s">
        <v>218</v>
      </c>
      <c r="E52" s="36">
        <f>IF(618.73754="","-",618.73754/1986828.81646*100)</f>
        <v>3.1141965270184955E-2</v>
      </c>
      <c r="F52" s="36">
        <f>IF(933.86565="","-",933.86565/2455618.67545*100)</f>
        <v>3.8029750275818626E-2</v>
      </c>
      <c r="G52" s="36">
        <f>IF(OR(2294320.13289="",485.34278="",618.73754=""),"-",(618.73754-485.34278)/2294320.13289*100)</f>
        <v>5.8141302117229645E-3</v>
      </c>
      <c r="H52" s="36">
        <f>IF(OR(1986828.81646="",933.86565="",618.73754=""),"-",(933.86565-618.73754)/1986828.81646*100)</f>
        <v>1.5860858640125545E-2</v>
      </c>
      <c r="I52" s="61"/>
      <c r="J52" s="62"/>
      <c r="K52" s="25"/>
    </row>
    <row r="53" spans="1:11" x14ac:dyDescent="0.2">
      <c r="A53" s="63" t="s">
        <v>266</v>
      </c>
      <c r="B53" s="64" t="s">
        <v>29</v>
      </c>
      <c r="C53" s="28">
        <f>IF(1112.56188="","-",1112.56188)</f>
        <v>1112.56188</v>
      </c>
      <c r="D53" s="36">
        <f>IF(OR(1584.64473="",1112.56188=""),"-",1112.56188/1584.64473*100)</f>
        <v>70.208915534020051</v>
      </c>
      <c r="E53" s="36">
        <f>IF(1584.64473="","-",1584.64473/1986828.81646*100)</f>
        <v>7.9757486748325654E-2</v>
      </c>
      <c r="F53" s="36">
        <f>IF(1112.56188="","-",1112.56188/2455618.67545*100)</f>
        <v>4.5306785256310995E-2</v>
      </c>
      <c r="G53" s="36">
        <f>IF(OR(2294320.13289="",1839.50327="",1584.64473=""),"-",(1584.64473-1839.50327)/2294320.13289*100)</f>
        <v>-1.1108237963242378E-2</v>
      </c>
      <c r="H53" s="36">
        <f>IF(OR(1986828.81646="",1112.56188="",1584.64473=""),"-",(1112.56188-1584.64473)/1986828.81646*100)</f>
        <v>-2.376062024513647E-2</v>
      </c>
      <c r="I53" s="63"/>
      <c r="J53" s="64"/>
      <c r="K53" s="28"/>
    </row>
    <row r="54" spans="1:11" x14ac:dyDescent="0.2">
      <c r="A54" s="63" t="s">
        <v>267</v>
      </c>
      <c r="B54" s="64" t="s">
        <v>164</v>
      </c>
      <c r="C54" s="28">
        <f>IF(21220.62174="","-",21220.62174)</f>
        <v>21220.621739999999</v>
      </c>
      <c r="D54" s="36">
        <f>IF(OR(15725.48057="",21220.62174=""),"-",21220.62174/15725.48057*100)</f>
        <v>134.94418593784189</v>
      </c>
      <c r="E54" s="36">
        <f>IF(15725.48057="","-",15725.48057/1986828.81646*100)</f>
        <v>0.79148643505274996</v>
      </c>
      <c r="F54" s="36">
        <f>IF(21220.62174="","-",21220.62174/2455618.67545*100)</f>
        <v>0.8641660023257175</v>
      </c>
      <c r="G54" s="36">
        <f>IF(OR(2294320.13289="",17312.03487="",15725.48057=""),"-",(15725.48057-17312.03487)/2294320.13289*100)</f>
        <v>-6.9151391615150257E-2</v>
      </c>
      <c r="H54" s="36">
        <f>IF(OR(1986828.81646="",21220.62174="",15725.48057=""),"-",(21220.62174-15725.48057)/1986828.81646*100)</f>
        <v>0.2765784915376292</v>
      </c>
      <c r="I54" s="63"/>
      <c r="J54" s="64"/>
      <c r="K54" s="28"/>
    </row>
    <row r="55" spans="1:11" ht="36" x14ac:dyDescent="0.2">
      <c r="A55" s="63" t="s">
        <v>268</v>
      </c>
      <c r="B55" s="64" t="s">
        <v>165</v>
      </c>
      <c r="C55" s="28">
        <f>IF(9258.35242="","-",9258.35242)</f>
        <v>9258.3524199999993</v>
      </c>
      <c r="D55" s="36">
        <f>IF(OR(7793.7086="",9258.35242=""),"-",9258.35242/7793.7086*100)</f>
        <v>118.79264282475226</v>
      </c>
      <c r="E55" s="36">
        <f>IF(7793.7086="","-",7793.7086/1986828.81646*100)</f>
        <v>0.39226875186390314</v>
      </c>
      <c r="F55" s="36">
        <f>IF(9258.35242="","-",9258.35242/2455618.67545*100)</f>
        <v>0.37702728491846871</v>
      </c>
      <c r="G55" s="36">
        <f>IF(OR(2294320.13289="",9000.60373="",7793.7086=""),"-",(7793.7086-9000.60373)/2294320.13289*100)</f>
        <v>-5.2603606301434347E-2</v>
      </c>
      <c r="H55" s="36">
        <f>IF(OR(1986828.81646="",9258.35242="",7793.7086=""),"-",(9258.35242-7793.7086)/1986828.81646*100)</f>
        <v>7.3717665450897016E-2</v>
      </c>
      <c r="I55" s="63"/>
      <c r="J55" s="64"/>
      <c r="K55" s="28"/>
    </row>
    <row r="56" spans="1:11" ht="26.25" customHeight="1" x14ac:dyDescent="0.2">
      <c r="A56" s="63" t="s">
        <v>269</v>
      </c>
      <c r="B56" s="64" t="s">
        <v>166</v>
      </c>
      <c r="C56" s="28">
        <f>IF(66793.62427="","-",66793.62427)</f>
        <v>66793.62427</v>
      </c>
      <c r="D56" s="36">
        <f>IF(OR(49703.8464="",66793.62427=""),"-",66793.62427/49703.8464*100)</f>
        <v>134.38320996823296</v>
      </c>
      <c r="E56" s="36">
        <f>IF(49703.8464="","-",49703.8464/1986828.81646*100)</f>
        <v>2.5016672794468033</v>
      </c>
      <c r="F56" s="36">
        <f>IF(66793.62427="","-",66793.62427/2455618.67545*100)</f>
        <v>2.7200324275820167</v>
      </c>
      <c r="G56" s="36">
        <f>IF(OR(2294320.13289="",52968.17636="",49703.8464=""),"-",(49703.8464-52968.17636)/2294320.13289*100)</f>
        <v>-0.14227874799181314</v>
      </c>
      <c r="H56" s="36">
        <f>IF(OR(1986828.81646="",66793.62427="",49703.8464=""),"-",(66793.62427-49703.8464)/1986828.81646*100)</f>
        <v>0.86015351339877555</v>
      </c>
      <c r="I56" s="63"/>
      <c r="J56" s="64"/>
      <c r="K56" s="28"/>
    </row>
    <row r="57" spans="1:11" ht="14.25" customHeight="1" x14ac:dyDescent="0.2">
      <c r="A57" s="63" t="s">
        <v>270</v>
      </c>
      <c r="B57" s="64" t="s">
        <v>30</v>
      </c>
      <c r="C57" s="28">
        <f>IF(55027.95425="","-",55027.95425)</f>
        <v>55027.954250000003</v>
      </c>
      <c r="D57" s="36">
        <f>IF(OR(42576.14953="",55027.95425=""),"-",55027.95425/42576.14953*100)</f>
        <v>129.2459624871108</v>
      </c>
      <c r="E57" s="36">
        <f>IF(42576.14953="","-",42576.14953/1986828.81646*100)</f>
        <v>2.1429198719726328</v>
      </c>
      <c r="F57" s="36">
        <f>IF(55027.95425="","-",55027.95425/2455618.67545*100)</f>
        <v>2.2408998107133207</v>
      </c>
      <c r="G57" s="36">
        <f>IF(OR(2294320.13289="",41078.57419="",42576.14953=""),"-",(42576.14953-41078.57419)/2294320.13289*100)</f>
        <v>6.5273163868095799E-2</v>
      </c>
      <c r="H57" s="36">
        <f>IF(OR(1986828.81646="",55027.95425="",42576.14953=""),"-",(55027.95425-42576.14953)/1986828.81646*100)</f>
        <v>0.62671754188595885</v>
      </c>
      <c r="I57" s="63"/>
      <c r="J57" s="64"/>
      <c r="K57" s="28"/>
    </row>
    <row r="58" spans="1:11" ht="15.75" customHeight="1" x14ac:dyDescent="0.2">
      <c r="A58" s="63" t="s">
        <v>271</v>
      </c>
      <c r="B58" s="64" t="s">
        <v>167</v>
      </c>
      <c r="C58" s="28">
        <f>IF(9622.44698="","-",9622.44698)</f>
        <v>9622.4469800000006</v>
      </c>
      <c r="D58" s="36" t="s">
        <v>341</v>
      </c>
      <c r="E58" s="36">
        <f>IF(1083.43441="","-",1083.43441/1986828.81646*100)</f>
        <v>5.4530838340184323E-2</v>
      </c>
      <c r="F58" s="36">
        <f>IF(9622.44698="","-",9622.44698/2455618.67545*100)</f>
        <v>0.39185428406292178</v>
      </c>
      <c r="G58" s="36">
        <f>IF(OR(2294320.13289="",3264.27815="",1083.43441=""),"-",(1083.43441-3264.27815)/2294320.13289*100)</f>
        <v>-9.5054029676884658E-2</v>
      </c>
      <c r="H58" s="36">
        <f>IF(OR(1986828.81646="",9622.44698="",1083.43441=""),"-",(9622.44698-1083.43441)/1986828.81646*100)</f>
        <v>0.42978099065495978</v>
      </c>
      <c r="I58" s="63"/>
      <c r="J58" s="64"/>
      <c r="K58" s="28"/>
    </row>
    <row r="59" spans="1:11" x14ac:dyDescent="0.2">
      <c r="A59" s="63" t="s">
        <v>272</v>
      </c>
      <c r="B59" s="64" t="s">
        <v>31</v>
      </c>
      <c r="C59" s="28">
        <f>IF(1711.38931="","-",1711.38931)</f>
        <v>1711.38931</v>
      </c>
      <c r="D59" s="36">
        <f>IF(OR(1886.20651="",1711.38931=""),"-",1711.38931/1886.20651*100)</f>
        <v>90.731810166427636</v>
      </c>
      <c r="E59" s="36">
        <f>IF(1886.20651="","-",1886.20651/1986828.81646*100)</f>
        <v>9.4935532159268657E-2</v>
      </c>
      <c r="F59" s="36">
        <f>IF(1711.38931="","-",1711.38931/2455618.67545*100)</f>
        <v>6.9692795836323512E-2</v>
      </c>
      <c r="G59" s="36">
        <f>IF(OR(2294320.13289="",1384.71744="",1886.20651=""),"-",(1886.20651-1384.71744)/2294320.13289*100)</f>
        <v>2.1857850733685895E-2</v>
      </c>
      <c r="H59" s="36">
        <f>IF(OR(1986828.81646="",1711.38931="",1886.20651=""),"-",(1711.38931-1886.20651)/1986828.81646*100)</f>
        <v>-8.7988053400331525E-3</v>
      </c>
      <c r="I59" s="63"/>
      <c r="J59" s="64"/>
      <c r="K59" s="28"/>
    </row>
    <row r="60" spans="1:11" x14ac:dyDescent="0.2">
      <c r="A60" s="63" t="s">
        <v>273</v>
      </c>
      <c r="B60" s="64" t="s">
        <v>32</v>
      </c>
      <c r="C60" s="28">
        <f>IF(35566.44043="","-",35566.44043)</f>
        <v>35566.440430000002</v>
      </c>
      <c r="D60" s="36" t="s">
        <v>104</v>
      </c>
      <c r="E60" s="36">
        <f>IF(21932.47858="","-",21932.47858/1986828.81646*100)</f>
        <v>1.1038937224132797</v>
      </c>
      <c r="F60" s="36">
        <f>IF(35566.44043="","-",35566.44043/2455618.67545*100)</f>
        <v>1.448369846082977</v>
      </c>
      <c r="G60" s="36">
        <f>IF(OR(2294320.13289="",20031.32845="",21932.47858=""),"-",(21932.47858-20031.32845)/2294320.13289*100)</f>
        <v>8.2863332921428362E-2</v>
      </c>
      <c r="H60" s="36">
        <f>IF(OR(1986828.81646="",35566.44043="",21932.47858=""),"-",(35566.44043-21932.47858)/1986828.81646*100)</f>
        <v>0.68621723910226418</v>
      </c>
      <c r="I60" s="63"/>
      <c r="J60" s="64"/>
      <c r="K60" s="28"/>
    </row>
    <row r="61" spans="1:11" ht="24" x14ac:dyDescent="0.2">
      <c r="A61" s="61" t="s">
        <v>274</v>
      </c>
      <c r="B61" s="62" t="s">
        <v>168</v>
      </c>
      <c r="C61" s="25">
        <f>IF(523417.16726="","-",523417.16726)</f>
        <v>523417.16726000002</v>
      </c>
      <c r="D61" s="86">
        <f>IF(445083.22265="","-",523417.16726/445083.22265*100)</f>
        <v>117.59984214718411</v>
      </c>
      <c r="E61" s="86">
        <f>IF(445083.22265="","-",445083.22265/1986828.81646*100)</f>
        <v>22.401689514601454</v>
      </c>
      <c r="F61" s="86">
        <f>IF(523417.16726="","-",523417.16726/2455618.67545*100)</f>
        <v>21.31508334306352</v>
      </c>
      <c r="G61" s="86">
        <f>IF(2294320.13289="","-",(445083.22265-550439.58048)/2294320.13289*100)</f>
        <v>-4.5920513148829718</v>
      </c>
      <c r="H61" s="86">
        <f>IF(1986828.81646="","-",(523417.16726-445083.22265)/1986828.81646*100)</f>
        <v>3.9426619928721514</v>
      </c>
      <c r="I61" s="63"/>
      <c r="J61" s="64"/>
      <c r="K61" s="28"/>
    </row>
    <row r="62" spans="1:11" ht="24" x14ac:dyDescent="0.2">
      <c r="A62" s="63" t="s">
        <v>275</v>
      </c>
      <c r="B62" s="64" t="s">
        <v>169</v>
      </c>
      <c r="C62" s="28">
        <f>IF(1898.69594="","-",1898.69594)</f>
        <v>1898.6959400000001</v>
      </c>
      <c r="D62" s="36">
        <f>IF(OR(1557.53921="",1898.69594=""),"-",1898.69594/1557.53921*100)</f>
        <v>121.90357249497433</v>
      </c>
      <c r="E62" s="36">
        <f>IF(1557.53921="","-",1557.53921/1986828.81646*100)</f>
        <v>7.8393226285851852E-2</v>
      </c>
      <c r="F62" s="36">
        <f>IF(1898.69594="","-",1898.69594/2455618.67545*100)</f>
        <v>7.7320471577373789E-2</v>
      </c>
      <c r="G62" s="36">
        <f>IF(OR(2294320.13289="",3726.99319="",1557.53921=""),"-",(1557.53921-3726.99319)/2294320.13289*100)</f>
        <v>-9.4557596775620228E-2</v>
      </c>
      <c r="H62" s="36">
        <f>IF(OR(1986828.81646="",1898.69594="",1557.53921=""),"-",(1898.69594-1557.53921)/1986828.81646*100)</f>
        <v>1.7170917150670817E-2</v>
      </c>
      <c r="I62" s="61"/>
      <c r="J62" s="62"/>
      <c r="K62" s="25"/>
    </row>
    <row r="63" spans="1:11" ht="24" x14ac:dyDescent="0.2">
      <c r="A63" s="63" t="s">
        <v>276</v>
      </c>
      <c r="B63" s="64" t="s">
        <v>170</v>
      </c>
      <c r="C63" s="28">
        <f>IF(11550.05774="","-",11550.05774)</f>
        <v>11550.05774</v>
      </c>
      <c r="D63" s="36">
        <f>IF(OR(11455.98882="",11550.05774=""),"-",11550.05774/11455.98882*100)</f>
        <v>100.82113313375247</v>
      </c>
      <c r="E63" s="36">
        <f>IF(11455.98882="","-",11455.98882/1986828.81646*100)</f>
        <v>0.57659667129307712</v>
      </c>
      <c r="F63" s="36">
        <f>IF(11550.05774="","-",11550.05774/2455618.67545*100)</f>
        <v>0.4703522519791643</v>
      </c>
      <c r="G63" s="36">
        <f>IF(OR(2294320.13289="",11752.61988="",11455.98882=""),"-",(11455.98882-11752.61988)/2294320.13289*100)</f>
        <v>-1.2928930699237407E-2</v>
      </c>
      <c r="H63" s="36">
        <f>IF(OR(1986828.81646="",11550.05774="",11455.98882=""),"-",(11550.05774-11455.98882)/1986828.81646*100)</f>
        <v>4.7346263161013279E-3</v>
      </c>
      <c r="I63" s="63"/>
      <c r="J63" s="64"/>
      <c r="K63" s="28"/>
    </row>
    <row r="64" spans="1:11" ht="24" x14ac:dyDescent="0.2">
      <c r="A64" s="63" t="s">
        <v>277</v>
      </c>
      <c r="B64" s="64" t="s">
        <v>171</v>
      </c>
      <c r="C64" s="28">
        <f>IF(3626.44841="","-",3626.44841)</f>
        <v>3626.44841</v>
      </c>
      <c r="D64" s="36">
        <f>IF(OR(2601.01235="",3626.44841=""),"-",3626.44841/2601.01235*100)</f>
        <v>139.42449792673995</v>
      </c>
      <c r="E64" s="36">
        <f>IF(2601.01235="","-",2601.01235/1986828.81646*100)</f>
        <v>0.13091275546497819</v>
      </c>
      <c r="F64" s="36">
        <f>IF(3626.44841="","-",3626.44841/2455618.67545*100)</f>
        <v>0.14767962331673673</v>
      </c>
      <c r="G64" s="36">
        <f>IF(OR(2294320.13289="",2289.67656="",2601.01235=""),"-",(2601.01235-2289.67656)/2294320.13289*100)</f>
        <v>1.3569849540039184E-2</v>
      </c>
      <c r="H64" s="36">
        <f>IF(OR(1986828.81646="",3626.44841="",2601.01235=""),"-",(3626.44841-2601.01235)/1986828.81646*100)</f>
        <v>5.1611696564128465E-2</v>
      </c>
      <c r="I64" s="63"/>
      <c r="J64" s="64"/>
      <c r="K64" s="28"/>
    </row>
    <row r="65" spans="1:11" ht="36" x14ac:dyDescent="0.2">
      <c r="A65" s="63" t="s">
        <v>278</v>
      </c>
      <c r="B65" s="64" t="s">
        <v>172</v>
      </c>
      <c r="C65" s="28">
        <f>IF(21041.99178="","-",21041.99178)</f>
        <v>21041.99178</v>
      </c>
      <c r="D65" s="36">
        <f>IF(OR(17131.72711="",21041.99178=""),"-",21041.99178/17131.72711*100)</f>
        <v>122.82469621943449</v>
      </c>
      <c r="E65" s="36">
        <f>IF(17131.72711="","-",17131.72711/1986828.81646*100)</f>
        <v>0.86226487999727008</v>
      </c>
      <c r="F65" s="36">
        <f>IF(21041.99178="","-",21041.99178/2455618.67545*100)</f>
        <v>0.85689166605413558</v>
      </c>
      <c r="G65" s="36">
        <f>IF(OR(2294320.13289="",19804.47219="",17131.72711=""),"-",(17131.72711-19804.47219)/2294320.13289*100)</f>
        <v>-0.11649399060249382</v>
      </c>
      <c r="H65" s="36">
        <f>IF(OR(1986828.81646="",21041.99178="",17131.72711=""),"-",(21041.99178-17131.72711)/1986828.81646*100)</f>
        <v>0.1968093394662481</v>
      </c>
      <c r="I65" s="63"/>
      <c r="J65" s="64"/>
      <c r="K65" s="28"/>
    </row>
    <row r="66" spans="1:11" ht="26.25" customHeight="1" x14ac:dyDescent="0.2">
      <c r="A66" s="63" t="s">
        <v>279</v>
      </c>
      <c r="B66" s="64" t="s">
        <v>173</v>
      </c>
      <c r="C66" s="28">
        <f>IF(1667.75744="","-",1667.75744)</f>
        <v>1667.7574400000001</v>
      </c>
      <c r="D66" s="36">
        <f>IF(OR(1645.40242="",1667.75744=""),"-",1667.75744/1645.40242*100)</f>
        <v>101.35863541515882</v>
      </c>
      <c r="E66" s="36">
        <f>IF(1645.40242="","-",1645.40242/1986828.81646*100)</f>
        <v>8.2815510142019641E-2</v>
      </c>
      <c r="F66" s="36">
        <f>IF(1667.75744="","-",1667.75744/2455618.67545*100)</f>
        <v>6.7915978025145873E-2</v>
      </c>
      <c r="G66" s="36">
        <f>IF(OR(2294320.13289="",1059.22354="",1645.40242=""),"-",(1645.40242-1059.22354)/2294320.13289*100)</f>
        <v>2.5549132032487116E-2</v>
      </c>
      <c r="H66" s="36">
        <f>IF(OR(1986828.81646="",1667.75744="",1645.40242=""),"-",(1667.75744-1645.40242)/1986828.81646*100)</f>
        <v>1.1251608500339194E-3</v>
      </c>
      <c r="I66" s="63"/>
      <c r="J66" s="64"/>
      <c r="K66" s="28"/>
    </row>
    <row r="67" spans="1:11" ht="39.75" customHeight="1" x14ac:dyDescent="0.2">
      <c r="A67" s="63" t="s">
        <v>280</v>
      </c>
      <c r="B67" s="64" t="s">
        <v>174</v>
      </c>
      <c r="C67" s="28">
        <f>IF(2313.89332="","-",2313.89332)</f>
        <v>2313.8933200000001</v>
      </c>
      <c r="D67" s="36">
        <f>IF(OR(2044.92055="",2313.89332=""),"-",2313.89332/2044.92055*100)</f>
        <v>113.15321370309472</v>
      </c>
      <c r="E67" s="36">
        <f>IF(2044.92055="","-",2044.92055/1986828.81646*100)</f>
        <v>0.10292384190619423</v>
      </c>
      <c r="F67" s="36">
        <f>IF(2313.89332="","-",2313.89332/2455618.67545*100)</f>
        <v>9.4228527545139787E-2</v>
      </c>
      <c r="G67" s="36">
        <f>IF(OR(2294320.13289="",2762.78059="",2044.92055=""),"-",(2044.92055-2762.78059)/2294320.13289*100)</f>
        <v>-3.128857345185565E-2</v>
      </c>
      <c r="H67" s="36">
        <f>IF(OR(1986828.81646="",2313.89332="",2044.92055=""),"-",(2313.89332-2044.92055)/1986828.81646*100)</f>
        <v>1.3537792877357091E-2</v>
      </c>
      <c r="I67" s="63"/>
      <c r="J67" s="64"/>
      <c r="K67" s="28"/>
    </row>
    <row r="68" spans="1:11" ht="48" x14ac:dyDescent="0.2">
      <c r="A68" s="63" t="s">
        <v>281</v>
      </c>
      <c r="B68" s="64" t="s">
        <v>175</v>
      </c>
      <c r="C68" s="28">
        <f>IF(430710.05845="","-",430710.05845)</f>
        <v>430710.05845000001</v>
      </c>
      <c r="D68" s="36">
        <f>IF(OR(386675.48742="",430710.05845=""),"-",430710.05845/386675.48742*100)</f>
        <v>111.38799134225192</v>
      </c>
      <c r="E68" s="36">
        <f>IF(386675.48742="","-",386675.48742/1986828.81646*100)</f>
        <v>19.461942781208137</v>
      </c>
      <c r="F68" s="36">
        <f>IF(430710.05845="","-",430710.05845/2455618.67545*100)</f>
        <v>17.539777765823963</v>
      </c>
      <c r="G68" s="36">
        <f>IF(OR(2294320.13289="",486202.11019="",386675.48742=""),"-",(386675.48742-486202.11019)/2294320.13289*100)</f>
        <v>-4.3379570855542724</v>
      </c>
      <c r="H68" s="36">
        <f>IF(OR(1986828.81646="",430710.05845="",386675.48742=""),"-",(430710.05845-386675.48742)/1986828.81646*100)</f>
        <v>2.2163243589580039</v>
      </c>
      <c r="I68" s="63"/>
      <c r="J68" s="64"/>
      <c r="K68" s="28"/>
    </row>
    <row r="69" spans="1:11" ht="24" x14ac:dyDescent="0.2">
      <c r="A69" s="63" t="s">
        <v>282</v>
      </c>
      <c r="B69" s="64" t="s">
        <v>176</v>
      </c>
      <c r="C69" s="28">
        <f>IF(49734.40492="","-",49734.40492)</f>
        <v>49734.404920000001</v>
      </c>
      <c r="D69" s="36" t="s">
        <v>217</v>
      </c>
      <c r="E69" s="36">
        <f>IF(21545.00256="","-",21545.00256/1986828.81646*100)</f>
        <v>1.0843914876565692</v>
      </c>
      <c r="F69" s="36">
        <f>IF(49734.40492="","-",49734.40492/2455618.67545*100)</f>
        <v>2.0253309447928034</v>
      </c>
      <c r="G69" s="36">
        <f>IF(OR(2294320.13289="",19855.72364="",21545.00256=""),"-",(21545.00256-19855.72364)/2294320.13289*100)</f>
        <v>7.3628736277187704E-2</v>
      </c>
      <c r="H69" s="36">
        <f>IF(OR(1986828.81646="",49734.40492="",21545.00256=""),"-",(49734.40492-21545.00256)/1986828.81646*100)</f>
        <v>1.4188138467925995</v>
      </c>
      <c r="I69" s="63"/>
      <c r="J69" s="64"/>
      <c r="K69" s="28"/>
    </row>
    <row r="70" spans="1:11" x14ac:dyDescent="0.2">
      <c r="A70" s="63" t="s">
        <v>283</v>
      </c>
      <c r="B70" s="64" t="s">
        <v>33</v>
      </c>
      <c r="C70" s="28">
        <f>IF(873.85926="","-",873.85926)</f>
        <v>873.85925999999995</v>
      </c>
      <c r="D70" s="36" t="s">
        <v>95</v>
      </c>
      <c r="E70" s="36">
        <f>IF(426.14221="","-",426.14221/1986828.81646*100)</f>
        <v>2.1448360647359242E-2</v>
      </c>
      <c r="F70" s="36">
        <f>IF(873.85926="","-",873.85926/2455618.67545*100)</f>
        <v>3.5586113949058577E-2</v>
      </c>
      <c r="G70" s="36">
        <f>IF(OR(2294320.13289="",2985.9807="",426.14221=""),"-",(426.14221-2985.9807)/2294320.13289*100)</f>
        <v>-0.11157285564920465</v>
      </c>
      <c r="H70" s="36">
        <f>IF(OR(1986828.81646="",873.85926="",426.14221=""),"-",(873.85926-426.14221)/1986828.81646*100)</f>
        <v>2.2534253897007219E-2</v>
      </c>
      <c r="I70" s="63"/>
      <c r="J70" s="64"/>
      <c r="K70" s="28"/>
    </row>
    <row r="71" spans="1:11" x14ac:dyDescent="0.2">
      <c r="A71" s="61" t="s">
        <v>284</v>
      </c>
      <c r="B71" s="62" t="s">
        <v>34</v>
      </c>
      <c r="C71" s="25">
        <f>IF(488197.47751="","-",488197.47751)</f>
        <v>488197.47751</v>
      </c>
      <c r="D71" s="86">
        <f>IF(421162.17995="","-",488197.47751/421162.17995*100)</f>
        <v>115.9167419942499</v>
      </c>
      <c r="E71" s="86">
        <f>IF(421162.17995="","-",421162.17995/1986828.81646*100)</f>
        <v>21.197708451823189</v>
      </c>
      <c r="F71" s="86">
        <f>IF(488197.47751="","-",488197.47751/2455618.67545*100)</f>
        <v>19.880834202425028</v>
      </c>
      <c r="G71" s="86">
        <f>IF(2294320.13289="","-",(421162.17995-488576.42206)/2294320.13289*100)</f>
        <v>-2.9383101836395791</v>
      </c>
      <c r="H71" s="86">
        <f>IF(1986828.81646="","-",(488197.47751-421162.17995)/1986828.81646*100)</f>
        <v>3.3739845629700014</v>
      </c>
      <c r="I71" s="63"/>
      <c r="J71" s="64"/>
      <c r="K71" s="28"/>
    </row>
    <row r="72" spans="1:11" ht="48" x14ac:dyDescent="0.2">
      <c r="A72" s="63" t="s">
        <v>285</v>
      </c>
      <c r="B72" s="64" t="s">
        <v>202</v>
      </c>
      <c r="C72" s="28">
        <f>IF(12539.8247="","-",12539.8247)</f>
        <v>12539.824699999999</v>
      </c>
      <c r="D72" s="36">
        <f>IF(OR(9048.81456="",12539.8247=""),"-",12539.8247/9048.81456*100)</f>
        <v>138.57975115803453</v>
      </c>
      <c r="E72" s="36">
        <f>IF(9048.81456="","-",9048.81456/1986828.81646*100)</f>
        <v>0.45544007037921763</v>
      </c>
      <c r="F72" s="36">
        <f>IF(12539.8247="","-",12539.8247/2455618.67545*100)</f>
        <v>0.51065846767524015</v>
      </c>
      <c r="G72" s="36">
        <f>IF(OR(2294320.13289="",7377.92498="",9048.81456=""),"-",(9048.81456-7377.92498)/2294320.13289*100)</f>
        <v>7.2827220406042212E-2</v>
      </c>
      <c r="H72" s="36">
        <f>IF(OR(1986828.81646="",12539.8247="",9048.81456=""),"-",(12539.8247-9048.81456)/1986828.81646*100)</f>
        <v>0.17570764582627957</v>
      </c>
      <c r="I72" s="61"/>
      <c r="J72" s="62"/>
      <c r="K72" s="25"/>
    </row>
    <row r="73" spans="1:11" x14ac:dyDescent="0.2">
      <c r="A73" s="63" t="s">
        <v>286</v>
      </c>
      <c r="B73" s="64" t="s">
        <v>177</v>
      </c>
      <c r="C73" s="28">
        <f>IF(130869.69137="","-",130869.69137)</f>
        <v>130869.69137</v>
      </c>
      <c r="D73" s="36">
        <f>IF(OR(110759.28882="",130869.69137=""),"-",130869.69137/110759.28882*100)</f>
        <v>118.15685416929891</v>
      </c>
      <c r="E73" s="36">
        <f>IF(110759.28882="","-",110759.28882/1986828.81646*100)</f>
        <v>5.5746769878918698</v>
      </c>
      <c r="F73" s="36">
        <f>IF(130869.69137="","-",130869.69137/2455618.67545*100)</f>
        <v>5.3293979508450233</v>
      </c>
      <c r="G73" s="36">
        <f>IF(OR(2294320.13289="",122526.48169="",110759.28882=""),"-",(110759.28882-122526.48169)/2294320.13289*100)</f>
        <v>-0.51288365129663316</v>
      </c>
      <c r="H73" s="36">
        <f>IF(OR(1986828.81646="",130869.69137="",110759.28882=""),"-",(130869.69137-110759.28882)/1986828.81646*100)</f>
        <v>1.0121859711009922</v>
      </c>
      <c r="I73" s="63"/>
      <c r="J73" s="64"/>
      <c r="K73" s="28"/>
    </row>
    <row r="74" spans="1:11" x14ac:dyDescent="0.2">
      <c r="A74" s="63" t="s">
        <v>287</v>
      </c>
      <c r="B74" s="64" t="s">
        <v>178</v>
      </c>
      <c r="C74" s="28">
        <f>IF(12106.44215="","-",12106.44215)</f>
        <v>12106.442150000001</v>
      </c>
      <c r="D74" s="36">
        <f>IF(OR(10407.66138="",12106.44215=""),"-",12106.44215/10407.66138*100)</f>
        <v>116.32240623493462</v>
      </c>
      <c r="E74" s="36">
        <f>IF(10407.66138="","-",10407.66138/1986828.81646*100)</f>
        <v>0.52383281809570703</v>
      </c>
      <c r="F74" s="36">
        <f>IF(12106.44215="","-",12106.44215/2455618.67545*100)</f>
        <v>0.49300985820941673</v>
      </c>
      <c r="G74" s="36">
        <f>IF(OR(2294320.13289="",11434.87434="",10407.66138=""),"-",(10407.66138-11434.87434)/2294320.13289*100)</f>
        <v>-4.4771997825172286E-2</v>
      </c>
      <c r="H74" s="36">
        <f>IF(OR(1986828.81646="",12106.44215="",10407.66138=""),"-",(12106.44215-10407.66138)/1986828.81646*100)</f>
        <v>8.5502120561487344E-2</v>
      </c>
      <c r="I74" s="63"/>
      <c r="J74" s="64"/>
      <c r="K74" s="28"/>
    </row>
    <row r="75" spans="1:11" x14ac:dyDescent="0.2">
      <c r="A75" s="63" t="s">
        <v>288</v>
      </c>
      <c r="B75" s="64" t="s">
        <v>179</v>
      </c>
      <c r="C75" s="28">
        <f>IF(229028.24="","-",229028.24)</f>
        <v>229028.24</v>
      </c>
      <c r="D75" s="36">
        <f>IF(OR(198660.24241="",229028.24=""),"-",229028.24/198660.24241*100)</f>
        <v>115.28639914136707</v>
      </c>
      <c r="E75" s="36">
        <f>IF(198660.24241="","-",198660.24241/1986828.81646*100)</f>
        <v>9.9988605341430308</v>
      </c>
      <c r="F75" s="36">
        <f>IF(229028.24="","-",229028.24/2455618.67545*100)</f>
        <v>9.3267021581854443</v>
      </c>
      <c r="G75" s="36">
        <f>IF(OR(2294320.13289="",235566.27207="",198660.24241=""),"-",(198660.24241-235566.27207)/2294320.13289*100)</f>
        <v>-1.6085823913994064</v>
      </c>
      <c r="H75" s="36">
        <f>IF(OR(1986828.81646="",229028.24="",198660.24241=""),"-",(229028.24-198660.24241)/1986828.81646*100)</f>
        <v>1.5284657308377314</v>
      </c>
      <c r="I75" s="63"/>
      <c r="J75" s="64"/>
      <c r="K75" s="28"/>
    </row>
    <row r="76" spans="1:11" x14ac:dyDescent="0.2">
      <c r="A76" s="63" t="s">
        <v>289</v>
      </c>
      <c r="B76" s="64" t="s">
        <v>180</v>
      </c>
      <c r="C76" s="28">
        <f>IF(30692.44742="","-",30692.44742)</f>
        <v>30692.44742</v>
      </c>
      <c r="D76" s="36">
        <f>IF(OR(28136.68148="",30692.44742=""),"-",30692.44742/28136.68148*100)</f>
        <v>109.08339507562994</v>
      </c>
      <c r="E76" s="36">
        <f>IF(28136.68148="","-",28136.68148/1986828.81646*100)</f>
        <v>1.4161603277997588</v>
      </c>
      <c r="F76" s="36">
        <f>IF(30692.44742="","-",30692.44742/2455618.67545*100)</f>
        <v>1.2498865449610377</v>
      </c>
      <c r="G76" s="36">
        <f>IF(OR(2294320.13289="",29743.73512="",28136.68148=""),"-",(28136.68148-29743.73512)/2294320.13289*100)</f>
        <v>-7.0044873728048795E-2</v>
      </c>
      <c r="H76" s="36">
        <f>IF(OR(1986828.81646="",30692.44742="",28136.68148=""),"-",(30692.44742-28136.68148)/1986828.81646*100)</f>
        <v>0.12863543747838807</v>
      </c>
      <c r="I76" s="63"/>
      <c r="J76" s="64"/>
      <c r="K76" s="28"/>
    </row>
    <row r="77" spans="1:11" ht="24" x14ac:dyDescent="0.2">
      <c r="A77" s="63" t="s">
        <v>290</v>
      </c>
      <c r="B77" s="64" t="s">
        <v>203</v>
      </c>
      <c r="C77" s="28">
        <f>IF(19034.91037="","-",19034.91037)</f>
        <v>19034.910370000001</v>
      </c>
      <c r="D77" s="36">
        <f>IF(OR(17402.47107="",19034.91037=""),"-",19034.91037/17402.47107*100)</f>
        <v>109.38050288050272</v>
      </c>
      <c r="E77" s="36">
        <f>IF(17402.47107="","-",17402.47107/1986828.81646*100)</f>
        <v>0.87589181945763062</v>
      </c>
      <c r="F77" s="36">
        <f>IF(19034.91037="","-",19034.91037/2455618.67545*100)</f>
        <v>0.77515742001399268</v>
      </c>
      <c r="G77" s="36">
        <f>IF(OR(2294320.13289="",22906.44046="",17402.47107=""),"-",(17402.47107-22906.44046)/2294320.13289*100)</f>
        <v>-0.23989544053152792</v>
      </c>
      <c r="H77" s="36">
        <f>IF(OR(1986828.81646="",19034.91037="",17402.47107=""),"-",(19034.91037-17402.47107)/1986828.81646*100)</f>
        <v>8.216305735431069E-2</v>
      </c>
      <c r="I77" s="63"/>
      <c r="J77" s="64"/>
      <c r="K77" s="28"/>
    </row>
    <row r="78" spans="1:11" ht="24" x14ac:dyDescent="0.2">
      <c r="A78" s="63" t="s">
        <v>291</v>
      </c>
      <c r="B78" s="64" t="s">
        <v>181</v>
      </c>
      <c r="C78" s="28">
        <f>IF(3206.95631="","-",3206.95631)</f>
        <v>3206.95631</v>
      </c>
      <c r="D78" s="36">
        <f>IF(OR(2394.07911="",3206.95631=""),"-",3206.95631/2394.07911*100)</f>
        <v>133.95364825684476</v>
      </c>
      <c r="E78" s="36">
        <f>IF(2394.07911="","-",2394.07911/1986828.81646*100)</f>
        <v>0.12049750286316119</v>
      </c>
      <c r="F78" s="36">
        <f>IF(3206.95631="","-",3206.95631/2455618.67545*100)</f>
        <v>0.13059667374505185</v>
      </c>
      <c r="G78" s="36">
        <f>IF(OR(2294320.13289="",3469.73139="",2394.07911=""),"-",(2394.07911-3469.73139)/2294320.13289*100)</f>
        <v>-4.6883269016389326E-2</v>
      </c>
      <c r="H78" s="36">
        <f>IF(OR(1986828.81646="",3206.95631="",2394.07911=""),"-",(3206.95631-2394.07911)/1986828.81646*100)</f>
        <v>4.0913298280439214E-2</v>
      </c>
      <c r="I78" s="63"/>
      <c r="J78" s="64"/>
      <c r="K78" s="28"/>
    </row>
    <row r="79" spans="1:11" ht="15.75" customHeight="1" x14ac:dyDescent="0.2">
      <c r="A79" s="63" t="s">
        <v>292</v>
      </c>
      <c r="B79" s="64" t="s">
        <v>35</v>
      </c>
      <c r="C79" s="28">
        <f>IF(50718.96519="","-",50718.96519)</f>
        <v>50718.965190000003</v>
      </c>
      <c r="D79" s="36">
        <f>IF(OR(44352.94112="",50718.96519=""),"-",50718.96519/44352.94112*100)</f>
        <v>114.35310468538327</v>
      </c>
      <c r="E79" s="36">
        <f>IF(44352.94112="","-",44352.94112/1986828.81646*100)</f>
        <v>2.2323483911928124</v>
      </c>
      <c r="F79" s="36">
        <f>IF(50718.96519="","-",50718.96519/2455618.67545*100)</f>
        <v>2.0654251287898187</v>
      </c>
      <c r="G79" s="36">
        <f>IF(OR(2294320.13289="",55550.96201="",44352.94112=""),"-",(44352.94112-55550.96201)/2294320.13289*100)</f>
        <v>-0.48807578024844378</v>
      </c>
      <c r="H79" s="36">
        <f>IF(OR(1986828.81646="",50718.96519="",44352.94112=""),"-",(50718.96519-44352.94112)/1986828.81646*100)</f>
        <v>0.32041130153037339</v>
      </c>
      <c r="I79" s="63"/>
      <c r="J79" s="64"/>
      <c r="K79" s="28"/>
    </row>
    <row r="80" spans="1:11" ht="24" x14ac:dyDescent="0.2">
      <c r="A80" s="67" t="s">
        <v>296</v>
      </c>
      <c r="B80" s="68" t="s">
        <v>182</v>
      </c>
      <c r="C80" s="69">
        <f>IF(838.22921="","-",838.22921)</f>
        <v>838.22920999999997</v>
      </c>
      <c r="D80" s="70">
        <f>IF(562.76738="","-",838.22921/562.76738*100)</f>
        <v>148.94772507958794</v>
      </c>
      <c r="E80" s="70">
        <f>IF(562.76738="","-",562.76738/1986828.81646*100)</f>
        <v>2.8324905262985953E-2</v>
      </c>
      <c r="F80" s="70">
        <f>IF(838.22921="","-",838.22921/2455618.67545*100)</f>
        <v>3.4135153734583479E-2</v>
      </c>
      <c r="G80" s="70">
        <f>IF(2294320.13289="","-",(562.76738-810.87482)/2294320.13289*100)</f>
        <v>-1.0813985216939879E-2</v>
      </c>
      <c r="H80" s="70">
        <f>IF(1986828.81646="","-",(838.22921-562.76738)/1986828.81646*100)</f>
        <v>1.3864396757180097E-2</v>
      </c>
      <c r="I80" s="63"/>
      <c r="J80" s="64"/>
      <c r="K80" s="28"/>
    </row>
    <row r="81" spans="1:11" x14ac:dyDescent="0.2">
      <c r="A81" s="40" t="s">
        <v>299</v>
      </c>
      <c r="B81" s="41"/>
      <c r="C81" s="35"/>
      <c r="D81" s="87"/>
      <c r="E81" s="87"/>
      <c r="F81" s="87"/>
      <c r="G81" s="87"/>
      <c r="H81" s="87"/>
      <c r="I81" s="49"/>
      <c r="J81" s="49"/>
      <c r="K81" s="49"/>
    </row>
    <row r="82" spans="1:11" ht="13.5" x14ac:dyDescent="0.2">
      <c r="A82" s="42" t="s">
        <v>407</v>
      </c>
      <c r="B82" s="42"/>
      <c r="C82" s="42"/>
      <c r="D82" s="42"/>
      <c r="E82" s="42"/>
    </row>
  </sheetData>
  <mergeCells count="12">
    <mergeCell ref="A82:E82"/>
    <mergeCell ref="A5:A7"/>
    <mergeCell ref="B2:H2"/>
    <mergeCell ref="B3:H3"/>
    <mergeCell ref="B5:B7"/>
    <mergeCell ref="C5:D5"/>
    <mergeCell ref="E5:F5"/>
    <mergeCell ref="G5:H5"/>
    <mergeCell ref="C6:C7"/>
    <mergeCell ref="D6:D7"/>
    <mergeCell ref="E6:F6"/>
    <mergeCell ref="G6:H6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2:K83"/>
  <sheetViews>
    <sheetView zoomScaleNormal="100" workbookViewId="0">
      <selection activeCell="B2" sqref="B2:H2"/>
    </sheetView>
  </sheetViews>
  <sheetFormatPr defaultRowHeight="12" x14ac:dyDescent="0.2"/>
  <cols>
    <col min="1" max="1" width="5.25" style="3" customWidth="1"/>
    <col min="2" max="2" width="26.75" style="3" customWidth="1"/>
    <col min="3" max="3" width="11.625" style="3" customWidth="1"/>
    <col min="4" max="4" width="9.625" style="3" customWidth="1"/>
    <col min="5" max="7" width="8.375" style="3" customWidth="1"/>
    <col min="8" max="8" width="8.75" style="3" customWidth="1"/>
    <col min="9" max="16384" width="9" style="3"/>
  </cols>
  <sheetData>
    <row r="2" spans="1:8" x14ac:dyDescent="0.2">
      <c r="B2" s="43" t="s">
        <v>409</v>
      </c>
      <c r="C2" s="43"/>
      <c r="D2" s="43"/>
      <c r="E2" s="43"/>
      <c r="F2" s="43"/>
      <c r="G2" s="43"/>
      <c r="H2" s="43"/>
    </row>
    <row r="3" spans="1:8" x14ac:dyDescent="0.2">
      <c r="B3" s="43" t="s">
        <v>298</v>
      </c>
      <c r="C3" s="43"/>
      <c r="D3" s="43"/>
      <c r="E3" s="43"/>
      <c r="F3" s="43"/>
      <c r="G3" s="43"/>
      <c r="H3" s="43"/>
    </row>
    <row r="4" spans="1:8" x14ac:dyDescent="0.2">
      <c r="B4" s="44"/>
    </row>
    <row r="5" spans="1:8" ht="57" customHeight="1" x14ac:dyDescent="0.2">
      <c r="A5" s="72" t="s">
        <v>223</v>
      </c>
      <c r="B5" s="73"/>
      <c r="C5" s="74" t="s">
        <v>355</v>
      </c>
      <c r="D5" s="47"/>
      <c r="E5" s="74" t="s">
        <v>0</v>
      </c>
      <c r="F5" s="47"/>
      <c r="G5" s="48" t="s">
        <v>119</v>
      </c>
      <c r="H5" s="75"/>
    </row>
    <row r="6" spans="1:8" ht="22.5" customHeight="1" x14ac:dyDescent="0.2">
      <c r="A6" s="76"/>
      <c r="B6" s="77"/>
      <c r="C6" s="78" t="s">
        <v>110</v>
      </c>
      <c r="D6" s="45" t="s">
        <v>356</v>
      </c>
      <c r="E6" s="79" t="s">
        <v>357</v>
      </c>
      <c r="F6" s="79"/>
      <c r="G6" s="79" t="s">
        <v>410</v>
      </c>
      <c r="H6" s="74"/>
    </row>
    <row r="7" spans="1:8" ht="31.5" customHeight="1" x14ac:dyDescent="0.2">
      <c r="A7" s="80"/>
      <c r="B7" s="81"/>
      <c r="C7" s="82"/>
      <c r="D7" s="50"/>
      <c r="E7" s="83">
        <v>2020</v>
      </c>
      <c r="F7" s="83">
        <v>2021</v>
      </c>
      <c r="G7" s="83">
        <v>2020</v>
      </c>
      <c r="H7" s="52">
        <v>2021</v>
      </c>
    </row>
    <row r="8" spans="1:8" x14ac:dyDescent="0.2">
      <c r="A8" s="84"/>
      <c r="B8" s="55" t="s">
        <v>123</v>
      </c>
      <c r="C8" s="19">
        <v>5718897.8837799998</v>
      </c>
      <c r="D8" s="20">
        <f>IF(4325799.3036="","-",5718897.88378/4325799.3036*100)</f>
        <v>132.20442009458552</v>
      </c>
      <c r="E8" s="20">
        <v>100</v>
      </c>
      <c r="F8" s="20">
        <v>100</v>
      </c>
      <c r="G8" s="20">
        <f>IF(4798692.63363="","-",(4325799.3036-4798692.63363)/4798692.63363*100)</f>
        <v>-9.8546284610080725</v>
      </c>
      <c r="H8" s="20">
        <f>IF(4325799.3036="","-",(5718897.88378-4325799.3036)/4325799.3036*100)</f>
        <v>32.204420094585537</v>
      </c>
    </row>
    <row r="9" spans="1:8" ht="12" customHeight="1" x14ac:dyDescent="0.2">
      <c r="A9" s="61" t="s">
        <v>224</v>
      </c>
      <c r="B9" s="62" t="s">
        <v>183</v>
      </c>
      <c r="C9" s="25">
        <v>611620.45423999999</v>
      </c>
      <c r="D9" s="26">
        <f>IF(522443.30759="","-",611620.45424/522443.30759*100)</f>
        <v>117.06924853940018</v>
      </c>
      <c r="E9" s="26">
        <f>IF(522443.30759="","-",522443.30759/4325799.3036*100)</f>
        <v>12.077382026374044</v>
      </c>
      <c r="F9" s="26">
        <f>IF(611620.45424="","-",611620.45424/5718897.88378*100)</f>
        <v>10.694725918689413</v>
      </c>
      <c r="G9" s="26">
        <f>IF(4798692.63363="","-",(522443.30759-483211.17868)/4798692.63363*100)</f>
        <v>0.81755869578007523</v>
      </c>
      <c r="H9" s="26">
        <f>IF(4325799.3036="","-",(611620.45424-522443.30759)/4325799.3036*100)</f>
        <v>2.0615183551346301</v>
      </c>
    </row>
    <row r="10" spans="1:8" x14ac:dyDescent="0.2">
      <c r="A10" s="63" t="s">
        <v>225</v>
      </c>
      <c r="B10" s="64" t="s">
        <v>23</v>
      </c>
      <c r="C10" s="28">
        <v>4580.7294199999997</v>
      </c>
      <c r="D10" s="29">
        <f>IF(OR(5333.60652="",4580.72942=""),"-",4580.72942/5333.60652*100)</f>
        <v>85.884277417599961</v>
      </c>
      <c r="E10" s="29">
        <f>IF(5333.60652="","-",5333.60652/4325799.3036*100)</f>
        <v>0.12329759532674774</v>
      </c>
      <c r="F10" s="29">
        <f>IF(4580.72942="","-",4580.72942/5718897.88378*100)</f>
        <v>8.0098115285322957E-2</v>
      </c>
      <c r="G10" s="29">
        <f>IF(OR(4798692.63363="",4476.05172="",5333.60652=""),"-",(5333.60652-4476.05172)/4798692.63363*100)</f>
        <v>1.7870592377392951E-2</v>
      </c>
      <c r="H10" s="29">
        <f>IF(OR(4325799.3036="",4580.72942="",5333.60652=""),"-",(4580.72942-5333.60652)/4325799.3036*100)</f>
        <v>-1.7404346507093937E-2</v>
      </c>
    </row>
    <row r="11" spans="1:8" ht="14.25" customHeight="1" x14ac:dyDescent="0.2">
      <c r="A11" s="63" t="s">
        <v>226</v>
      </c>
      <c r="B11" s="64" t="s">
        <v>184</v>
      </c>
      <c r="C11" s="28">
        <v>52397.698259999997</v>
      </c>
      <c r="D11" s="29" t="s">
        <v>104</v>
      </c>
      <c r="E11" s="29">
        <f>IF(33569.8774="","-",33569.8774/4325799.3036*100)</f>
        <v>0.77603871663816215</v>
      </c>
      <c r="F11" s="29">
        <f>IF(52397.69826="","-",52397.69826/5718897.88378*100)</f>
        <v>0.91622021104120277</v>
      </c>
      <c r="G11" s="29">
        <f>IF(OR(4798692.63363="",38565.53192="",33569.8774=""),"-",(33569.8774-38565.53192)/4798692.63363*100)</f>
        <v>-0.10410449056456886</v>
      </c>
      <c r="H11" s="29">
        <f>IF(OR(4325799.3036="",52397.69826="",33569.8774=""),"-",(52397.69826-33569.8774)/4325799.3036*100)</f>
        <v>0.43524490015824774</v>
      </c>
    </row>
    <row r="12" spans="1:8" s="32" customFormat="1" x14ac:dyDescent="0.2">
      <c r="A12" s="63" t="s">
        <v>227</v>
      </c>
      <c r="B12" s="64" t="s">
        <v>185</v>
      </c>
      <c r="C12" s="28">
        <v>76112.19945</v>
      </c>
      <c r="D12" s="29">
        <f>IF(OR(65269.66306="",76112.19945=""),"-",76112.19945/65269.66306*100)</f>
        <v>116.61190801618335</v>
      </c>
      <c r="E12" s="29">
        <f>IF(65269.66306="","-",65269.66306/4325799.3036*100)</f>
        <v>1.5088463074484646</v>
      </c>
      <c r="F12" s="29">
        <f>IF(76112.19945="","-",76112.19945/5718897.88378*100)</f>
        <v>1.3308892901527452</v>
      </c>
      <c r="G12" s="29">
        <f>IF(OR(4798692.63363="",54141.95356="",65269.66306=""),"-",(65269.66306-54141.95356)/4798692.63363*100)</f>
        <v>0.23189044078412613</v>
      </c>
      <c r="H12" s="29">
        <f>IF(OR(4325799.3036="",76112.19945="",65269.66306=""),"-",(76112.19945-65269.66306)/4325799.3036*100)</f>
        <v>0.25064816069891793</v>
      </c>
    </row>
    <row r="13" spans="1:8" s="32" customFormat="1" x14ac:dyDescent="0.2">
      <c r="A13" s="63" t="s">
        <v>228</v>
      </c>
      <c r="B13" s="64" t="s">
        <v>186</v>
      </c>
      <c r="C13" s="28">
        <v>59195.224020000001</v>
      </c>
      <c r="D13" s="29">
        <f>IF(OR(46467.91004="",59195.22402=""),"-",59195.22402/46467.91004*100)</f>
        <v>127.3894693543226</v>
      </c>
      <c r="E13" s="29">
        <f>IF(46467.91004="","-",46467.91004/4325799.3036*100)</f>
        <v>1.0742040205454899</v>
      </c>
      <c r="F13" s="29">
        <f>IF(59195.22402="","-",59195.22402/5718897.88378*100)</f>
        <v>1.0350809757923838</v>
      </c>
      <c r="G13" s="29">
        <f>IF(OR(4798692.63363="",46521.25564="",46467.91004=""),"-",(46467.91004-46521.25564)/4798692.63363*100)</f>
        <v>-1.1116694498444456E-3</v>
      </c>
      <c r="H13" s="29">
        <f>IF(OR(4325799.3036="",59195.22402="",46467.91004=""),"-",(59195.22402-46467.91004)/4325799.3036*100)</f>
        <v>0.29421878101020826</v>
      </c>
    </row>
    <row r="14" spans="1:8" s="32" customFormat="1" ht="15" customHeight="1" x14ac:dyDescent="0.2">
      <c r="A14" s="63" t="s">
        <v>229</v>
      </c>
      <c r="B14" s="64" t="s">
        <v>187</v>
      </c>
      <c r="C14" s="28">
        <v>84426.721290000001</v>
      </c>
      <c r="D14" s="29">
        <f>IF(OR(80537.57855="",84426.72129=""),"-",84426.72129/80537.57855*100)</f>
        <v>104.82897898101756</v>
      </c>
      <c r="E14" s="29">
        <f>IF(80537.57855="","-",80537.57855/4325799.3036*100)</f>
        <v>1.8617964657531689</v>
      </c>
      <c r="F14" s="29">
        <f>IF(84426.72129="","-",84426.72129/5718897.88378*100)</f>
        <v>1.4762760763652027</v>
      </c>
      <c r="G14" s="29">
        <f>IF(OR(4798692.63363="",67413.14474="",80537.57855=""),"-",(80537.57855-67413.14474)/4798692.63363*100)</f>
        <v>0.27350019707496759</v>
      </c>
      <c r="H14" s="29">
        <f>IF(OR(4325799.3036="",84426.72129="",80537.57855=""),"-",(84426.72129-80537.57855)/4325799.3036*100)</f>
        <v>8.9905760000548063E-2</v>
      </c>
    </row>
    <row r="15" spans="1:8" s="32" customFormat="1" ht="14.25" customHeight="1" x14ac:dyDescent="0.2">
      <c r="A15" s="63" t="s">
        <v>230</v>
      </c>
      <c r="B15" s="64" t="s">
        <v>188</v>
      </c>
      <c r="C15" s="28">
        <v>139017.69498</v>
      </c>
      <c r="D15" s="29">
        <f>IF(OR(135136.97366="",139017.69498=""),"-",139017.69498/135136.97366*100)</f>
        <v>102.8716947071523</v>
      </c>
      <c r="E15" s="29">
        <f>IF(135136.97366="","-",135136.97366/4325799.3036*100)</f>
        <v>3.1239769618423305</v>
      </c>
      <c r="F15" s="29">
        <f>IF(139017.69498="","-",139017.69498/5718897.88378*100)</f>
        <v>2.4308476529067513</v>
      </c>
      <c r="G15" s="29">
        <f>IF(OR(4798692.63363="",127232.96765="",135136.97366=""),"-",(135136.97366-127232.96765)/4798692.63363*100)</f>
        <v>0.16471165405776259</v>
      </c>
      <c r="H15" s="29">
        <f>IF(OR(4325799.3036="",139017.69498="",135136.97366=""),"-",(139017.69498-135136.97366)/4325799.3036*100)</f>
        <v>8.9711081065883297E-2</v>
      </c>
    </row>
    <row r="16" spans="1:8" s="32" customFormat="1" ht="24" x14ac:dyDescent="0.2">
      <c r="A16" s="63" t="s">
        <v>231</v>
      </c>
      <c r="B16" s="64" t="s">
        <v>146</v>
      </c>
      <c r="C16" s="28">
        <v>14608.9733</v>
      </c>
      <c r="D16" s="29">
        <f>IF(OR(12853.5791="",14608.9733=""),"-",14608.9733/12853.5791*100)</f>
        <v>113.65685142125122</v>
      </c>
      <c r="E16" s="29">
        <f>IF(12853.5791="","-",12853.5791/4325799.3036*100)</f>
        <v>0.29713766631066413</v>
      </c>
      <c r="F16" s="29">
        <f>IF(14608.9733="","-",14608.9733/5718897.88378*100)</f>
        <v>0.255450850791271</v>
      </c>
      <c r="G16" s="29">
        <f>IF(OR(4798692.63363="",12115.13386="",12853.5791=""),"-",(12853.5791-12115.13386)/4798692.63363*100)</f>
        <v>1.5388467159260408E-2</v>
      </c>
      <c r="H16" s="29">
        <f>IF(OR(4325799.3036="",14608.9733="",12853.5791=""),"-",(14608.9733-12853.5791)/4325799.3036*100)</f>
        <v>4.0579649604620613E-2</v>
      </c>
    </row>
    <row r="17" spans="1:8" s="32" customFormat="1" ht="24" x14ac:dyDescent="0.2">
      <c r="A17" s="63" t="s">
        <v>232</v>
      </c>
      <c r="B17" s="64" t="s">
        <v>189</v>
      </c>
      <c r="C17" s="28">
        <v>52994.105000000003</v>
      </c>
      <c r="D17" s="29">
        <f>IF(OR(44654.0964099999="",52994.105=""),"-",52994.105/44654.0964099999*100)</f>
        <v>118.67691714870851</v>
      </c>
      <c r="E17" s="29">
        <f>IF(44654.0964099999="","-",44654.0964099999/4325799.3036*100)</f>
        <v>1.0322738822588935</v>
      </c>
      <c r="F17" s="29">
        <f>IF(52994.105="","-",52994.105/5718897.88378*100)</f>
        <v>0.92664891167758834</v>
      </c>
      <c r="G17" s="29">
        <f>IF(OR(4798692.63363="",42805.88984="",44654.0964099999=""),"-",(44654.0964099999-42805.88984)/4798692.63363*100)</f>
        <v>3.8514793738764763E-2</v>
      </c>
      <c r="H17" s="29">
        <f>IF(OR(4325799.3036="",52994.105="",44654.0964099999=""),"-",(52994.105-44654.0964099999)/4325799.3036*100)</f>
        <v>0.19279693773725046</v>
      </c>
    </row>
    <row r="18" spans="1:8" s="32" customFormat="1" ht="24" x14ac:dyDescent="0.2">
      <c r="A18" s="63" t="s">
        <v>233</v>
      </c>
      <c r="B18" s="64" t="s">
        <v>147</v>
      </c>
      <c r="C18" s="28">
        <v>40518.668570000002</v>
      </c>
      <c r="D18" s="29">
        <f>IF(OR(32480.18047="",40518.66857=""),"-",40518.66857/32480.18047*100)</f>
        <v>124.74890220337498</v>
      </c>
      <c r="E18" s="29">
        <f>IF(32480.18047="","-",32480.18047/4325799.3036*100)</f>
        <v>0.75084806738420495</v>
      </c>
      <c r="F18" s="29">
        <f>IF(40518.66857="","-",40518.66857/5718897.88378*100)</f>
        <v>0.70850484469952668</v>
      </c>
      <c r="G18" s="29">
        <f>IF(OR(4798692.63363="",26236.96995="",32480.18047=""),"-",(32480.18047-26236.96995)/4798692.63363*100)</f>
        <v>0.13010232154163384</v>
      </c>
      <c r="H18" s="29">
        <f>IF(OR(4325799.3036="",40518.66857="",32480.18047=""),"-",(40518.66857-32480.18047)/4325799.3036*100)</f>
        <v>0.185826653892848</v>
      </c>
    </row>
    <row r="19" spans="1:8" s="32" customFormat="1" ht="15" customHeight="1" x14ac:dyDescent="0.2">
      <c r="A19" s="63" t="s">
        <v>234</v>
      </c>
      <c r="B19" s="64" t="s">
        <v>190</v>
      </c>
      <c r="C19" s="28">
        <v>87768.43995</v>
      </c>
      <c r="D19" s="29">
        <f>IF(OR(66139.84238="",87768.43995=""),"-",87768.43995/66139.84238*100)</f>
        <v>132.70131405172546</v>
      </c>
      <c r="E19" s="29">
        <f>IF(66139.84238="","-",66139.84238/4325799.3036*100)</f>
        <v>1.5289623428659149</v>
      </c>
      <c r="F19" s="29">
        <f>IF(87768.43995="","-",87768.43995/5718897.88378*100)</f>
        <v>1.5347089899774184</v>
      </c>
      <c r="G19" s="29">
        <f>IF(OR(4798692.63363="",63702.2798="",66139.84238=""),"-",(66139.84238-63702.2798)/4798692.63363*100)</f>
        <v>5.079638906057829E-2</v>
      </c>
      <c r="H19" s="29">
        <f>IF(OR(4325799.3036="",87768.43995="",66139.84238=""),"-",(87768.43995-66139.84238)/4325799.3036*100)</f>
        <v>0.49999077747320197</v>
      </c>
    </row>
    <row r="20" spans="1:8" s="32" customFormat="1" x14ac:dyDescent="0.2">
      <c r="A20" s="61" t="s">
        <v>235</v>
      </c>
      <c r="B20" s="62" t="s">
        <v>191</v>
      </c>
      <c r="C20" s="25">
        <v>107711.33984</v>
      </c>
      <c r="D20" s="26">
        <f>IF(83983.61047="","-",107711.33984/83983.61047*100)</f>
        <v>128.25280937222371</v>
      </c>
      <c r="E20" s="26">
        <f>IF(83983.61047="","-",83983.61047/4325799.3036*100)</f>
        <v>1.9414587819667797</v>
      </c>
      <c r="F20" s="26">
        <f>IF(107711.33984="","-",107711.33984/5718897.88378*100)</f>
        <v>1.8834282763728318</v>
      </c>
      <c r="G20" s="26">
        <f>IF(4798692.63363="","-",(83983.61047-101964.84686)/4798692.63363*100)</f>
        <v>-0.37471115078270789</v>
      </c>
      <c r="H20" s="26">
        <f>IF(4325799.3036="","-",(107711.33984-83983.61047)/4325799.3036*100)</f>
        <v>0.54851664870937034</v>
      </c>
    </row>
    <row r="21" spans="1:8" s="32" customFormat="1" x14ac:dyDescent="0.2">
      <c r="A21" s="63" t="s">
        <v>236</v>
      </c>
      <c r="B21" s="64" t="s">
        <v>192</v>
      </c>
      <c r="C21" s="28">
        <v>65458.324529999998</v>
      </c>
      <c r="D21" s="29" t="s">
        <v>218</v>
      </c>
      <c r="E21" s="29">
        <f>IF(43554.9167="","-",43554.9167/4325799.3036*100)</f>
        <v>1.0068640184890894</v>
      </c>
      <c r="F21" s="29">
        <f>IF(65458.32453="","-",65458.32453/5718897.88378*100)</f>
        <v>1.1445968412139971</v>
      </c>
      <c r="G21" s="29">
        <f>IF(OR(4798692.63363="",51983.75665="",43554.9167=""),"-",(43554.9167-51983.75665)/4798692.63363*100)</f>
        <v>-0.17564867336843693</v>
      </c>
      <c r="H21" s="29">
        <f>IF(OR(4325799.3036="",65458.32453="",43554.9167=""),"-",(65458.32453-43554.9167)/4325799.3036*100)</f>
        <v>0.50634359785881944</v>
      </c>
    </row>
    <row r="22" spans="1:8" s="32" customFormat="1" x14ac:dyDescent="0.2">
      <c r="A22" s="63" t="s">
        <v>237</v>
      </c>
      <c r="B22" s="64" t="s">
        <v>193</v>
      </c>
      <c r="C22" s="28">
        <v>42253.015310000003</v>
      </c>
      <c r="D22" s="29">
        <f>IF(OR(40428.69377="",42253.01531=""),"-",42253.01531/40428.69377*100)</f>
        <v>104.51244245084598</v>
      </c>
      <c r="E22" s="29">
        <f>IF(40428.69377="","-",40428.69377/4325799.3036*100)</f>
        <v>0.93459476347769033</v>
      </c>
      <c r="F22" s="29">
        <f>IF(42253.01531="","-",42253.01531/5718897.88378*100)</f>
        <v>0.73883143515883476</v>
      </c>
      <c r="G22" s="29">
        <f>IF(OR(4798692.63363="",49981.09021="",40428.69377=""),"-",(40428.69377-49981.09021)/4798692.63363*100)</f>
        <v>-0.19906247741427099</v>
      </c>
      <c r="H22" s="29">
        <f>IF(OR(4325799.3036="",42253.01531="",40428.69377=""),"-",(42253.01531-40428.69377)/4325799.3036*100)</f>
        <v>4.217305085055089E-2</v>
      </c>
    </row>
    <row r="23" spans="1:8" s="32" customFormat="1" ht="24" x14ac:dyDescent="0.2">
      <c r="A23" s="61" t="s">
        <v>238</v>
      </c>
      <c r="B23" s="62" t="s">
        <v>24</v>
      </c>
      <c r="C23" s="25">
        <v>159321.13123</v>
      </c>
      <c r="D23" s="26">
        <f>IF(115634.75125="","-",159321.13123/115634.75125*100)</f>
        <v>137.77962896772348</v>
      </c>
      <c r="E23" s="26">
        <f>IF(115634.75125="","-",115634.75125/4325799.3036*100)</f>
        <v>2.6731418434916039</v>
      </c>
      <c r="F23" s="26">
        <f>IF(159321.13123="","-",159321.13123/5718897.88378*100)</f>
        <v>2.7858712372163232</v>
      </c>
      <c r="G23" s="26">
        <f>IF(4798692.63363="","-",(115634.75125-121605.70735)/4798692.63363*100)</f>
        <v>-0.12442880917511963</v>
      </c>
      <c r="H23" s="26">
        <f>IF(4325799.3036="","-",(159321.13123-115634.75125)/4325799.3036*100)</f>
        <v>1.0099030702520915</v>
      </c>
    </row>
    <row r="24" spans="1:8" s="32" customFormat="1" ht="15.75" customHeight="1" x14ac:dyDescent="0.2">
      <c r="A24" s="63" t="s">
        <v>239</v>
      </c>
      <c r="B24" s="64" t="s">
        <v>200</v>
      </c>
      <c r="C24" s="28">
        <v>15.41886</v>
      </c>
      <c r="D24" s="29" t="str">
        <f>IF(OR(""="",15.41886=""),"-",15.41886/""*100)</f>
        <v>-</v>
      </c>
      <c r="E24" s="29" t="str">
        <f>IF(""="","-",""/4325799.3036*100)</f>
        <v>-</v>
      </c>
      <c r="F24" s="29">
        <f>IF(15.41886="","-",15.41886/5718897.88378*100)</f>
        <v>2.6961243780433881E-4</v>
      </c>
      <c r="G24" s="29" t="str">
        <f>IF(OR(4798692.63363="",18.14="",""=""),"-",(""-18.14)/4798692.63363*100)</f>
        <v>-</v>
      </c>
      <c r="H24" s="29" t="str">
        <f>IF(OR(4325799.3036="",15.41886="",""=""),"-",(15.41886-"")/4325799.3036*100)</f>
        <v>-</v>
      </c>
    </row>
    <row r="25" spans="1:8" s="32" customFormat="1" x14ac:dyDescent="0.2">
      <c r="A25" s="63" t="s">
        <v>240</v>
      </c>
      <c r="B25" s="64" t="s">
        <v>194</v>
      </c>
      <c r="C25" s="28">
        <v>44452.73936</v>
      </c>
      <c r="D25" s="29">
        <f>IF(OR(31303.91263="",44452.73936=""),"-",44452.73936/31303.91263*100)</f>
        <v>142.00378043925048</v>
      </c>
      <c r="E25" s="29">
        <f>IF(31303.91263="","-",31303.91263/4325799.3036*100)</f>
        <v>0.72365614844748749</v>
      </c>
      <c r="F25" s="29">
        <f>IF(44452.73936="","-",44452.73936/5718897.88378*100)</f>
        <v>0.77729556049737025</v>
      </c>
      <c r="G25" s="29">
        <f>IF(OR(4798692.63363="",29851.40432="",31303.91263=""),"-",(31303.91263-29851.40432)/4798692.63363*100)</f>
        <v>3.0268834053270854E-2</v>
      </c>
      <c r="H25" s="29">
        <f>IF(OR(4325799.3036="",44452.73936="",31303.91263=""),"-",(44452.73936-31303.91263)/4325799.3036*100)</f>
        <v>0.30396293972901917</v>
      </c>
    </row>
    <row r="26" spans="1:8" s="32" customFormat="1" ht="24" x14ac:dyDescent="0.2">
      <c r="A26" s="63" t="s">
        <v>294</v>
      </c>
      <c r="B26" s="64" t="s">
        <v>195</v>
      </c>
      <c r="C26" s="28">
        <v>2322.3112099999998</v>
      </c>
      <c r="D26" s="29" t="s">
        <v>20</v>
      </c>
      <c r="E26" s="29">
        <f>IF(1153.19949="","-",1153.19949/4325799.3036*100)</f>
        <v>2.6658645236737839E-2</v>
      </c>
      <c r="F26" s="29">
        <f>IF(2322.31121="","-",2322.31121/5718897.88378*100)</f>
        <v>4.0607670519639177E-2</v>
      </c>
      <c r="G26" s="29">
        <f>IF(OR(4798692.63363="",1312.06409="",1153.19949=""),"-",(1153.19949-1312.06409)/4798692.63363*100)</f>
        <v>-3.3105808629344535E-3</v>
      </c>
      <c r="H26" s="29">
        <f>IF(OR(4325799.3036="",2322.31121="",1153.19949=""),"-",(2322.31121-1153.19949)/4325799.3036*100)</f>
        <v>2.702649008767111E-2</v>
      </c>
    </row>
    <row r="27" spans="1:8" s="32" customFormat="1" x14ac:dyDescent="0.2">
      <c r="A27" s="63" t="s">
        <v>241</v>
      </c>
      <c r="B27" s="64" t="s">
        <v>196</v>
      </c>
      <c r="C27" s="28">
        <v>47026.015529999997</v>
      </c>
      <c r="D27" s="29">
        <f>IF(OR(33014.31612="",47026.01553=""),"-",47026.01553/33014.31612*100)</f>
        <v>142.44128322716259</v>
      </c>
      <c r="E27" s="29">
        <f>IF(33014.31612="","-",33014.31612/4325799.3036*100)</f>
        <v>0.7631957426347763</v>
      </c>
      <c r="F27" s="29">
        <f>IF(47026.01553="","-",47026.01553/5718897.88378*100)</f>
        <v>0.82229157585372681</v>
      </c>
      <c r="G27" s="29">
        <f>IF(OR(4798692.63363="",32881.21965="",33014.31612=""),"-",(33014.31612-32881.21965)/4798692.63363*100)</f>
        <v>2.7735985644765583E-3</v>
      </c>
      <c r="H27" s="29">
        <f>IF(OR(4325799.3036="",47026.01553="",33014.31612=""),"-",(47026.01553-33014.31612)/4325799.3036*100)</f>
        <v>0.32391006670927219</v>
      </c>
    </row>
    <row r="28" spans="1:8" s="32" customFormat="1" ht="14.25" customHeight="1" x14ac:dyDescent="0.2">
      <c r="A28" s="63" t="s">
        <v>242</v>
      </c>
      <c r="B28" s="64" t="s">
        <v>148</v>
      </c>
      <c r="C28" s="28">
        <v>519.52148</v>
      </c>
      <c r="D28" s="29">
        <f>IF(OR(388.71438="",519.52148=""),"-",519.52148/388.71438*100)</f>
        <v>133.6512119772878</v>
      </c>
      <c r="E28" s="29">
        <f>IF(388.71438="","-",388.71438/4325799.3036*100)</f>
        <v>8.985955027467539E-3</v>
      </c>
      <c r="F28" s="29">
        <f>IF(519.52148="","-",519.52148/5718897.88378*100)</f>
        <v>9.0842936971032903E-3</v>
      </c>
      <c r="G28" s="29">
        <f>IF(OR(4798692.63363="",387.77482="",388.71438=""),"-",(388.71438-387.77482)/4798692.63363*100)</f>
        <v>1.9579499495663523E-5</v>
      </c>
      <c r="H28" s="29">
        <f>IF(OR(4325799.3036="",519.52148="",388.71438=""),"-",(519.52148-388.71438)/4325799.3036*100)</f>
        <v>3.023882774476851E-3</v>
      </c>
    </row>
    <row r="29" spans="1:8" s="32" customFormat="1" ht="36" x14ac:dyDescent="0.2">
      <c r="A29" s="63" t="s">
        <v>243</v>
      </c>
      <c r="B29" s="64" t="s">
        <v>149</v>
      </c>
      <c r="C29" s="28">
        <v>8597.8330800000003</v>
      </c>
      <c r="D29" s="29">
        <f>IF(OR(6366.16259="",8597.83308=""),"-",8597.83308/6366.16259*100)</f>
        <v>135.05519154514712</v>
      </c>
      <c r="E29" s="29">
        <f>IF(6366.16259="","-",6366.16259/4325799.3036*100)</f>
        <v>0.14716731274846653</v>
      </c>
      <c r="F29" s="29">
        <f>IF(8597.83308="","-",8597.83308/5718897.88378*100)</f>
        <v>0.15034073443390669</v>
      </c>
      <c r="G29" s="29">
        <f>IF(OR(4798692.63363="",6581.45236="",6366.16259=""),"-",(6366.16259-6581.45236)/4798692.63363*100)</f>
        <v>-4.4864255003793201E-3</v>
      </c>
      <c r="H29" s="29">
        <f>IF(OR(4325799.3036="",8597.83308="",6366.16259=""),"-",(8597.83308-6366.16259)/4325799.3036*100)</f>
        <v>5.1589783375820694E-2</v>
      </c>
    </row>
    <row r="30" spans="1:8" s="32" customFormat="1" ht="36" x14ac:dyDescent="0.2">
      <c r="A30" s="63" t="s">
        <v>244</v>
      </c>
      <c r="B30" s="64" t="s">
        <v>150</v>
      </c>
      <c r="C30" s="28">
        <v>16254.78767</v>
      </c>
      <c r="D30" s="29">
        <f>IF(OR(14457.75502="",16254.78767=""),"-",16254.78767/14457.75502*100)</f>
        <v>112.42954142959324</v>
      </c>
      <c r="E30" s="29">
        <f>IF(14457.75502="","-",14457.75502/4325799.3036*100)</f>
        <v>0.33422158554531234</v>
      </c>
      <c r="F30" s="29">
        <f>IF(16254.78767="","-",16254.78767/5718897.88378*100)</f>
        <v>0.28422937426636002</v>
      </c>
      <c r="G30" s="29">
        <f>IF(OR(4798692.63363="",21122.0878="",14457.75502=""),"-",(14457.75502-21122.0878)/4798692.63363*100)</f>
        <v>-0.13887809219734765</v>
      </c>
      <c r="H30" s="29">
        <f>IF(OR(4325799.3036="",16254.78767="",14457.75502=""),"-",(16254.78767-14457.75502)/4325799.3036*100)</f>
        <v>4.1542210441998073E-2</v>
      </c>
    </row>
    <row r="31" spans="1:8" s="32" customFormat="1" ht="24" x14ac:dyDescent="0.2">
      <c r="A31" s="63" t="s">
        <v>245</v>
      </c>
      <c r="B31" s="64" t="s">
        <v>151</v>
      </c>
      <c r="C31" s="28">
        <v>1087.3806099999999</v>
      </c>
      <c r="D31" s="29">
        <f>IF(OR(1307.30562="",1087.38061=""),"-",1087.38061/1307.30562*100)</f>
        <v>83.177230585148081</v>
      </c>
      <c r="E31" s="29">
        <f>IF(1307.30562="","-",1307.30562/4325799.3036*100)</f>
        <v>3.0221134367284196E-2</v>
      </c>
      <c r="F31" s="29">
        <f>IF(1087.38061="","-",1087.38061/5718897.88378*100)</f>
        <v>1.9013814061692561E-2</v>
      </c>
      <c r="G31" s="29">
        <f>IF(OR(4798692.63363="",1260.8907="",1307.30562=""),"-",(1307.30562-1260.8907)/4798692.63363*100)</f>
        <v>9.672409454757956E-4</v>
      </c>
      <c r="H31" s="29">
        <f>IF(OR(4325799.3036="",1087.38061="",1307.30562=""),"-",(1087.38061-1307.30562)/4325799.3036*100)</f>
        <v>-5.0840317491607856E-3</v>
      </c>
    </row>
    <row r="32" spans="1:8" s="32" customFormat="1" ht="24" x14ac:dyDescent="0.2">
      <c r="A32" s="63" t="s">
        <v>246</v>
      </c>
      <c r="B32" s="64" t="s">
        <v>152</v>
      </c>
      <c r="C32" s="28">
        <v>39045.12343</v>
      </c>
      <c r="D32" s="29">
        <f>IF(OR(27643.3854="",39045.12343=""),"-",39045.12343/27643.3854*100)</f>
        <v>141.24580931393447</v>
      </c>
      <c r="E32" s="29">
        <f>IF(27643.3854="","-",27643.3854/4325799.3036*100)</f>
        <v>0.63903531948407144</v>
      </c>
      <c r="F32" s="29">
        <f>IF(39045.12343="","-",39045.12343/5718897.88378*100)</f>
        <v>0.68273860144871978</v>
      </c>
      <c r="G32" s="29">
        <f>IF(OR(4798692.63363="",28190.67361="",27643.3854=""),"-",(27643.3854-28190.67361)/4798692.63363*100)</f>
        <v>-1.1404944050063131E-2</v>
      </c>
      <c r="H32" s="29">
        <f>IF(OR(4325799.3036="",39045.12343="",27643.3854=""),"-",(39045.12343-27643.3854)/4325799.3036*100)</f>
        <v>0.26357528932309199</v>
      </c>
    </row>
    <row r="33" spans="1:8" s="32" customFormat="1" ht="24" x14ac:dyDescent="0.2">
      <c r="A33" s="61" t="s">
        <v>247</v>
      </c>
      <c r="B33" s="62" t="s">
        <v>153</v>
      </c>
      <c r="C33" s="25">
        <v>783648.05944999994</v>
      </c>
      <c r="D33" s="26" t="s">
        <v>103</v>
      </c>
      <c r="E33" s="26">
        <f>IF(470058.77798="","-",470058.77798/4325799.3036*100)</f>
        <v>10.866402830774176</v>
      </c>
      <c r="F33" s="26">
        <f>IF(783648.05945="","-",783648.05945/5718897.88378*100)</f>
        <v>13.702781119288579</v>
      </c>
      <c r="G33" s="26">
        <f>IF(4798692.63363="","-",(470058.77798-745080.35679)/4798692.63363*100)</f>
        <v>-5.7311772144480582</v>
      </c>
      <c r="H33" s="26">
        <f>IF(4325799.3036="","-",(783648.05945-470058.77798)/4325799.3036*100)</f>
        <v>7.2492794848116482</v>
      </c>
    </row>
    <row r="34" spans="1:8" s="32" customFormat="1" x14ac:dyDescent="0.2">
      <c r="A34" s="63" t="s">
        <v>248</v>
      </c>
      <c r="B34" s="64" t="s">
        <v>197</v>
      </c>
      <c r="C34" s="28">
        <v>15458.8734</v>
      </c>
      <c r="D34" s="29">
        <f>IF(OR(12735.34536="",15458.8734=""),"-",15458.8734/12735.34536*100)</f>
        <v>121.38558447385522</v>
      </c>
      <c r="E34" s="29">
        <f>IF(12735.34536="","-",12735.34536/4325799.3036*100)</f>
        <v>0.29440444334533594</v>
      </c>
      <c r="F34" s="29">
        <f>IF(15458.8734="","-",15458.8734/5718897.88378*100)</f>
        <v>0.27031210758010954</v>
      </c>
      <c r="G34" s="29">
        <f>IF(OR(4798692.63363="",16417.68241="",12735.34536=""),"-",(12735.34536-16417.68241)/4798692.63363*100)</f>
        <v>-7.6736255708348536E-2</v>
      </c>
      <c r="H34" s="29">
        <f>IF(OR(4325799.3036="",15458.8734="",12735.34536=""),"-",(15458.8734-12735.34536)/4325799.3036*100)</f>
        <v>6.2960110926400054E-2</v>
      </c>
    </row>
    <row r="35" spans="1:8" s="32" customFormat="1" ht="24" x14ac:dyDescent="0.2">
      <c r="A35" s="63" t="s">
        <v>249</v>
      </c>
      <c r="B35" s="64" t="s">
        <v>154</v>
      </c>
      <c r="C35" s="28">
        <v>516084.15496999997</v>
      </c>
      <c r="D35" s="29" t="s">
        <v>103</v>
      </c>
      <c r="E35" s="29">
        <f>IF(306874.38153="","-",306874.38153/4325799.3036*100)</f>
        <v>7.0940503706358777</v>
      </c>
      <c r="F35" s="29">
        <f>IF(516084.15497="","-",516084.15497/5718897.88378*100)</f>
        <v>9.0241890213448901</v>
      </c>
      <c r="G35" s="29">
        <f>IF(OR(4798692.63363="",488952.70996="",306874.38153=""),"-",(306874.38153-488952.70996)/4798692.63363*100)</f>
        <v>-3.7943319635428652</v>
      </c>
      <c r="H35" s="29">
        <f>IF(OR(4325799.3036="",516084.15497="",306874.38153=""),"-",(516084.15497-306874.38153)/4325799.3036*100)</f>
        <v>4.8363263932723877</v>
      </c>
    </row>
    <row r="36" spans="1:8" s="32" customFormat="1" ht="24" x14ac:dyDescent="0.2">
      <c r="A36" s="63" t="s">
        <v>295</v>
      </c>
      <c r="B36" s="64" t="s">
        <v>198</v>
      </c>
      <c r="C36" s="28">
        <v>244394.96059</v>
      </c>
      <c r="D36" s="29" t="s">
        <v>103</v>
      </c>
      <c r="E36" s="29">
        <f>IF(141755.62893="","-",141755.62893/4325799.3036*100)</f>
        <v>3.2769811769128694</v>
      </c>
      <c r="F36" s="29">
        <f>IF(244394.96059="","-",244394.96059/5718897.88378*100)</f>
        <v>4.2734625719258883</v>
      </c>
      <c r="G36" s="29">
        <f>IF(OR(4798692.63363="",205514.60267="",141755.62893=""),"-",(141755.62893-205514.60267)/4798692.63363*100)</f>
        <v>-1.3286738411451271</v>
      </c>
      <c r="H36" s="29">
        <f>IF(OR(4325799.3036="",244394.96059="",141755.62893=""),"-",(244394.96059-141755.62893)/4325799.3036*100)</f>
        <v>2.372725234260912</v>
      </c>
    </row>
    <row r="37" spans="1:8" s="32" customFormat="1" x14ac:dyDescent="0.2">
      <c r="A37" s="63" t="s">
        <v>305</v>
      </c>
      <c r="B37" s="64" t="s">
        <v>308</v>
      </c>
      <c r="C37" s="28">
        <v>7710.0704900000001</v>
      </c>
      <c r="D37" s="29">
        <f>IF(OR(8693.42216="",7710.07049=""),"-",7710.07049/8693.42216*100)</f>
        <v>88.688554956820369</v>
      </c>
      <c r="E37" s="29">
        <f>IF(8693.42216="","-",8693.42216/4325799.3036*100)</f>
        <v>0.20096683988009323</v>
      </c>
      <c r="F37" s="29">
        <f>IF(7710.07049="","-",7710.07049/5718897.88378*100)</f>
        <v>0.13481741843769207</v>
      </c>
      <c r="G37" s="29">
        <f>IF(OR(4798692.63363="",34195.36175="",8693.42216=""),"-",(8693.42216-34195.36175)/4798692.63363*100)</f>
        <v>-0.53143515405171715</v>
      </c>
      <c r="H37" s="29">
        <f>IF(OR(4325799.3036="",7710.07049="",8693.42216=""),"-",(7710.07049-8693.42216)/4325799.3036*100)</f>
        <v>-2.2732253648051561E-2</v>
      </c>
    </row>
    <row r="38" spans="1:8" s="32" customFormat="1" ht="24" x14ac:dyDescent="0.2">
      <c r="A38" s="61" t="s">
        <v>250</v>
      </c>
      <c r="B38" s="62" t="s">
        <v>155</v>
      </c>
      <c r="C38" s="25">
        <v>11338.389939999999</v>
      </c>
      <c r="D38" s="26">
        <f>IF(9484.65938="","-",11338.38994/9484.65938*100)</f>
        <v>119.54451378516453</v>
      </c>
      <c r="E38" s="26">
        <f>IF(9484.65938="","-",9484.65938/4325799.3036*100)</f>
        <v>0.21925796169292255</v>
      </c>
      <c r="F38" s="26">
        <f>IF(11338.38994="","-",11338.38994/5718897.88378*100)</f>
        <v>0.19826180096969492</v>
      </c>
      <c r="G38" s="26">
        <f>IF(4798692.63363="","-",(9484.65938-9383.80344)/4798692.63363*100)</f>
        <v>2.1017378627917324E-3</v>
      </c>
      <c r="H38" s="26">
        <f>IF(4325799.3036="","-",(11338.38994-9484.65938)/4325799.3036*100)</f>
        <v>4.2852902548144001E-2</v>
      </c>
    </row>
    <row r="39" spans="1:8" s="32" customFormat="1" x14ac:dyDescent="0.2">
      <c r="A39" s="63" t="s">
        <v>251</v>
      </c>
      <c r="B39" s="64" t="s">
        <v>201</v>
      </c>
      <c r="C39" s="28">
        <v>1577.48857</v>
      </c>
      <c r="D39" s="29">
        <f>IF(OR(1446.47302="",1577.48857=""),"-",1577.48857/1446.47302*100)</f>
        <v>109.0575868466596</v>
      </c>
      <c r="E39" s="29">
        <f>IF(1446.47302="","-",1446.47302/4325799.3036*100)</f>
        <v>3.3438283158356924E-2</v>
      </c>
      <c r="F39" s="29">
        <f>IF(1577.48857="","-",1577.48857/5718897.88378*100)</f>
        <v>2.7583786282914583E-2</v>
      </c>
      <c r="G39" s="29">
        <f>IF(OR(4798692.63363="",1366.73111="",1446.47302=""),"-",(1446.47302-1366.73111)/4798692.63363*100)</f>
        <v>1.661742397109496E-3</v>
      </c>
      <c r="H39" s="29">
        <f>IF(OR(4325799.3036="",1577.48857="",1446.47302=""),"-",(1577.48857-1446.47302)/4325799.3036*100)</f>
        <v>3.0287015371001334E-3</v>
      </c>
    </row>
    <row r="40" spans="1:8" s="32" customFormat="1" ht="24" x14ac:dyDescent="0.2">
      <c r="A40" s="63" t="s">
        <v>252</v>
      </c>
      <c r="B40" s="64" t="s">
        <v>156</v>
      </c>
      <c r="C40" s="28">
        <v>8079.3582100000003</v>
      </c>
      <c r="D40" s="29">
        <f>IF(OR(6630.8383="",8079.35821=""),"-",8079.35821/6630.8383*100)</f>
        <v>121.84520032708383</v>
      </c>
      <c r="E40" s="29">
        <f>IF(6630.8383="","-",6630.8383/4325799.3036*100)</f>
        <v>0.15328585157618638</v>
      </c>
      <c r="F40" s="29">
        <f>IF(8079.35821="","-",8079.35821/5718897.88378*100)</f>
        <v>0.14127474164060114</v>
      </c>
      <c r="G40" s="29">
        <f>IF(OR(4798692.63363="",5827.07234="",6630.8383=""),"-",(6630.8383-5827.07234)/4798692.63363*100)</f>
        <v>1.67496862451052E-2</v>
      </c>
      <c r="H40" s="29">
        <f>IF(OR(4325799.3036="",8079.35821="",6630.8383=""),"-",(8079.35821-6630.8383)/4325799.3036*100)</f>
        <v>3.3485601349894305E-2</v>
      </c>
    </row>
    <row r="41" spans="1:8" s="32" customFormat="1" ht="60" x14ac:dyDescent="0.2">
      <c r="A41" s="63" t="s">
        <v>253</v>
      </c>
      <c r="B41" s="64" t="s">
        <v>199</v>
      </c>
      <c r="C41" s="28">
        <v>1681.5431599999999</v>
      </c>
      <c r="D41" s="29">
        <f>IF(OR(1407.34806="",1681.54316=""),"-",1681.54316/1407.34806*100)</f>
        <v>119.48310498257268</v>
      </c>
      <c r="E41" s="29">
        <f>IF(1407.34806="","-",1407.34806/4325799.3036*100)</f>
        <v>3.2533826958379281E-2</v>
      </c>
      <c r="F41" s="29">
        <f>IF(1681.54316="","-",1681.54316/5718897.88378*100)</f>
        <v>2.9403273046179245E-2</v>
      </c>
      <c r="G41" s="29">
        <f>IF(OR(4798692.63363="",2189.99999="",1407.34806=""),"-",(1407.34806-2189.99999)/4798692.63363*100)</f>
        <v>-1.6309690779422934E-2</v>
      </c>
      <c r="H41" s="29">
        <f>IF(OR(4325799.3036="",1681.54316="",1407.34806=""),"-",(1681.54316-1407.34806)/4325799.3036*100)</f>
        <v>6.338599661149566E-3</v>
      </c>
    </row>
    <row r="42" spans="1:8" s="32" customFormat="1" ht="24" x14ac:dyDescent="0.2">
      <c r="A42" s="61" t="s">
        <v>254</v>
      </c>
      <c r="B42" s="62" t="s">
        <v>157</v>
      </c>
      <c r="C42" s="25">
        <v>843090.81174000003</v>
      </c>
      <c r="D42" s="26">
        <f>IF(673735.19595="","-",843090.81174/673735.19595*100)</f>
        <v>125.13682182674162</v>
      </c>
      <c r="E42" s="26">
        <f>IF(673735.19595="","-",673735.19595/4325799.3036*100)</f>
        <v>15.574814009270069</v>
      </c>
      <c r="F42" s="26">
        <f>IF(843090.81174="","-",843090.81174/5718897.88378*100)</f>
        <v>14.742190346345987</v>
      </c>
      <c r="G42" s="26">
        <f>IF(4798692.63363="","-",(673735.19595-702551.37913)/4798692.63363*100)</f>
        <v>-0.60050070675607903</v>
      </c>
      <c r="H42" s="26">
        <f>IF(4325799.3036="","-",(843090.81174-673735.19595)/4325799.3036*100)</f>
        <v>3.9150132473566122</v>
      </c>
    </row>
    <row r="43" spans="1:8" s="32" customFormat="1" x14ac:dyDescent="0.2">
      <c r="A43" s="63" t="s">
        <v>255</v>
      </c>
      <c r="B43" s="64" t="s">
        <v>25</v>
      </c>
      <c r="C43" s="28">
        <v>12197.672039999999</v>
      </c>
      <c r="D43" s="29">
        <f>IF(OR(10375.68364="",12197.67204=""),"-",12197.67204/10375.68364*100)</f>
        <v>117.5601768829567</v>
      </c>
      <c r="E43" s="29">
        <f>IF(10375.68364="","-",10375.68364/4325799.3036*100)</f>
        <v>0.23985587198567412</v>
      </c>
      <c r="F43" s="29">
        <f>IF(12197.67204="","-",12197.67204/5718897.88378*100)</f>
        <v>0.21328711034682346</v>
      </c>
      <c r="G43" s="29">
        <f>IF(OR(4798692.63363="",19130.01622="",10375.68364=""),"-",(10375.68364-19130.01622)/4798692.63363*100)</f>
        <v>-0.18243161728359614</v>
      </c>
      <c r="H43" s="29">
        <f>IF(OR(4325799.3036="",12197.67204="",10375.68364=""),"-",(12197.67204-10375.68364)/4325799.3036*100)</f>
        <v>4.2119115384842566E-2</v>
      </c>
    </row>
    <row r="44" spans="1:8" s="32" customFormat="1" x14ac:dyDescent="0.2">
      <c r="A44" s="63" t="s">
        <v>256</v>
      </c>
      <c r="B44" s="64" t="s">
        <v>26</v>
      </c>
      <c r="C44" s="28">
        <v>13638.173559999999</v>
      </c>
      <c r="D44" s="29">
        <f>IF(OR(13243.578="",13638.17356=""),"-",13638.17356/13243.578*100)</f>
        <v>102.97952381146544</v>
      </c>
      <c r="E44" s="29">
        <f>IF(13243.578="","-",13243.578/4325799.3036*100)</f>
        <v>0.30615331573470084</v>
      </c>
      <c r="F44" s="29">
        <f>IF(13638.17356="","-",13638.17356/5718897.88378*100)</f>
        <v>0.23847555660472161</v>
      </c>
      <c r="G44" s="29">
        <f>IF(OR(4798692.63363="",15189.16355="",13243.578=""),"-",(13243.578-15189.16355)/4798692.63363*100)</f>
        <v>-4.0544075200087362E-2</v>
      </c>
      <c r="H44" s="29">
        <f>IF(OR(4325799.3036="",13638.17356="",13243.578=""),"-",(13638.17356-13243.578)/4325799.3036*100)</f>
        <v>9.1219109419064109E-3</v>
      </c>
    </row>
    <row r="45" spans="1:8" s="32" customFormat="1" x14ac:dyDescent="0.2">
      <c r="A45" s="63" t="s">
        <v>257</v>
      </c>
      <c r="B45" s="64" t="s">
        <v>158</v>
      </c>
      <c r="C45" s="28">
        <v>43520.3796</v>
      </c>
      <c r="D45" s="29">
        <f>IF(OR(36359.34163="",43520.3796=""),"-",43520.3796/36359.34163*100)</f>
        <v>119.69518052024199</v>
      </c>
      <c r="E45" s="29">
        <f>IF(36359.34163="","-",36359.34163/4325799.3036*100)</f>
        <v>0.84052308205193826</v>
      </c>
      <c r="F45" s="29">
        <f>IF(43520.3796="","-",43520.3796/5718897.88378*100)</f>
        <v>0.76099242344286255</v>
      </c>
      <c r="G45" s="29">
        <f>IF(OR(4798692.63363="",33121.53196="",36359.34163=""),"-",(36359.34163-33121.53196)/4798692.63363*100)</f>
        <v>6.7472745541335949E-2</v>
      </c>
      <c r="H45" s="29">
        <f>IF(OR(4325799.3036="",43520.3796="",36359.34163=""),"-",(43520.3796-36359.34163)/4325799.3036*100)</f>
        <v>0.16554253832443094</v>
      </c>
    </row>
    <row r="46" spans="1:8" s="32" customFormat="1" x14ac:dyDescent="0.2">
      <c r="A46" s="63" t="s">
        <v>258</v>
      </c>
      <c r="B46" s="64" t="s">
        <v>159</v>
      </c>
      <c r="C46" s="28">
        <v>260140.71679000001</v>
      </c>
      <c r="D46" s="29">
        <f>IF(OR(198136.65137="",260140.71679=""),"-",260140.71679/198136.65137*100)</f>
        <v>131.29358702253109</v>
      </c>
      <c r="E46" s="29">
        <f>IF(198136.65137="","-",198136.65137/4325799.3036*100)</f>
        <v>4.5803477568898643</v>
      </c>
      <c r="F46" s="29">
        <f>IF(260140.71679="","-",260140.71679/5718897.88378*100)</f>
        <v>4.5487910796206714</v>
      </c>
      <c r="G46" s="29">
        <f>IF(OR(4798692.63363="",216643.55291="",198136.65137=""),"-",(198136.65137-216643.55291)/4798692.63363*100)</f>
        <v>-0.38566549168622904</v>
      </c>
      <c r="H46" s="29">
        <f>IF(OR(4325799.3036="",260140.71679="",198136.65137=""),"-",(260140.71679-198136.65137)/4325799.3036*100)</f>
        <v>1.4333551112368808</v>
      </c>
    </row>
    <row r="47" spans="1:8" s="32" customFormat="1" ht="39.75" customHeight="1" x14ac:dyDescent="0.2">
      <c r="A47" s="63" t="s">
        <v>259</v>
      </c>
      <c r="B47" s="64" t="s">
        <v>160</v>
      </c>
      <c r="C47" s="28">
        <v>113717.15995</v>
      </c>
      <c r="D47" s="29">
        <f>IF(OR(91929.41553="",113717.15995=""),"-",113717.15995/91929.41553*100)</f>
        <v>123.70051445925907</v>
      </c>
      <c r="E47" s="29">
        <f>IF(91929.41553="","-",91929.41553/4325799.3036*100)</f>
        <v>2.1251428713647176</v>
      </c>
      <c r="F47" s="29">
        <f>IF(113717.15995="","-",113717.15995/5718897.88378*100)</f>
        <v>1.9884453658899182</v>
      </c>
      <c r="G47" s="29">
        <f>IF(OR(4798692.63363="",93564.58728="",91929.41553=""),"-",(91929.41553-93564.58728)/4798692.63363*100)</f>
        <v>-3.4075359162211501E-2</v>
      </c>
      <c r="H47" s="29">
        <f>IF(OR(4325799.3036="",113717.15995="",91929.41553=""),"-",(113717.15995-91929.41553)/4325799.3036*100)</f>
        <v>0.50366979350770824</v>
      </c>
    </row>
    <row r="48" spans="1:8" s="32" customFormat="1" x14ac:dyDescent="0.2">
      <c r="A48" s="63" t="s">
        <v>260</v>
      </c>
      <c r="B48" s="64" t="s">
        <v>161</v>
      </c>
      <c r="C48" s="28">
        <v>74985.760859999995</v>
      </c>
      <c r="D48" s="29">
        <f>IF(OR(67394.27833="",74985.76086=""),"-",74985.76086/67394.27833*100)</f>
        <v>111.26428343490504</v>
      </c>
      <c r="E48" s="29">
        <f>IF(67394.27833="","-",67394.27833/4325799.3036*100)</f>
        <v>1.5579612829914091</v>
      </c>
      <c r="F48" s="29">
        <f>IF(74985.76086="","-",74985.76086/5718897.88378*100)</f>
        <v>1.3111925126810784</v>
      </c>
      <c r="G48" s="29">
        <f>IF(OR(4798692.63363="",74707.15034="",67394.27833=""),"-",(67394.27833-74707.15034)/4798692.63363*100)</f>
        <v>-0.15239300718596194</v>
      </c>
      <c r="H48" s="29">
        <f>IF(OR(4325799.3036="",74985.76086="",67394.27833=""),"-",(74985.76086-67394.27833)/4325799.3036*100)</f>
        <v>0.17549317472223547</v>
      </c>
    </row>
    <row r="49" spans="1:8" s="32" customFormat="1" x14ac:dyDescent="0.2">
      <c r="A49" s="63" t="s">
        <v>261</v>
      </c>
      <c r="B49" s="64" t="s">
        <v>27</v>
      </c>
      <c r="C49" s="28">
        <v>58048.041949999999</v>
      </c>
      <c r="D49" s="29">
        <f>IF(OR(38949.34409="",58048.04195=""),"-",58048.04195/38949.34409*100)</f>
        <v>149.03470984227297</v>
      </c>
      <c r="E49" s="29">
        <f>IF(38949.34409="","-",38949.34409/4325799.3036*100)</f>
        <v>0.90039646678905616</v>
      </c>
      <c r="F49" s="29">
        <f>IF(58048.04195="","-",58048.04195/5718897.88378*100)</f>
        <v>1.015021480181286</v>
      </c>
      <c r="G49" s="29">
        <f>IF(OR(4798692.63363="",44928.78233="",38949.34409=""),"-",(38949.34409-44928.78233)/4798692.63363*100)</f>
        <v>-0.12460556856872121</v>
      </c>
      <c r="H49" s="29">
        <f>IF(OR(4325799.3036="",58048.04195="",38949.34409=""),"-",(58048.04195-38949.34409)/4325799.3036*100)</f>
        <v>0.44150679492009148</v>
      </c>
    </row>
    <row r="50" spans="1:8" s="32" customFormat="1" x14ac:dyDescent="0.2">
      <c r="A50" s="63" t="s">
        <v>262</v>
      </c>
      <c r="B50" s="64" t="s">
        <v>28</v>
      </c>
      <c r="C50" s="28">
        <v>131062.99586</v>
      </c>
      <c r="D50" s="29">
        <f>IF(OR(99641.76097="",131062.99586=""),"-",131062.99586/99641.76097*100)</f>
        <v>131.53420271191339</v>
      </c>
      <c r="E50" s="29">
        <f>IF(99641.76097="","-",99641.76097/4325799.3036*100)</f>
        <v>2.3034300478775456</v>
      </c>
      <c r="F50" s="29">
        <f>IF(131062.99586="","-",131062.99586/5718897.88378*100)</f>
        <v>2.291752685980323</v>
      </c>
      <c r="G50" s="29">
        <f>IF(OR(4798692.63363="",96008.7749="",99641.76097=""),"-",(99641.76097-96008.7749)/4798692.63363*100)</f>
        <v>7.5707830181484345E-2</v>
      </c>
      <c r="H50" s="29">
        <f>IF(OR(4325799.3036="",131062.99586="",99641.76097=""),"-",(131062.99586-99641.76097)/4325799.3036*100)</f>
        <v>0.72636830062482871</v>
      </c>
    </row>
    <row r="51" spans="1:8" s="32" customFormat="1" x14ac:dyDescent="0.2">
      <c r="A51" s="63" t="s">
        <v>263</v>
      </c>
      <c r="B51" s="64" t="s">
        <v>162</v>
      </c>
      <c r="C51" s="28">
        <v>135779.91112999999</v>
      </c>
      <c r="D51" s="29">
        <f>IF(OR(117705.14239="",135779.91113=""),"-",135779.91113/117705.14239*100)</f>
        <v>115.35597202721331</v>
      </c>
      <c r="E51" s="29">
        <f>IF(117705.14239="","-",117705.14239/4325799.3036*100)</f>
        <v>2.7210033135851646</v>
      </c>
      <c r="F51" s="29">
        <f>IF(135779.91113="","-",135779.91113/5718897.88378*100)</f>
        <v>2.3742321315983008</v>
      </c>
      <c r="G51" s="29">
        <f>IF(OR(4798692.63363="",109257.81964="",117705.14239=""),"-",(117705.14239-109257.81964)/4798692.63363*100)</f>
        <v>0.17603383660790883</v>
      </c>
      <c r="H51" s="29">
        <f>IF(OR(4325799.3036="",135779.91113="",117705.14239=""),"-",(135779.91113-117705.14239)/4325799.3036*100)</f>
        <v>0.41783650769368524</v>
      </c>
    </row>
    <row r="52" spans="1:8" s="32" customFormat="1" ht="24" x14ac:dyDescent="0.2">
      <c r="A52" s="61" t="s">
        <v>264</v>
      </c>
      <c r="B52" s="62" t="s">
        <v>361</v>
      </c>
      <c r="C52" s="25">
        <v>1079220.30648</v>
      </c>
      <c r="D52" s="26">
        <f>IF(865462.51251="","-",1079220.30648/865462.51251*100)</f>
        <v>124.69867739852339</v>
      </c>
      <c r="E52" s="26">
        <f>IF(865462.51251="","-",865462.51251/4325799.3036*100)</f>
        <v>20.006996436236609</v>
      </c>
      <c r="F52" s="26">
        <f>IF(1079220.30648="","-",1079220.30648/5718897.88378*100)</f>
        <v>18.8711239195387</v>
      </c>
      <c r="G52" s="26">
        <f>IF(4798692.63363="","-",(865462.51251-950380.68859)/4798692.63363*100)</f>
        <v>-1.7696106536367833</v>
      </c>
      <c r="H52" s="26">
        <f>IF(4325799.3036="","-",(1079220.30648-865462.51251)/4325799.3036*100)</f>
        <v>4.94146350692015</v>
      </c>
    </row>
    <row r="53" spans="1:8" s="32" customFormat="1" x14ac:dyDescent="0.2">
      <c r="A53" s="63" t="s">
        <v>265</v>
      </c>
      <c r="B53" s="64" t="s">
        <v>163</v>
      </c>
      <c r="C53" s="28">
        <v>45611.64086</v>
      </c>
      <c r="D53" s="29">
        <f>IF(OR(38422.00074="",45611.64086=""),"-",45611.64086/38422.00074*100)</f>
        <v>118.71230019657742</v>
      </c>
      <c r="E53" s="29">
        <f>IF(38422.00074="","-",38422.00074/4325799.3036*100)</f>
        <v>0.88820580991874931</v>
      </c>
      <c r="F53" s="29">
        <f>IF(45611.64086="","-",45611.64086/5718897.88378*100)</f>
        <v>0.79755998073272538</v>
      </c>
      <c r="G53" s="29">
        <f>IF(OR(4798692.63363="",45599.73931="",38422.00074=""),"-",(38422.00074-45599.73931)/4798692.63363*100)</f>
        <v>-0.14957696018488997</v>
      </c>
      <c r="H53" s="29">
        <f>IF(OR(4325799.3036="",45611.64086="",38422.00074=""),"-",(45611.64086-38422.00074)/4325799.3036*100)</f>
        <v>0.16620373751543815</v>
      </c>
    </row>
    <row r="54" spans="1:8" s="32" customFormat="1" x14ac:dyDescent="0.2">
      <c r="A54" s="63" t="s">
        <v>266</v>
      </c>
      <c r="B54" s="64" t="s">
        <v>29</v>
      </c>
      <c r="C54" s="28">
        <v>59874.121550000003</v>
      </c>
      <c r="D54" s="29">
        <f>IF(OR(49045.31278="",59874.12155=""),"-",59874.12155/49045.31278*100)</f>
        <v>122.07919198838475</v>
      </c>
      <c r="E54" s="29">
        <f>IF(49045.31278="","-",49045.31278/4325799.3036*100)</f>
        <v>1.1337861361063075</v>
      </c>
      <c r="F54" s="29">
        <f>IF(59874.12155="","-",59874.12155/5718897.88378*100)</f>
        <v>1.0469521010300888</v>
      </c>
      <c r="G54" s="29">
        <f>IF(OR(4798692.63363="",56755.86224="",49045.31278=""),"-",(49045.31278-56755.86224)/4798692.63363*100)</f>
        <v>-0.16068021123010146</v>
      </c>
      <c r="H54" s="29">
        <f>IF(OR(4325799.3036="",59874.12155="",49045.31278=""),"-",(59874.12155-49045.31278)/4325799.3036*100)</f>
        <v>0.25033081772860089</v>
      </c>
    </row>
    <row r="55" spans="1:8" s="32" customFormat="1" x14ac:dyDescent="0.2">
      <c r="A55" s="63" t="s">
        <v>267</v>
      </c>
      <c r="B55" s="64" t="s">
        <v>164</v>
      </c>
      <c r="C55" s="28">
        <v>93672.876730000004</v>
      </c>
      <c r="D55" s="29">
        <f>IF(OR(73947.03538="",93672.87673=""),"-",93672.87673/73947.03538*100)</f>
        <v>126.6756351334879</v>
      </c>
      <c r="E55" s="29">
        <f>IF(73947.03538="","-",73947.03538/4325799.3036*100)</f>
        <v>1.7094421213314286</v>
      </c>
      <c r="F55" s="29">
        <f>IF(93672.87673="","-",93672.87673/5718897.88378*100)</f>
        <v>1.6379533020807389</v>
      </c>
      <c r="G55" s="29">
        <f>IF(OR(4798692.63363="",77296.11151="",73947.03538=""),"-",(73947.03538-77296.11151)/4798692.63363*100)</f>
        <v>-6.9791428326314214E-2</v>
      </c>
      <c r="H55" s="29">
        <f>IF(OR(4325799.3036="",93672.87673="",73947.03538=""),"-",(93672.87673-73947.03538)/4325799.3036*100)</f>
        <v>0.45600454310452726</v>
      </c>
    </row>
    <row r="56" spans="1:8" s="32" customFormat="1" ht="24" x14ac:dyDescent="0.2">
      <c r="A56" s="63" t="s">
        <v>268</v>
      </c>
      <c r="B56" s="64" t="s">
        <v>165</v>
      </c>
      <c r="C56" s="28">
        <v>91709.318910000002</v>
      </c>
      <c r="D56" s="29">
        <f>IF(OR(76264.31816="",91709.31891=""),"-",91709.31891/76264.31816*100)</f>
        <v>120.25193579728453</v>
      </c>
      <c r="E56" s="29">
        <f>IF(76264.31816="","-",76264.31816/4325799.3036*100)</f>
        <v>1.7630110138612209</v>
      </c>
      <c r="F56" s="29">
        <f>IF(91709.31891="","-",91709.31891/5718897.88378*100)</f>
        <v>1.6036187526639873</v>
      </c>
      <c r="G56" s="29">
        <f>IF(OR(4798692.63363="",87157.26874="",76264.31816=""),"-",(76264.31816-87157.26874)/4798692.63363*100)</f>
        <v>-0.22699829748753811</v>
      </c>
      <c r="H56" s="29">
        <f>IF(OR(4325799.3036="",91709.31891="",76264.31816=""),"-",(91709.31891-76264.31816)/4325799.3036*100)</f>
        <v>0.3570438586262295</v>
      </c>
    </row>
    <row r="57" spans="1:8" s="32" customFormat="1" ht="27" customHeight="1" x14ac:dyDescent="0.2">
      <c r="A57" s="63" t="s">
        <v>269</v>
      </c>
      <c r="B57" s="64" t="s">
        <v>166</v>
      </c>
      <c r="C57" s="28">
        <v>262749.83007000003</v>
      </c>
      <c r="D57" s="29">
        <f>IF(OR(210663.73787="",262749.83007=""),"-",262749.83007/210663.73787*100)</f>
        <v>124.7247545907223</v>
      </c>
      <c r="E57" s="29">
        <f>IF(210663.73787="","-",210663.73787/4325799.3036*100)</f>
        <v>4.869937856217283</v>
      </c>
      <c r="F57" s="29">
        <f>IF(262749.83007="","-",262749.83007/5718897.88378*100)</f>
        <v>4.594413738619358</v>
      </c>
      <c r="G57" s="29">
        <f>IF(OR(4798692.63363="",227664.74914="",210663.73787=""),"-",(210663.73787-227664.74914)/4798692.63363*100)</f>
        <v>-0.35428423047673863</v>
      </c>
      <c r="H57" s="29">
        <f>IF(OR(4325799.3036="",262749.83007="",210663.73787=""),"-",(262749.83007-210663.73787)/4325799.3036*100)</f>
        <v>1.2040801836704058</v>
      </c>
    </row>
    <row r="58" spans="1:8" s="32" customFormat="1" ht="16.5" customHeight="1" x14ac:dyDescent="0.2">
      <c r="A58" s="63" t="s">
        <v>270</v>
      </c>
      <c r="B58" s="64" t="s">
        <v>30</v>
      </c>
      <c r="C58" s="28">
        <v>137127.62774</v>
      </c>
      <c r="D58" s="29">
        <f>IF(OR(115981.92658="",137127.62774=""),"-",137127.62774/115981.92658*100)</f>
        <v>118.23189335056827</v>
      </c>
      <c r="E58" s="29">
        <f>IF(115981.92658="","-",115981.92658/4325799.3036*100)</f>
        <v>2.6811675355229254</v>
      </c>
      <c r="F58" s="29">
        <f>IF(137127.62774="","-",137127.62774/5718897.88378*100)</f>
        <v>2.3977981514396833</v>
      </c>
      <c r="G58" s="29">
        <f>IF(OR(4798692.63363="",109786.29127="",115981.92658=""),"-",(115981.92658-109786.29127)/4798692.63363*100)</f>
        <v>0.12911090130215888</v>
      </c>
      <c r="H58" s="29">
        <f>IF(OR(4325799.3036="",137127.62774="",115981.92658=""),"-",(137127.62774-115981.92658)/4325799.3036*100)</f>
        <v>0.48882760562659949</v>
      </c>
    </row>
    <row r="59" spans="1:8" s="32" customFormat="1" ht="16.5" customHeight="1" x14ac:dyDescent="0.2">
      <c r="A59" s="63" t="s">
        <v>271</v>
      </c>
      <c r="B59" s="64" t="s">
        <v>167</v>
      </c>
      <c r="C59" s="28">
        <v>147343.06789000001</v>
      </c>
      <c r="D59" s="29">
        <f>IF(OR(111634.74963="",147343.06789=""),"-",147343.06789/111634.74963*100)</f>
        <v>131.98674102674207</v>
      </c>
      <c r="E59" s="29">
        <f>IF(111634.74963="","-",111634.74963/4325799.3036*100)</f>
        <v>2.5806733460125106</v>
      </c>
      <c r="F59" s="29">
        <f>IF(147343.06789="","-",147343.06789/5718897.88378*100)</f>
        <v>2.5764241796989591</v>
      </c>
      <c r="G59" s="29">
        <f>IF(OR(4798692.63363="",123873.83907="",111634.74963=""),"-",(111634.74963-123873.83907)/4798692.63363*100)</f>
        <v>-0.25505049759233406</v>
      </c>
      <c r="H59" s="29">
        <f>IF(OR(4325799.3036="",147343.06789="",111634.74963=""),"-",(147343.06789-111634.74963)/4325799.3036*100)</f>
        <v>0.82547329993518104</v>
      </c>
    </row>
    <row r="60" spans="1:8" s="32" customFormat="1" ht="15.75" customHeight="1" x14ac:dyDescent="0.2">
      <c r="A60" s="63" t="s">
        <v>272</v>
      </c>
      <c r="B60" s="64" t="s">
        <v>31</v>
      </c>
      <c r="C60" s="28">
        <v>63241.459860000003</v>
      </c>
      <c r="D60" s="29">
        <f>IF(OR(51977.02877="",63241.45986=""),"-",63241.45986/51977.02877*100)</f>
        <v>121.67194115663185</v>
      </c>
      <c r="E60" s="29">
        <f>IF(51977.02877="","-",51977.02877/4325799.3036*100)</f>
        <v>1.2015589518160001</v>
      </c>
      <c r="F60" s="29">
        <f>IF(63241.45986="","-",63241.45986/5718897.88378*100)</f>
        <v>1.1058329969375063</v>
      </c>
      <c r="G60" s="29">
        <f>IF(OR(4798692.63363="",78300.83732="",51977.02877=""),"-",(51977.02877-78300.83732)/4798692.63363*100)</f>
        <v>-0.54856208888059588</v>
      </c>
      <c r="H60" s="29">
        <f>IF(OR(4325799.3036="",63241.45986="",51977.02877=""),"-",(63241.45986-51977.02877)/4325799.3036*100)</f>
        <v>0.26040114899980599</v>
      </c>
    </row>
    <row r="61" spans="1:8" s="32" customFormat="1" x14ac:dyDescent="0.2">
      <c r="A61" s="63" t="s">
        <v>273</v>
      </c>
      <c r="B61" s="64" t="s">
        <v>32</v>
      </c>
      <c r="C61" s="28">
        <v>177890.36287000001</v>
      </c>
      <c r="D61" s="29">
        <f>IF(OR(137526.4026="",177890.36287=""),"-",177890.36287/137526.4026*100)</f>
        <v>129.34997171953947</v>
      </c>
      <c r="E61" s="29">
        <f>IF(137526.4026="","-",137526.4026/4325799.3036*100)</f>
        <v>3.1792136654501819</v>
      </c>
      <c r="F61" s="29">
        <f>IF(177890.36287="","-",177890.36287/5718897.88378*100)</f>
        <v>3.1105707163356526</v>
      </c>
      <c r="G61" s="29">
        <f>IF(OR(4798692.63363="",143945.98999="",137526.4026=""),"-",(137526.4026-143945.98999)/4798692.63363*100)</f>
        <v>-0.13377784076042948</v>
      </c>
      <c r="H61" s="29">
        <f>IF(OR(4325799.3036="",177890.36287="",137526.4026=""),"-",(177890.36287-137526.4026)/4325799.3036*100)</f>
        <v>0.93309831171336288</v>
      </c>
    </row>
    <row r="62" spans="1:8" s="32" customFormat="1" ht="24" x14ac:dyDescent="0.2">
      <c r="A62" s="61" t="s">
        <v>274</v>
      </c>
      <c r="B62" s="62" t="s">
        <v>168</v>
      </c>
      <c r="C62" s="25">
        <v>1454192.9078200001</v>
      </c>
      <c r="D62" s="26">
        <f>IF(1115472.16555="","-",1454192.90782/1115472.16555*100)</f>
        <v>130.36568304714166</v>
      </c>
      <c r="E62" s="26">
        <f>IF(1115472.16555="","-",1115472.16555/4325799.3036*100)</f>
        <v>25.78649833850789</v>
      </c>
      <c r="F62" s="26">
        <f>IF(1454192.90782="","-",1454192.90782/5718897.88378*100)</f>
        <v>25.427852313019923</v>
      </c>
      <c r="G62" s="26">
        <f>IF(4798692.63363="","-",(1115472.16555-1162420.92431)/4798692.63363*100)</f>
        <v>-0.97836561631340013</v>
      </c>
      <c r="H62" s="26">
        <f>IF(4325799.3036="","-",(1454192.90782-1115472.16555)/4325799.3036*100)</f>
        <v>7.8302463544277501</v>
      </c>
    </row>
    <row r="63" spans="1:8" s="32" customFormat="1" ht="24" x14ac:dyDescent="0.2">
      <c r="A63" s="63" t="s">
        <v>275</v>
      </c>
      <c r="B63" s="64" t="s">
        <v>169</v>
      </c>
      <c r="C63" s="28">
        <v>23061.06179</v>
      </c>
      <c r="D63" s="29">
        <f>IF(OR(16706.53539="",23061.06179=""),"-",23061.06179/16706.53539*100)</f>
        <v>138.03617118486227</v>
      </c>
      <c r="E63" s="29">
        <f>IF(16706.53539="","-",16706.53539/4325799.3036*100)</f>
        <v>0.38620689998485486</v>
      </c>
      <c r="F63" s="29">
        <f>IF(23061.06179="","-",23061.06179/5718897.88378*100)</f>
        <v>0.40324311184863137</v>
      </c>
      <c r="G63" s="29">
        <f>IF(OR(4798692.63363="",17117.89784="",16706.53539=""),"-",(16706.53539-17117.89784)/4798692.63363*100)</f>
        <v>-8.572385885211883E-3</v>
      </c>
      <c r="H63" s="29">
        <f>IF(OR(4325799.3036="",23061.06179="",16706.53539=""),"-",(23061.06179-16706.53539)/4325799.3036*100)</f>
        <v>0.14689831760598926</v>
      </c>
    </row>
    <row r="64" spans="1:8" s="32" customFormat="1" ht="27" customHeight="1" x14ac:dyDescent="0.2">
      <c r="A64" s="63" t="s">
        <v>276</v>
      </c>
      <c r="B64" s="64" t="s">
        <v>170</v>
      </c>
      <c r="C64" s="28">
        <v>201327.14975000001</v>
      </c>
      <c r="D64" s="29" t="s">
        <v>218</v>
      </c>
      <c r="E64" s="29">
        <f>IF(132078.96858="","-",132078.96858/4325799.3036*100)</f>
        <v>3.0532847067149356</v>
      </c>
      <c r="F64" s="29">
        <f>IF(201327.14975="","-",201327.14975/5718897.88378*100)</f>
        <v>3.5203837145091588</v>
      </c>
      <c r="G64" s="29">
        <f>IF(OR(4798692.63363="",164825.30566="",132078.96858=""),"-",(132078.96858-164825.30566)/4798692.63363*100)</f>
        <v>-0.68240122008458082</v>
      </c>
      <c r="H64" s="29">
        <f>IF(OR(4325799.3036="",201327.14975="",132078.96858=""),"-",(201327.14975-132078.96858)/4325799.3036*100)</f>
        <v>1.6008181681561269</v>
      </c>
    </row>
    <row r="65" spans="1:8" s="32" customFormat="1" ht="24" x14ac:dyDescent="0.2">
      <c r="A65" s="63" t="s">
        <v>277</v>
      </c>
      <c r="B65" s="64" t="s">
        <v>171</v>
      </c>
      <c r="C65" s="28">
        <v>14527.402249999999</v>
      </c>
      <c r="D65" s="29">
        <f>IF(OR(11706.01248="",14527.40225=""),"-",14527.40225/11706.01248*100)</f>
        <v>124.10205674067419</v>
      </c>
      <c r="E65" s="29">
        <f>IF(11706.01248="","-",11706.01248/4325799.3036*100)</f>
        <v>0.27060923677753762</v>
      </c>
      <c r="F65" s="29">
        <f>IF(14527.40225="","-",14527.40225/5718897.88378*100)</f>
        <v>0.25402450865931309</v>
      </c>
      <c r="G65" s="29">
        <f>IF(OR(4798692.63363="",8893.13307="",11706.01248=""),"-",(11706.01248-8893.13307)/4798692.63363*100)</f>
        <v>5.8617619938541053E-2</v>
      </c>
      <c r="H65" s="29">
        <f>IF(OR(4325799.3036="",14527.40225="",11706.01248=""),"-",(14527.40225-11706.01248)/4325799.3036*100)</f>
        <v>6.5222391793627446E-2</v>
      </c>
    </row>
    <row r="66" spans="1:8" s="32" customFormat="1" ht="27.75" customHeight="1" x14ac:dyDescent="0.2">
      <c r="A66" s="63" t="s">
        <v>278</v>
      </c>
      <c r="B66" s="64" t="s">
        <v>172</v>
      </c>
      <c r="C66" s="28">
        <v>202879.10978999999</v>
      </c>
      <c r="D66" s="29">
        <f>IF(OR(166400.71574="",202879.10979=""),"-",202879.10979/166400.71574*100)</f>
        <v>121.92201751523545</v>
      </c>
      <c r="E66" s="29">
        <f>IF(166400.71574="","-",166400.71574/4325799.3036*100)</f>
        <v>3.8467044830655608</v>
      </c>
      <c r="F66" s="29">
        <f>IF(202879.10979="","-",202879.10979/5718897.88378*100)</f>
        <v>3.5475211118108598</v>
      </c>
      <c r="G66" s="29">
        <f>IF(OR(4798692.63363="",159595.1104="",166400.71574=""),"-",(166400.71574-159595.1104)/4798692.63363*100)</f>
        <v>0.14182207237665623</v>
      </c>
      <c r="H66" s="29">
        <f>IF(OR(4325799.3036="",202879.10979="",166400.71574=""),"-",(202879.10979-166400.71574)/4325799.3036*100)</f>
        <v>0.84327523053697984</v>
      </c>
    </row>
    <row r="67" spans="1:8" s="32" customFormat="1" ht="27" customHeight="1" x14ac:dyDescent="0.2">
      <c r="A67" s="63" t="s">
        <v>279</v>
      </c>
      <c r="B67" s="64" t="s">
        <v>173</v>
      </c>
      <c r="C67" s="28">
        <v>62020.079429999998</v>
      </c>
      <c r="D67" s="29">
        <f>IF(OR(44363.15487="",62020.07943=""),"-",62020.07943/44363.15487*100)</f>
        <v>139.80087667737143</v>
      </c>
      <c r="E67" s="29">
        <f>IF(44363.15487="","-",44363.15487/4325799.3036*100)</f>
        <v>1.0255481532183026</v>
      </c>
      <c r="F67" s="29">
        <f>IF(62020.07943="","-",62020.07943/5718897.88378*100)</f>
        <v>1.0844760772158919</v>
      </c>
      <c r="G67" s="29">
        <f>IF(OR(4798692.63363="",36429.58648="",44363.15487=""),"-",(44363.15487-36429.58648)/4798692.63363*100)</f>
        <v>0.16532770476692535</v>
      </c>
      <c r="H67" s="29">
        <f>IF(OR(4325799.3036="",62020.07943="",44363.15487=""),"-",(62020.07943-44363.15487)/4325799.3036*100)</f>
        <v>0.40817715572947688</v>
      </c>
    </row>
    <row r="68" spans="1:8" s="32" customFormat="1" ht="41.25" customHeight="1" x14ac:dyDescent="0.2">
      <c r="A68" s="63" t="s">
        <v>280</v>
      </c>
      <c r="B68" s="64" t="s">
        <v>174</v>
      </c>
      <c r="C68" s="28">
        <v>150036.76180000001</v>
      </c>
      <c r="D68" s="29">
        <f>IF(OR(129844.20229="",150036.7618=""),"-",150036.7618/129844.20229*100)</f>
        <v>115.55137553612214</v>
      </c>
      <c r="E68" s="29">
        <f>IF(129844.20229="","-",129844.20229/4325799.3036*100)</f>
        <v>3.0016233573744753</v>
      </c>
      <c r="F68" s="29">
        <f>IF(150036.7618="","-",150036.7618/5718897.88378*100)</f>
        <v>2.6235258060042637</v>
      </c>
      <c r="G68" s="29">
        <f>IF(OR(4798692.63363="",130826.56958="",129844.20229=""),"-",(129844.20229-130826.56958)/4798692.63363*100)</f>
        <v>-2.047156100633345E-2</v>
      </c>
      <c r="H68" s="29">
        <f>IF(OR(4325799.3036="",150036.7618="",129844.20229=""),"-",(150036.7618-129844.20229)/4325799.3036*100)</f>
        <v>0.46679372048526224</v>
      </c>
    </row>
    <row r="69" spans="1:8" s="32" customFormat="1" ht="48" x14ac:dyDescent="0.2">
      <c r="A69" s="63" t="s">
        <v>281</v>
      </c>
      <c r="B69" s="64" t="s">
        <v>175</v>
      </c>
      <c r="C69" s="28">
        <v>432048.66813000001</v>
      </c>
      <c r="D69" s="29">
        <f>IF(OR(330021.04216="",432048.66813=""),"-",432048.66813/330021.04216*100)</f>
        <v>130.91549111602865</v>
      </c>
      <c r="E69" s="29">
        <f>IF(330021.04216="","-",330021.04216/4325799.3036*100)</f>
        <v>7.6291343864554966</v>
      </c>
      <c r="F69" s="29">
        <f>IF(432048.66813="","-",432048.66813/5718897.88378*100)</f>
        <v>7.5547540262151065</v>
      </c>
      <c r="G69" s="29">
        <f>IF(OR(4798692.63363="",364846.90823="",330021.04216=""),"-",(330021.04216-364846.90823)/4798692.63363*100)</f>
        <v>-0.7257365438647766</v>
      </c>
      <c r="H69" s="29">
        <f>IF(OR(4325799.3036="",432048.66813="",330021.04216=""),"-",(432048.66813-330021.04216)/4325799.3036*100)</f>
        <v>2.3585843634745363</v>
      </c>
    </row>
    <row r="70" spans="1:8" s="32" customFormat="1" ht="24" x14ac:dyDescent="0.2">
      <c r="A70" s="63" t="s">
        <v>282</v>
      </c>
      <c r="B70" s="64" t="s">
        <v>176</v>
      </c>
      <c r="C70" s="28">
        <v>365002.57737999997</v>
      </c>
      <c r="D70" s="29" t="s">
        <v>104</v>
      </c>
      <c r="E70" s="29">
        <f>IF(231972.29023="","-",231972.29023/4325799.3036*100)</f>
        <v>5.3625301117633661</v>
      </c>
      <c r="F70" s="29">
        <f>IF(365002.57738="","-",365002.57738/5718897.88378*100)</f>
        <v>6.3823936848955505</v>
      </c>
      <c r="G70" s="29">
        <f>IF(OR(4798692.63363="",271437.90976="",231972.29023=""),"-",(231972.29023-271437.90976)/4798692.63363*100)</f>
        <v>-0.82242440896127966</v>
      </c>
      <c r="H70" s="29">
        <f>IF(OR(4325799.3036="",365002.57738="",231972.29023=""),"-",(365002.57738-231972.29023)/4325799.3036*100)</f>
        <v>3.0752764475062446</v>
      </c>
    </row>
    <row r="71" spans="1:8" s="32" customFormat="1" x14ac:dyDescent="0.2">
      <c r="A71" s="63" t="s">
        <v>283</v>
      </c>
      <c r="B71" s="64" t="s">
        <v>33</v>
      </c>
      <c r="C71" s="28">
        <v>3290.0974999999999</v>
      </c>
      <c r="D71" s="29">
        <f>IF(OR(52379.24381="",3290.0975=""),"-",3290.0975/52379.24381*100)</f>
        <v>6.2813001118047262</v>
      </c>
      <c r="E71" s="29">
        <f>IF(52379.24381="","-",52379.24381/4325799.3036*100)</f>
        <v>1.2108570031533628</v>
      </c>
      <c r="F71" s="29">
        <f>IF(3290.0975="","-",3290.0975/5718897.88378*100)</f>
        <v>5.753027186114671E-2</v>
      </c>
      <c r="G71" s="29">
        <f>IF(OR(4798692.63363="",8448.50329="",52379.24381=""),"-",(52379.24381-8448.50329)/4798692.63363*100)</f>
        <v>0.91547310640665747</v>
      </c>
      <c r="H71" s="29">
        <f>IF(OR(4325799.3036="",3290.0975="",52379.24381=""),"-",(3290.0975-52379.24381)/4325799.3036*100)</f>
        <v>-1.1347994408604951</v>
      </c>
    </row>
    <row r="72" spans="1:8" s="32" customFormat="1" x14ac:dyDescent="0.2">
      <c r="A72" s="61" t="s">
        <v>284</v>
      </c>
      <c r="B72" s="62" t="s">
        <v>34</v>
      </c>
      <c r="C72" s="25">
        <v>668395.79697999998</v>
      </c>
      <c r="D72" s="26">
        <f>IF(469334.24556="","-",668395.79698/469334.24556*100)</f>
        <v>142.41360039314492</v>
      </c>
      <c r="E72" s="26">
        <f>IF(469334.24556="","-",469334.24556/4325799.3036*100)</f>
        <v>10.849653731494488</v>
      </c>
      <c r="F72" s="26">
        <f>IF(668395.79698="","-",668395.79698/5718897.88378*100)</f>
        <v>11.687493124780413</v>
      </c>
      <c r="G72" s="26">
        <f>IF(4798692.63363="","-",(469334.24556-521947.16383)/4798692.63363*100)</f>
        <v>-1.096401088523159</v>
      </c>
      <c r="H72" s="26">
        <f>IF(4325799.3036="","-",(668395.79698-469334.24556)/4325799.3036*100)</f>
        <v>4.6017287777160103</v>
      </c>
    </row>
    <row r="73" spans="1:8" ht="36" x14ac:dyDescent="0.2">
      <c r="A73" s="63" t="s">
        <v>285</v>
      </c>
      <c r="B73" s="64" t="s">
        <v>202</v>
      </c>
      <c r="C73" s="28">
        <v>61113.485509999999</v>
      </c>
      <c r="D73" s="29">
        <f>IF(OR(42943.2489="",61113.48551=""),"-",61113.48551/42943.2489*100)</f>
        <v>142.31220756564602</v>
      </c>
      <c r="E73" s="29">
        <f>IF(42943.2489="","-",42943.2489/4325799.3036*100)</f>
        <v>0.99272402361020151</v>
      </c>
      <c r="F73" s="29">
        <f>IF(61113.48551="","-",61113.48551/5718897.88378*100)</f>
        <v>1.0686234787183511</v>
      </c>
      <c r="G73" s="29">
        <f>IF(OR(4798692.63363="",41523.25682="",42943.2489=""),"-",(42943.2489-41523.25682)/4798692.63363*100)</f>
        <v>2.9591228036746221E-2</v>
      </c>
      <c r="H73" s="29">
        <f>IF(OR(4325799.3036="",61113.48551="",42943.2489=""),"-",(61113.48551-42943.2489)/4325799.3036*100)</f>
        <v>0.42004344942398125</v>
      </c>
    </row>
    <row r="74" spans="1:8" x14ac:dyDescent="0.2">
      <c r="A74" s="63" t="s">
        <v>286</v>
      </c>
      <c r="B74" s="64" t="s">
        <v>177</v>
      </c>
      <c r="C74" s="28">
        <v>60782.434050000003</v>
      </c>
      <c r="D74" s="29">
        <f>IF(OR(43419.35972="",60782.43405=""),"-",60782.43405/43419.35972*100)</f>
        <v>139.98924544712287</v>
      </c>
      <c r="E74" s="29">
        <f>IF(43419.35972="","-",43419.35972/4325799.3036*100)</f>
        <v>1.0037303321923814</v>
      </c>
      <c r="F74" s="29">
        <f>IF(60782.43405="","-",60782.43405/5718897.88378*100)</f>
        <v>1.062834750422661</v>
      </c>
      <c r="G74" s="29">
        <f>IF(OR(4798692.63363="",47193.8972="",43419.35972=""),"-",(43419.35972-47193.8972)/4798692.63363*100)</f>
        <v>-7.8657621318511645E-2</v>
      </c>
      <c r="H74" s="29">
        <f>IF(OR(4325799.3036="",60782.43405="",43419.35972=""),"-",(60782.43405-43419.35972)/4325799.3036*100)</f>
        <v>0.40138418616763316</v>
      </c>
    </row>
    <row r="75" spans="1:8" x14ac:dyDescent="0.2">
      <c r="A75" s="63" t="s">
        <v>287</v>
      </c>
      <c r="B75" s="64" t="s">
        <v>178</v>
      </c>
      <c r="C75" s="28">
        <v>9956.8141300000007</v>
      </c>
      <c r="D75" s="29">
        <f>IF(OR(7270.51464="",9956.81413=""),"-",9956.81413/7270.51464*100)</f>
        <v>136.94785889324609</v>
      </c>
      <c r="E75" s="29">
        <f>IF(7270.51464="","-",7270.51464/4325799.3036*100)</f>
        <v>0.16807332309544182</v>
      </c>
      <c r="F75" s="29">
        <f>IF(9956.81413="","-",9956.81413/5718897.88378*100)</f>
        <v>0.17410372299599236</v>
      </c>
      <c r="G75" s="29">
        <f>IF(OR(4798692.63363="",7767.9615="",7270.51464=""),"-",(7270.51464-7767.9615)/4798692.63363*100)</f>
        <v>-1.0366299698251424E-2</v>
      </c>
      <c r="H75" s="29">
        <f>IF(OR(4325799.3036="",9956.81413="",7270.51464=""),"-",(9956.81413-7270.51464)/4325799.3036*100)</f>
        <v>6.2099494254493459E-2</v>
      </c>
    </row>
    <row r="76" spans="1:8" x14ac:dyDescent="0.2">
      <c r="A76" s="63" t="s">
        <v>288</v>
      </c>
      <c r="B76" s="64" t="s">
        <v>179</v>
      </c>
      <c r="C76" s="28">
        <v>165160.02945999999</v>
      </c>
      <c r="D76" s="29">
        <f>IF(OR(110526.16432="",165160.02946=""),"-",165160.02946/110526.16432*100)</f>
        <v>149.43070763029624</v>
      </c>
      <c r="E76" s="29">
        <f>IF(110526.16432="","-",110526.16432/4325799.3036*100)</f>
        <v>2.5550460519057907</v>
      </c>
      <c r="F76" s="29">
        <f>IF(165160.02946="","-",165160.02946/5718897.88378*100)</f>
        <v>2.8879695496649567</v>
      </c>
      <c r="G76" s="29">
        <f>IF(OR(4798692.63363="",120180.80818="",110526.16432=""),"-",(110526.16432-120180.80818)/4798692.63363*100)</f>
        <v>-0.20119321234160184</v>
      </c>
      <c r="H76" s="29">
        <f>IF(OR(4325799.3036="",165160.02946="",110526.16432=""),"-",(165160.02946-110526.16432)/4325799.3036*100)</f>
        <v>1.2629773437369785</v>
      </c>
    </row>
    <row r="77" spans="1:8" x14ac:dyDescent="0.2">
      <c r="A77" s="63" t="s">
        <v>289</v>
      </c>
      <c r="B77" s="64" t="s">
        <v>180</v>
      </c>
      <c r="C77" s="28">
        <v>43253.582990000003</v>
      </c>
      <c r="D77" s="29">
        <f>IF(OR(32634.05588="",43253.58299=""),"-",43253.58299/32634.05588*100)</f>
        <v>132.54124203577234</v>
      </c>
      <c r="E77" s="29">
        <f>IF(32634.05588="","-",32634.05588/4325799.3036*100)</f>
        <v>0.75440522293397683</v>
      </c>
      <c r="F77" s="29">
        <f>IF(43253.58299="","-",43253.58299/5718897.88378*100)</f>
        <v>0.75632724816920205</v>
      </c>
      <c r="G77" s="29">
        <f>IF(OR(4798692.63363="",40521.09561="",32634.05588=""),"-",(32634.05588-40521.09561)/4798692.63363*100)</f>
        <v>-0.16435809359254164</v>
      </c>
      <c r="H77" s="29">
        <f>IF(OR(4325799.3036="",43253.58299="",32634.05588=""),"-",(43253.58299-32634.05588)/4325799.3036*100)</f>
        <v>0.24549282952545348</v>
      </c>
    </row>
    <row r="78" spans="1:8" ht="24" x14ac:dyDescent="0.2">
      <c r="A78" s="63" t="s">
        <v>290</v>
      </c>
      <c r="B78" s="64" t="s">
        <v>203</v>
      </c>
      <c r="C78" s="28">
        <v>76224.99884</v>
      </c>
      <c r="D78" s="29" t="s">
        <v>104</v>
      </c>
      <c r="E78" s="29">
        <f>IF(46903.83769="","-",46903.83769/4325799.3036*100)</f>
        <v>1.0842814101654199</v>
      </c>
      <c r="F78" s="29">
        <f>IF(76224.99884="","-",76224.99884/5718897.88378*100)</f>
        <v>1.332861687497344</v>
      </c>
      <c r="G78" s="29">
        <f>IF(OR(4798692.63363="",53317.00179="",46903.83769=""),"-",(46903.83769-53317.00179)/4798692.63363*100)</f>
        <v>-0.13364398576094516</v>
      </c>
      <c r="H78" s="29">
        <f>IF(OR(4325799.3036="",76224.99884="",46903.83769=""),"-",(76224.99884-46903.83769)/4325799.3036*100)</f>
        <v>0.67782065445335049</v>
      </c>
    </row>
    <row r="79" spans="1:8" ht="24" x14ac:dyDescent="0.2">
      <c r="A79" s="63" t="s">
        <v>291</v>
      </c>
      <c r="B79" s="64" t="s">
        <v>181</v>
      </c>
      <c r="C79" s="28">
        <v>13907.71297</v>
      </c>
      <c r="D79" s="29" t="s">
        <v>104</v>
      </c>
      <c r="E79" s="29">
        <f>IF(8470.33501="","-",8470.33501/4325799.3036*100)</f>
        <v>0.19580970857688315</v>
      </c>
      <c r="F79" s="29">
        <f>IF(13907.71297="","-",13907.71297/5718897.88378*100)</f>
        <v>0.24318869216820968</v>
      </c>
      <c r="G79" s="29">
        <f>IF(OR(4798692.63363="",9500.19031="",8470.33501=""),"-",(8470.33501-9500.19031)/4798692.63363*100)</f>
        <v>-2.1461164084205137E-2</v>
      </c>
      <c r="H79" s="29">
        <f>IF(OR(4325799.3036="",13907.71297="",8470.33501=""),"-",(13907.71297-8470.33501)/4325799.3036*100)</f>
        <v>0.1256964916397052</v>
      </c>
    </row>
    <row r="80" spans="1:8" x14ac:dyDescent="0.2">
      <c r="A80" s="63" t="s">
        <v>292</v>
      </c>
      <c r="B80" s="64" t="s">
        <v>35</v>
      </c>
      <c r="C80" s="28">
        <v>237996.73903</v>
      </c>
      <c r="D80" s="29">
        <f>IF(OR(177166.7294="",237996.73903=""),"-",237996.73903/177166.7294*100)</f>
        <v>134.3348945007956</v>
      </c>
      <c r="E80" s="29">
        <f>IF(177166.7294="","-",177166.7294/4325799.3036*100)</f>
        <v>4.0955836590143928</v>
      </c>
      <c r="F80" s="29">
        <f>IF(237996.73903="","-",237996.73903/5718897.88378*100)</f>
        <v>4.1615839951436957</v>
      </c>
      <c r="G80" s="29">
        <f>IF(OR(4798692.63363="",201942.95242="",177166.7294=""),"-",(177166.7294-201942.95242)/4798692.63363*100)</f>
        <v>-0.51631193976384882</v>
      </c>
      <c r="H80" s="29">
        <f>IF(OR(4325799.3036="",237996.73903="",177166.7294=""),"-",(237996.73903-177166.7294)/4325799.3036*100)</f>
        <v>1.4062143285144151</v>
      </c>
    </row>
    <row r="81" spans="1:11" ht="24" x14ac:dyDescent="0.2">
      <c r="A81" s="67" t="s">
        <v>296</v>
      </c>
      <c r="B81" s="68" t="s">
        <v>182</v>
      </c>
      <c r="C81" s="69">
        <v>358.68606</v>
      </c>
      <c r="D81" s="70" t="s">
        <v>105</v>
      </c>
      <c r="E81" s="70">
        <f>IF(190.07736="","-",190.07736/4325799.3036*100)</f>
        <v>4.3940401914118977E-3</v>
      </c>
      <c r="F81" s="70">
        <f>IF(358.68606="","-",358.68606/5718897.88378*100)</f>
        <v>6.2719437781414023E-3</v>
      </c>
      <c r="G81" s="70">
        <f>IF(4798692.63363="","-",(190.07736-146.58465)/4798692.63363*100)</f>
        <v>9.0634498436503665E-4</v>
      </c>
      <c r="H81" s="70">
        <f>IF(4325799.3036="","-",(358.68606-190.07736)/4325799.3036*100)</f>
        <v>3.8977467091383809E-3</v>
      </c>
    </row>
    <row r="82" spans="1:11" x14ac:dyDescent="0.2">
      <c r="A82" s="40" t="s">
        <v>299</v>
      </c>
      <c r="B82" s="41"/>
      <c r="C82" s="41"/>
      <c r="D82" s="41"/>
      <c r="E82" s="41"/>
      <c r="I82" s="49"/>
      <c r="J82" s="49"/>
      <c r="K82" s="49"/>
    </row>
    <row r="83" spans="1:11" ht="13.5" x14ac:dyDescent="0.2">
      <c r="A83" s="42" t="s">
        <v>407</v>
      </c>
      <c r="B83" s="42"/>
      <c r="C83" s="42"/>
      <c r="D83" s="42"/>
      <c r="E83" s="42"/>
    </row>
  </sheetData>
  <mergeCells count="12">
    <mergeCell ref="A83:E83"/>
    <mergeCell ref="A5:A7"/>
    <mergeCell ref="B2:H2"/>
    <mergeCell ref="B3:H3"/>
    <mergeCell ref="B5:B7"/>
    <mergeCell ref="C5:D5"/>
    <mergeCell ref="E5:F5"/>
    <mergeCell ref="G5:H5"/>
    <mergeCell ref="C6:C7"/>
    <mergeCell ref="D6:D7"/>
    <mergeCell ref="E6:F6"/>
    <mergeCell ref="G6:H6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G84"/>
  <sheetViews>
    <sheetView zoomScale="99" zoomScaleNormal="99" workbookViewId="0">
      <selection activeCell="B2" sqref="B2:E2"/>
    </sheetView>
  </sheetViews>
  <sheetFormatPr defaultRowHeight="12" x14ac:dyDescent="0.2"/>
  <cols>
    <col min="1" max="1" width="7" style="3" customWidth="1"/>
    <col min="2" max="2" width="35.625" style="3" customWidth="1"/>
    <col min="3" max="4" width="13.5" style="3" customWidth="1"/>
    <col min="5" max="5" width="17.375" style="3" customWidth="1"/>
    <col min="6" max="6" width="12.25" style="3" bestFit="1" customWidth="1"/>
    <col min="7" max="7" width="12.125" style="3" bestFit="1" customWidth="1"/>
    <col min="8" max="16384" width="9" style="3"/>
  </cols>
  <sheetData>
    <row r="2" spans="1:7" x14ac:dyDescent="0.2">
      <c r="B2" s="43" t="s">
        <v>408</v>
      </c>
      <c r="C2" s="43"/>
      <c r="D2" s="43"/>
      <c r="E2" s="43"/>
    </row>
    <row r="3" spans="1:7" x14ac:dyDescent="0.2">
      <c r="B3" s="43" t="s">
        <v>298</v>
      </c>
      <c r="C3" s="43"/>
      <c r="D3" s="43"/>
      <c r="E3" s="43"/>
    </row>
    <row r="4" spans="1:7" x14ac:dyDescent="0.2">
      <c r="B4" s="44"/>
    </row>
    <row r="5" spans="1:7" ht="21" customHeight="1" x14ac:dyDescent="0.2">
      <c r="A5" s="45" t="s">
        <v>297</v>
      </c>
      <c r="B5" s="45"/>
      <c r="C5" s="46" t="s">
        <v>359</v>
      </c>
      <c r="D5" s="47"/>
      <c r="E5" s="48" t="s">
        <v>362</v>
      </c>
      <c r="F5" s="49"/>
    </row>
    <row r="6" spans="1:7" ht="27" customHeight="1" x14ac:dyDescent="0.2">
      <c r="A6" s="50"/>
      <c r="B6" s="50"/>
      <c r="C6" s="51">
        <v>2020</v>
      </c>
      <c r="D6" s="52">
        <v>2021</v>
      </c>
      <c r="E6" s="53"/>
      <c r="F6" s="49"/>
    </row>
    <row r="7" spans="1:7" x14ac:dyDescent="0.2">
      <c r="A7" s="54"/>
      <c r="B7" s="55" t="s">
        <v>309</v>
      </c>
      <c r="C7" s="56">
        <v>-2338970.4871399999</v>
      </c>
      <c r="D7" s="19">
        <v>-3263279.2083299998</v>
      </c>
      <c r="E7" s="20">
        <f>IF(-2338970.48714="","-",-3263279.20833/-2338970.48714*100)</f>
        <v>139.51775904279185</v>
      </c>
      <c r="G7" s="57"/>
    </row>
    <row r="8" spans="1:7" x14ac:dyDescent="0.2">
      <c r="A8" s="54"/>
      <c r="B8" s="21" t="s">
        <v>127</v>
      </c>
      <c r="C8" s="58"/>
      <c r="D8" s="59"/>
      <c r="E8" s="60"/>
    </row>
    <row r="9" spans="1:7" x14ac:dyDescent="0.2">
      <c r="A9" s="61" t="s">
        <v>224</v>
      </c>
      <c r="B9" s="62" t="s">
        <v>183</v>
      </c>
      <c r="C9" s="25">
        <v>-76087.415160000004</v>
      </c>
      <c r="D9" s="25">
        <v>-19802.535380000001</v>
      </c>
      <c r="E9" s="26">
        <f>IF(-76087.41516="","-",-19802.53538/-76087.41516*100)</f>
        <v>26.026032476406709</v>
      </c>
      <c r="F9" s="57"/>
    </row>
    <row r="10" spans="1:7" x14ac:dyDescent="0.2">
      <c r="A10" s="63" t="s">
        <v>225</v>
      </c>
      <c r="B10" s="64" t="s">
        <v>23</v>
      </c>
      <c r="C10" s="28">
        <v>3812.07305</v>
      </c>
      <c r="D10" s="28">
        <v>1882.1962699999999</v>
      </c>
      <c r="E10" s="29">
        <f>IF(OR(3812.07305="",1882.19627="",3812.07305=0,1882.19627=0),"-",1882.19627/3812.07305*100)</f>
        <v>49.374611800789076</v>
      </c>
    </row>
    <row r="11" spans="1:7" x14ac:dyDescent="0.2">
      <c r="A11" s="63" t="s">
        <v>226</v>
      </c>
      <c r="B11" s="64" t="s">
        <v>184</v>
      </c>
      <c r="C11" s="28">
        <v>-29049.465</v>
      </c>
      <c r="D11" s="28">
        <v>-46002.292240000002</v>
      </c>
      <c r="E11" s="29" t="s">
        <v>104</v>
      </c>
    </row>
    <row r="12" spans="1:7" x14ac:dyDescent="0.2">
      <c r="A12" s="63" t="s">
        <v>227</v>
      </c>
      <c r="B12" s="64" t="s">
        <v>185</v>
      </c>
      <c r="C12" s="28">
        <v>-55457.268400000001</v>
      </c>
      <c r="D12" s="28">
        <v>-65916.545360000004</v>
      </c>
      <c r="E12" s="29">
        <f>IF(OR(-55457.2684="",-65916.54536="",-55457.2684=0,-65916.54536=0),"-",-65916.54536/-55457.2684*100)</f>
        <v>118.86006516685919</v>
      </c>
    </row>
    <row r="13" spans="1:7" x14ac:dyDescent="0.2">
      <c r="A13" s="63" t="s">
        <v>228</v>
      </c>
      <c r="B13" s="64" t="s">
        <v>186</v>
      </c>
      <c r="C13" s="28">
        <v>-46464.551630000002</v>
      </c>
      <c r="D13" s="28">
        <v>-59155.683640000003</v>
      </c>
      <c r="E13" s="29">
        <f>IF(OR(-46464.55163="",-59155.68364="",-46464.55163=0,-59155.68364=0),"-",-59155.68364/-46464.55163*100)</f>
        <v>127.3135789861059</v>
      </c>
    </row>
    <row r="14" spans="1:7" x14ac:dyDescent="0.2">
      <c r="A14" s="63" t="s">
        <v>229</v>
      </c>
      <c r="B14" s="64" t="s">
        <v>187</v>
      </c>
      <c r="C14" s="28">
        <v>45778.013429999999</v>
      </c>
      <c r="D14" s="28">
        <v>185773.68202000001</v>
      </c>
      <c r="E14" s="29" t="s">
        <v>392</v>
      </c>
    </row>
    <row r="15" spans="1:7" x14ac:dyDescent="0.2">
      <c r="A15" s="63" t="s">
        <v>230</v>
      </c>
      <c r="B15" s="64" t="s">
        <v>188</v>
      </c>
      <c r="C15" s="28">
        <v>114652.22764</v>
      </c>
      <c r="D15" s="28">
        <v>105048.55276000001</v>
      </c>
      <c r="E15" s="29">
        <f>IF(OR(114652.22764="",105048.55276="",114652.22764=0,105048.55276=0),"-",105048.55276/114652.22764*100)</f>
        <v>91.623647374602385</v>
      </c>
    </row>
    <row r="16" spans="1:7" x14ac:dyDescent="0.2">
      <c r="A16" s="63" t="s">
        <v>231</v>
      </c>
      <c r="B16" s="64" t="s">
        <v>146</v>
      </c>
      <c r="C16" s="28">
        <v>2517.6299100000001</v>
      </c>
      <c r="D16" s="28">
        <v>7939.6434300000001</v>
      </c>
      <c r="E16" s="29" t="s">
        <v>370</v>
      </c>
    </row>
    <row r="17" spans="1:5" ht="24" x14ac:dyDescent="0.2">
      <c r="A17" s="63" t="s">
        <v>232</v>
      </c>
      <c r="B17" s="64" t="s">
        <v>189</v>
      </c>
      <c r="C17" s="28">
        <v>-38235.601840000003</v>
      </c>
      <c r="D17" s="28">
        <v>-44282.344920000003</v>
      </c>
      <c r="E17" s="29">
        <f>IF(OR(-38235.60184="",-44282.34492="",-38235.60184=0,-44282.34492=0),"-",-44282.34492/-38235.60184*100)</f>
        <v>115.81443154812389</v>
      </c>
    </row>
    <row r="18" spans="1:5" ht="24" x14ac:dyDescent="0.2">
      <c r="A18" s="63" t="s">
        <v>233</v>
      </c>
      <c r="B18" s="64" t="s">
        <v>147</v>
      </c>
      <c r="C18" s="28">
        <v>-10597.13824</v>
      </c>
      <c r="D18" s="28">
        <v>-21908.1224</v>
      </c>
      <c r="E18" s="29" t="s">
        <v>95</v>
      </c>
    </row>
    <row r="19" spans="1:5" x14ac:dyDescent="0.2">
      <c r="A19" s="63" t="s">
        <v>234</v>
      </c>
      <c r="B19" s="64" t="s">
        <v>190</v>
      </c>
      <c r="C19" s="28">
        <v>-63043.334080000001</v>
      </c>
      <c r="D19" s="28">
        <v>-83181.621299999999</v>
      </c>
      <c r="E19" s="29">
        <f>IF(OR(-63043.33408="",-83181.6213="",-63043.33408=0,-83181.6213=0),"-",-83181.6213/-63043.33408*100)</f>
        <v>131.94356312825261</v>
      </c>
    </row>
    <row r="20" spans="1:5" x14ac:dyDescent="0.2">
      <c r="A20" s="61" t="s">
        <v>235</v>
      </c>
      <c r="B20" s="62" t="s">
        <v>191</v>
      </c>
      <c r="C20" s="25">
        <v>66257.819109999997</v>
      </c>
      <c r="D20" s="25">
        <v>59826.730589999999</v>
      </c>
      <c r="E20" s="26">
        <f>IF(66257.81911="","-",59826.73059/66257.81911*100)</f>
        <v>90.293842136090802</v>
      </c>
    </row>
    <row r="21" spans="1:5" x14ac:dyDescent="0.2">
      <c r="A21" s="63" t="s">
        <v>236</v>
      </c>
      <c r="B21" s="64" t="s">
        <v>192</v>
      </c>
      <c r="C21" s="28">
        <v>99538.660510000002</v>
      </c>
      <c r="D21" s="28">
        <v>91568.672089999993</v>
      </c>
      <c r="E21" s="29">
        <f>IF(OR(99538.66051="",91568.67209="",99538.66051=0,91568.67209=0),"-",91568.67209/99538.66051*100)</f>
        <v>91.993072461328424</v>
      </c>
    </row>
    <row r="22" spans="1:5" x14ac:dyDescent="0.2">
      <c r="A22" s="63" t="s">
        <v>237</v>
      </c>
      <c r="B22" s="64" t="s">
        <v>193</v>
      </c>
      <c r="C22" s="28">
        <v>-33280.841399999998</v>
      </c>
      <c r="D22" s="28">
        <v>-31741.941500000001</v>
      </c>
      <c r="E22" s="29">
        <f>IF(OR(-33280.8414="",-31741.9415="",-33280.8414=0,-31741.9415=0),"-",-31741.9415/-33280.8414*100)</f>
        <v>95.376018648374682</v>
      </c>
    </row>
    <row r="23" spans="1:5" ht="24" x14ac:dyDescent="0.2">
      <c r="A23" s="61" t="s">
        <v>238</v>
      </c>
      <c r="B23" s="62" t="s">
        <v>24</v>
      </c>
      <c r="C23" s="25">
        <v>74383.972049999997</v>
      </c>
      <c r="D23" s="25">
        <v>111458.17320999999</v>
      </c>
      <c r="E23" s="26">
        <f>IF(74383.97205="","-",111458.17321/74383.97205*100)</f>
        <v>149.84165289678154</v>
      </c>
    </row>
    <row r="24" spans="1:5" x14ac:dyDescent="0.2">
      <c r="A24" s="63" t="s">
        <v>239</v>
      </c>
      <c r="B24" s="64" t="s">
        <v>200</v>
      </c>
      <c r="C24" s="28">
        <v>1027.27684</v>
      </c>
      <c r="D24" s="28">
        <v>981.40917000000002</v>
      </c>
      <c r="E24" s="29">
        <f>IF(OR(1027.27684="",981.40917="",1027.27684=0,981.40917=0),"-",981.40917/1027.27684*100)</f>
        <v>95.53502345093267</v>
      </c>
    </row>
    <row r="25" spans="1:5" x14ac:dyDescent="0.2">
      <c r="A25" s="63" t="s">
        <v>240</v>
      </c>
      <c r="B25" s="64" t="s">
        <v>194</v>
      </c>
      <c r="C25" s="28">
        <v>124615.0711</v>
      </c>
      <c r="D25" s="28">
        <v>137678.81452000001</v>
      </c>
      <c r="E25" s="29">
        <f>IF(OR(124615.0711="",137678.81452="",124615.0711=0,137678.81452=0),"-",137678.81452/124615.0711*100)</f>
        <v>110.48327726709455</v>
      </c>
    </row>
    <row r="26" spans="1:5" ht="17.25" customHeight="1" x14ac:dyDescent="0.2">
      <c r="A26" s="63" t="s">
        <v>294</v>
      </c>
      <c r="B26" s="64" t="s">
        <v>195</v>
      </c>
      <c r="C26" s="28">
        <v>-1153.0523700000001</v>
      </c>
      <c r="D26" s="28">
        <v>-2321.5802600000002</v>
      </c>
      <c r="E26" s="29" t="s">
        <v>20</v>
      </c>
    </row>
    <row r="27" spans="1:5" x14ac:dyDescent="0.2">
      <c r="A27" s="63" t="s">
        <v>241</v>
      </c>
      <c r="B27" s="64" t="s">
        <v>196</v>
      </c>
      <c r="C27" s="28">
        <v>-31665.170030000001</v>
      </c>
      <c r="D27" s="28">
        <v>-44976.761469999998</v>
      </c>
      <c r="E27" s="29">
        <f>IF(OR(-31665.17003="",-44976.76147="",-31665.17003=0,-44976.76147=0),"-",-44976.76147/-31665.17003*100)</f>
        <v>142.03859138412463</v>
      </c>
    </row>
    <row r="28" spans="1:5" x14ac:dyDescent="0.2">
      <c r="A28" s="63" t="s">
        <v>242</v>
      </c>
      <c r="B28" s="64" t="s">
        <v>148</v>
      </c>
      <c r="C28" s="28">
        <v>1231.9419399999999</v>
      </c>
      <c r="D28" s="28">
        <v>3668.91941</v>
      </c>
      <c r="E28" s="29" t="s">
        <v>314</v>
      </c>
    </row>
    <row r="29" spans="1:5" ht="36" x14ac:dyDescent="0.2">
      <c r="A29" s="63" t="s">
        <v>243</v>
      </c>
      <c r="B29" s="64" t="s">
        <v>149</v>
      </c>
      <c r="C29" s="28">
        <v>-6204.7653700000001</v>
      </c>
      <c r="D29" s="28">
        <v>-8368.1562900000008</v>
      </c>
      <c r="E29" s="29">
        <f>IF(OR(-6204.76537="",-8368.15629="",-6204.76537=0,-8368.15629=0),"-",-8368.15629/-6204.76537*100)</f>
        <v>134.86660318309507</v>
      </c>
    </row>
    <row r="30" spans="1:5" ht="24" x14ac:dyDescent="0.2">
      <c r="A30" s="63" t="s">
        <v>244</v>
      </c>
      <c r="B30" s="64" t="s">
        <v>150</v>
      </c>
      <c r="C30" s="28">
        <v>-7168.9133700000002</v>
      </c>
      <c r="D30" s="28">
        <v>-9478.8684799999992</v>
      </c>
      <c r="E30" s="29">
        <f>IF(OR(-7168.91337="",-9478.86848="",-7168.91337=0,-9478.86848=0),"-",-9478.86848/-7168.91337*100)</f>
        <v>132.22183043341752</v>
      </c>
    </row>
    <row r="31" spans="1:5" x14ac:dyDescent="0.2">
      <c r="A31" s="63" t="s">
        <v>245</v>
      </c>
      <c r="B31" s="64" t="s">
        <v>151</v>
      </c>
      <c r="C31" s="28">
        <v>18144.488539999998</v>
      </c>
      <c r="D31" s="28">
        <v>70227.021370000002</v>
      </c>
      <c r="E31" s="29" t="s">
        <v>350</v>
      </c>
    </row>
    <row r="32" spans="1:5" x14ac:dyDescent="0.2">
      <c r="A32" s="63" t="s">
        <v>246</v>
      </c>
      <c r="B32" s="64" t="s">
        <v>152</v>
      </c>
      <c r="C32" s="28">
        <v>-24442.90523</v>
      </c>
      <c r="D32" s="28">
        <v>-35952.624759999999</v>
      </c>
      <c r="E32" s="29">
        <f>IF(OR(-24442.90523="",-35952.62476="",-24442.90523=0,-35952.62476=0),"-",-35952.62476/-24442.90523*100)</f>
        <v>147.08818130126997</v>
      </c>
    </row>
    <row r="33" spans="1:5" ht="15.75" customHeight="1" x14ac:dyDescent="0.2">
      <c r="A33" s="61" t="s">
        <v>247</v>
      </c>
      <c r="B33" s="62" t="s">
        <v>153</v>
      </c>
      <c r="C33" s="25">
        <v>-460133.85816</v>
      </c>
      <c r="D33" s="25">
        <v>-768893.29269000003</v>
      </c>
      <c r="E33" s="26" t="s">
        <v>103</v>
      </c>
    </row>
    <row r="34" spans="1:5" x14ac:dyDescent="0.2">
      <c r="A34" s="63" t="s">
        <v>248</v>
      </c>
      <c r="B34" s="64" t="s">
        <v>197</v>
      </c>
      <c r="C34" s="28">
        <v>-12673.20595</v>
      </c>
      <c r="D34" s="28">
        <v>-15078.96682</v>
      </c>
      <c r="E34" s="29">
        <f>IF(OR(-12673.20595="",-15078.96682="",-12673.20595=0,-15078.96682=0),"-",-15078.96682/-12673.20595*100)</f>
        <v>118.98304879989739</v>
      </c>
    </row>
    <row r="35" spans="1:5" x14ac:dyDescent="0.2">
      <c r="A35" s="63" t="s">
        <v>249</v>
      </c>
      <c r="B35" s="64" t="s">
        <v>154</v>
      </c>
      <c r="C35" s="28">
        <v>-297543.07446999999</v>
      </c>
      <c r="D35" s="28">
        <v>-501714.36641000002</v>
      </c>
      <c r="E35" s="29" t="s">
        <v>103</v>
      </c>
    </row>
    <row r="36" spans="1:5" x14ac:dyDescent="0.2">
      <c r="A36" s="63" t="s">
        <v>295</v>
      </c>
      <c r="B36" s="64" t="s">
        <v>198</v>
      </c>
      <c r="C36" s="28">
        <v>-141230.25128999999</v>
      </c>
      <c r="D36" s="28">
        <v>-244394.96059</v>
      </c>
      <c r="E36" s="29" t="s">
        <v>103</v>
      </c>
    </row>
    <row r="37" spans="1:5" x14ac:dyDescent="0.2">
      <c r="A37" s="63" t="s">
        <v>305</v>
      </c>
      <c r="B37" s="64" t="s">
        <v>308</v>
      </c>
      <c r="C37" s="28">
        <v>-8687.3264500000005</v>
      </c>
      <c r="D37" s="28">
        <v>-7704.9988700000004</v>
      </c>
      <c r="E37" s="29">
        <f>IF(OR(-8687.32645="",-7704.99887="",-8687.32645=0,-7704.99887=0),"-",-7704.99887/-8687.32645*100)</f>
        <v>88.692406281106202</v>
      </c>
    </row>
    <row r="38" spans="1:5" ht="24" x14ac:dyDescent="0.2">
      <c r="A38" s="61" t="s">
        <v>250</v>
      </c>
      <c r="B38" s="62" t="s">
        <v>155</v>
      </c>
      <c r="C38" s="25">
        <v>70563.060939999996</v>
      </c>
      <c r="D38" s="25">
        <v>62622.681700000001</v>
      </c>
      <c r="E38" s="26">
        <f>IF(70563.06094="","-",62622.6817/70563.06094*100)</f>
        <v>88.747116218850365</v>
      </c>
    </row>
    <row r="39" spans="1:5" x14ac:dyDescent="0.2">
      <c r="A39" s="63" t="s">
        <v>251</v>
      </c>
      <c r="B39" s="64" t="s">
        <v>201</v>
      </c>
      <c r="C39" s="28">
        <v>-1442.15319</v>
      </c>
      <c r="D39" s="28">
        <v>-1567.4512500000001</v>
      </c>
      <c r="E39" s="29">
        <f>IF(OR(-1442.15319="",-1567.45125="",-1442.15319=0,-1567.45125=0),"-",-1567.45125/-1442.15319*100)</f>
        <v>108.68826286061886</v>
      </c>
    </row>
    <row r="40" spans="1:5" ht="14.25" customHeight="1" x14ac:dyDescent="0.2">
      <c r="A40" s="63" t="s">
        <v>252</v>
      </c>
      <c r="B40" s="64" t="s">
        <v>156</v>
      </c>
      <c r="C40" s="28">
        <v>73380.870899999994</v>
      </c>
      <c r="D40" s="28">
        <v>65868.11378</v>
      </c>
      <c r="E40" s="29">
        <f>IF(OR(73380.8709="",65868.11378="",73380.8709=0,65868.11378=0),"-",65868.11378/73380.8709*100)</f>
        <v>89.761967897276634</v>
      </c>
    </row>
    <row r="41" spans="1:5" ht="48" x14ac:dyDescent="0.2">
      <c r="A41" s="63" t="s">
        <v>253</v>
      </c>
      <c r="B41" s="64" t="s">
        <v>199</v>
      </c>
      <c r="C41" s="28">
        <v>-1375.6567700000001</v>
      </c>
      <c r="D41" s="28">
        <v>-1677.98083</v>
      </c>
      <c r="E41" s="29">
        <f>IF(OR(-1375.65677="",-1677.98083="",-1375.65677=0,-1677.98083=0),"-",-1677.98083/-1375.65677*100)</f>
        <v>121.97670716947803</v>
      </c>
    </row>
    <row r="42" spans="1:5" ht="15" customHeight="1" x14ac:dyDescent="0.2">
      <c r="A42" s="61" t="s">
        <v>254</v>
      </c>
      <c r="B42" s="62" t="s">
        <v>157</v>
      </c>
      <c r="C42" s="25">
        <v>-573207.92179000005</v>
      </c>
      <c r="D42" s="25">
        <v>-720023.39933000004</v>
      </c>
      <c r="E42" s="26">
        <f>IF(-573207.92179="","-",-720023.39933/-573207.92179*100)</f>
        <v>125.61295333838515</v>
      </c>
    </row>
    <row r="43" spans="1:5" x14ac:dyDescent="0.2">
      <c r="A43" s="63" t="s">
        <v>255</v>
      </c>
      <c r="B43" s="64" t="s">
        <v>25</v>
      </c>
      <c r="C43" s="28">
        <v>30434.629110000002</v>
      </c>
      <c r="D43" s="28">
        <v>15882.09742</v>
      </c>
      <c r="E43" s="29">
        <f>IF(OR(30434.62911="",15882.09742="",30434.62911=0,15882.09742=0),"-",15882.09742/30434.62911*100)</f>
        <v>52.184297572995789</v>
      </c>
    </row>
    <row r="44" spans="1:5" x14ac:dyDescent="0.2">
      <c r="A44" s="63" t="s">
        <v>256</v>
      </c>
      <c r="B44" s="64" t="s">
        <v>26</v>
      </c>
      <c r="C44" s="28">
        <v>-11922.38391</v>
      </c>
      <c r="D44" s="28">
        <v>-12625.42663</v>
      </c>
      <c r="E44" s="29">
        <f>IF(OR(-11922.38391="",-12625.42663="",-11922.38391=0,-12625.42663=0),"-",-12625.42663/-11922.38391*100)</f>
        <v>105.8968300744813</v>
      </c>
    </row>
    <row r="45" spans="1:5" x14ac:dyDescent="0.2">
      <c r="A45" s="63" t="s">
        <v>257</v>
      </c>
      <c r="B45" s="64" t="s">
        <v>158</v>
      </c>
      <c r="C45" s="28">
        <v>-35631.106169999999</v>
      </c>
      <c r="D45" s="28">
        <v>-41116.024160000001</v>
      </c>
      <c r="E45" s="29">
        <f>IF(OR(-35631.10617="",-41116.02416="",-35631.10617=0,-41116.02416=0),"-",-41116.02416/-35631.10617*100)</f>
        <v>115.39362253821379</v>
      </c>
    </row>
    <row r="46" spans="1:5" x14ac:dyDescent="0.2">
      <c r="A46" s="63" t="s">
        <v>258</v>
      </c>
      <c r="B46" s="64" t="s">
        <v>159</v>
      </c>
      <c r="C46" s="28">
        <v>-156107.95086000001</v>
      </c>
      <c r="D46" s="28">
        <v>-189349.08747</v>
      </c>
      <c r="E46" s="29">
        <f>IF(OR(-156107.95086="",-189349.08747="",-156107.95086=0,-189349.08747=0),"-",-189349.08747/-156107.95086*100)</f>
        <v>121.29368582886029</v>
      </c>
    </row>
    <row r="47" spans="1:5" ht="36" x14ac:dyDescent="0.2">
      <c r="A47" s="63" t="s">
        <v>259</v>
      </c>
      <c r="B47" s="64" t="s">
        <v>160</v>
      </c>
      <c r="C47" s="28">
        <v>-82050.162930000006</v>
      </c>
      <c r="D47" s="28">
        <v>-102992.22579</v>
      </c>
      <c r="E47" s="29">
        <f>IF(OR(-82050.16293="",-102992.22579="",-82050.16293=0,-102992.22579=0),"-",-102992.22579/-82050.16293*100)</f>
        <v>125.52348723288512</v>
      </c>
    </row>
    <row r="48" spans="1:5" x14ac:dyDescent="0.2">
      <c r="A48" s="63" t="s">
        <v>260</v>
      </c>
      <c r="B48" s="64" t="s">
        <v>161</v>
      </c>
      <c r="C48" s="28">
        <v>-67356.969939999995</v>
      </c>
      <c r="D48" s="28">
        <v>-74833.245439999999</v>
      </c>
      <c r="E48" s="29">
        <f>IF(OR(-67356.96994="",-74833.24544="",-67356.96994=0,-74833.24544=0),"-",-74833.24544/-67356.96994*100)</f>
        <v>111.09948310718207</v>
      </c>
    </row>
    <row r="49" spans="1:5" x14ac:dyDescent="0.2">
      <c r="A49" s="63" t="s">
        <v>261</v>
      </c>
      <c r="B49" s="64" t="s">
        <v>27</v>
      </c>
      <c r="C49" s="28">
        <v>-37320.445269999997</v>
      </c>
      <c r="D49" s="28">
        <v>-55818.0579</v>
      </c>
      <c r="E49" s="29">
        <f>IF(OR(-37320.44527="",-55818.0579="",-37320.44527=0,-55818.0579=0),"-",-55818.0579/-37320.44527*100)</f>
        <v>149.56428707154063</v>
      </c>
    </row>
    <row r="50" spans="1:5" x14ac:dyDescent="0.2">
      <c r="A50" s="63" t="s">
        <v>262</v>
      </c>
      <c r="B50" s="64" t="s">
        <v>28</v>
      </c>
      <c r="C50" s="28">
        <v>-97674.537670000005</v>
      </c>
      <c r="D50" s="28">
        <v>-128011.70253</v>
      </c>
      <c r="E50" s="29">
        <f>IF(OR(-97674.53767="",-128011.70253="",-97674.53767=0,-128011.70253=0),"-",-128011.70253/-97674.53767*100)</f>
        <v>131.05944044751573</v>
      </c>
    </row>
    <row r="51" spans="1:5" x14ac:dyDescent="0.2">
      <c r="A51" s="63" t="s">
        <v>263</v>
      </c>
      <c r="B51" s="64" t="s">
        <v>162</v>
      </c>
      <c r="C51" s="28">
        <v>-115578.99415</v>
      </c>
      <c r="D51" s="28">
        <v>-131159.72683</v>
      </c>
      <c r="E51" s="29">
        <f>IF(OR(-115578.99415="",-131159.72683="",-115578.99415=0,-131159.72683=0),"-",-131159.72683/-115578.99415*100)</f>
        <v>113.48059203541703</v>
      </c>
    </row>
    <row r="52" spans="1:5" ht="24" x14ac:dyDescent="0.2">
      <c r="A52" s="61" t="s">
        <v>264</v>
      </c>
      <c r="B52" s="62" t="s">
        <v>361</v>
      </c>
      <c r="C52" s="25">
        <v>-722557.82564000005</v>
      </c>
      <c r="D52" s="25">
        <v>-877973.04955</v>
      </c>
      <c r="E52" s="26">
        <f>IF(-722557.82564="","-",-877973.04955/-722557.82564*100)</f>
        <v>121.5090361483999</v>
      </c>
    </row>
    <row r="53" spans="1:5" x14ac:dyDescent="0.2">
      <c r="A53" s="63" t="s">
        <v>265</v>
      </c>
      <c r="B53" s="64" t="s">
        <v>163</v>
      </c>
      <c r="C53" s="28">
        <v>-37803.263200000001</v>
      </c>
      <c r="D53" s="28">
        <v>-44677.77521</v>
      </c>
      <c r="E53" s="29">
        <f>IF(OR(-37803.2632="",-44677.77521="",-37803.2632=0,-44677.77521=0),"-",-44677.77521/-37803.2632*100)</f>
        <v>118.18496983614895</v>
      </c>
    </row>
    <row r="54" spans="1:5" x14ac:dyDescent="0.2">
      <c r="A54" s="63" t="s">
        <v>266</v>
      </c>
      <c r="B54" s="64" t="s">
        <v>29</v>
      </c>
      <c r="C54" s="28">
        <v>-47460.66805</v>
      </c>
      <c r="D54" s="28">
        <v>-58761.559670000002</v>
      </c>
      <c r="E54" s="29">
        <f>IF(OR(-47460.66805="",-58761.55967="",-47460.66805=0,-58761.55967=0),"-",-58761.55967/-47460.66805*100)</f>
        <v>123.81106732019546</v>
      </c>
    </row>
    <row r="55" spans="1:5" x14ac:dyDescent="0.2">
      <c r="A55" s="63" t="s">
        <v>267</v>
      </c>
      <c r="B55" s="64" t="s">
        <v>164</v>
      </c>
      <c r="C55" s="28">
        <v>-58221.554810000001</v>
      </c>
      <c r="D55" s="28">
        <v>-72452.254990000001</v>
      </c>
      <c r="E55" s="29">
        <f>IF(OR(-58221.55481="",-72452.25499="",-58221.55481=0,-72452.25499=0),"-",-72452.25499/-58221.55481*100)</f>
        <v>124.44232248080699</v>
      </c>
    </row>
    <row r="56" spans="1:5" ht="24" x14ac:dyDescent="0.2">
      <c r="A56" s="63" t="s">
        <v>268</v>
      </c>
      <c r="B56" s="64" t="s">
        <v>165</v>
      </c>
      <c r="C56" s="28">
        <v>-68470.609559999997</v>
      </c>
      <c r="D56" s="28">
        <v>-82450.966490000006</v>
      </c>
      <c r="E56" s="29">
        <f>IF(OR(-68470.60956="",-82450.96649="",-68470.60956=0,-82450.96649=0),"-",-82450.96649/-68470.60956*100)</f>
        <v>120.41804070365284</v>
      </c>
    </row>
    <row r="57" spans="1:5" ht="24" x14ac:dyDescent="0.2">
      <c r="A57" s="63" t="s">
        <v>269</v>
      </c>
      <c r="B57" s="64" t="s">
        <v>166</v>
      </c>
      <c r="C57" s="28">
        <v>-160959.89147</v>
      </c>
      <c r="D57" s="28">
        <v>-195956.2058</v>
      </c>
      <c r="E57" s="29">
        <f>IF(OR(-160959.89147="",-195956.2058="",-160959.89147=0,-195956.2058=0),"-",-195956.2058/-160959.89147*100)</f>
        <v>121.74225765834508</v>
      </c>
    </row>
    <row r="58" spans="1:5" x14ac:dyDescent="0.2">
      <c r="A58" s="63" t="s">
        <v>270</v>
      </c>
      <c r="B58" s="64" t="s">
        <v>30</v>
      </c>
      <c r="C58" s="28">
        <v>-73405.777050000004</v>
      </c>
      <c r="D58" s="28">
        <v>-82099.673490000001</v>
      </c>
      <c r="E58" s="29">
        <f>IF(OR(-73405.77705="",-82099.67349="",-73405.77705=0,-82099.67349=0),"-",-82099.67349/-73405.77705*100)</f>
        <v>111.84361339037143</v>
      </c>
    </row>
    <row r="59" spans="1:5" x14ac:dyDescent="0.2">
      <c r="A59" s="63" t="s">
        <v>271</v>
      </c>
      <c r="B59" s="64" t="s">
        <v>167</v>
      </c>
      <c r="C59" s="28">
        <v>-110551.31522</v>
      </c>
      <c r="D59" s="28">
        <v>-137720.62091</v>
      </c>
      <c r="E59" s="29">
        <f>IF(OR(-110551.31522="",-137720.62091="",-110551.31522=0,-137720.62091=0),"-",-137720.62091/-110551.31522*100)</f>
        <v>124.5761939927466</v>
      </c>
    </row>
    <row r="60" spans="1:5" x14ac:dyDescent="0.2">
      <c r="A60" s="63" t="s">
        <v>272</v>
      </c>
      <c r="B60" s="64" t="s">
        <v>31</v>
      </c>
      <c r="C60" s="28">
        <v>-50090.822260000001</v>
      </c>
      <c r="D60" s="28">
        <v>-61530.070549999997</v>
      </c>
      <c r="E60" s="29">
        <f>IF(OR(-50090.82226="",-61530.07055="",-50090.82226=0,-61530.07055=0),"-",-61530.07055/-50090.82226*100)</f>
        <v>122.8370143948202</v>
      </c>
    </row>
    <row r="61" spans="1:5" x14ac:dyDescent="0.2">
      <c r="A61" s="63" t="s">
        <v>273</v>
      </c>
      <c r="B61" s="64" t="s">
        <v>32</v>
      </c>
      <c r="C61" s="28">
        <v>-115593.92402000001</v>
      </c>
      <c r="D61" s="28">
        <v>-142323.92243999999</v>
      </c>
      <c r="E61" s="29">
        <f>IF(OR(-115593.92402="",-142323.92244="",-115593.92402=0,-142323.92244=0),"-",-142323.92244/-115593.92402*100)</f>
        <v>123.12405141240397</v>
      </c>
    </row>
    <row r="62" spans="1:5" x14ac:dyDescent="0.2">
      <c r="A62" s="61" t="s">
        <v>274</v>
      </c>
      <c r="B62" s="62" t="s">
        <v>168</v>
      </c>
      <c r="C62" s="25">
        <v>-670388.94290000002</v>
      </c>
      <c r="D62" s="25">
        <v>-930775.74055999995</v>
      </c>
      <c r="E62" s="26">
        <f>IF(-670388.9429="","-",-930775.74056/-670388.9429*100)</f>
        <v>138.84115339575956</v>
      </c>
    </row>
    <row r="63" spans="1:5" ht="16.5" customHeight="1" x14ac:dyDescent="0.2">
      <c r="A63" s="63" t="s">
        <v>275</v>
      </c>
      <c r="B63" s="64" t="s">
        <v>169</v>
      </c>
      <c r="C63" s="28">
        <v>-15148.99618</v>
      </c>
      <c r="D63" s="28">
        <v>-21162.365849999998</v>
      </c>
      <c r="E63" s="29">
        <f>IF(OR(-15148.99618="",-21162.36585="",-15148.99618=0,-21162.36585=0),"-",-21162.36585/-15148.99618*100)</f>
        <v>139.69483917316558</v>
      </c>
    </row>
    <row r="64" spans="1:5" ht="24" x14ac:dyDescent="0.2">
      <c r="A64" s="63" t="s">
        <v>276</v>
      </c>
      <c r="B64" s="64" t="s">
        <v>170</v>
      </c>
      <c r="C64" s="28">
        <v>-120622.97976</v>
      </c>
      <c r="D64" s="28">
        <v>-189777.09200999999</v>
      </c>
      <c r="E64" s="29" t="s">
        <v>104</v>
      </c>
    </row>
    <row r="65" spans="1:5" x14ac:dyDescent="0.2">
      <c r="A65" s="63" t="s">
        <v>277</v>
      </c>
      <c r="B65" s="64" t="s">
        <v>171</v>
      </c>
      <c r="C65" s="28">
        <v>-9105.0001300000004</v>
      </c>
      <c r="D65" s="28">
        <v>-10900.95384</v>
      </c>
      <c r="E65" s="29">
        <f>IF(OR(-9105.00013="",-10900.95384="",-9105.00013=0,-10900.95384=0),"-",-10900.95384/-9105.00013*100)</f>
        <v>119.72491690672827</v>
      </c>
    </row>
    <row r="66" spans="1:5" ht="24" x14ac:dyDescent="0.2">
      <c r="A66" s="63" t="s">
        <v>278</v>
      </c>
      <c r="B66" s="64" t="s">
        <v>172</v>
      </c>
      <c r="C66" s="28">
        <v>-149268.98863000001</v>
      </c>
      <c r="D66" s="28">
        <v>-181837.11801000001</v>
      </c>
      <c r="E66" s="29">
        <f>IF(OR(-149268.98863="",-181837.11801="",-149268.98863=0,-181837.11801=0),"-",-181837.11801/-149268.98863*100)</f>
        <v>121.81841632271532</v>
      </c>
    </row>
    <row r="67" spans="1:5" ht="27.75" customHeight="1" x14ac:dyDescent="0.2">
      <c r="A67" s="63" t="s">
        <v>279</v>
      </c>
      <c r="B67" s="64" t="s">
        <v>173</v>
      </c>
      <c r="C67" s="28">
        <v>-42717.75245</v>
      </c>
      <c r="D67" s="28">
        <v>-60352.321989999997</v>
      </c>
      <c r="E67" s="29">
        <f>IF(OR(-42717.75245="",-60352.32199="",-42717.75245=0,-60352.32199=0),"-",-60352.32199/-42717.75245*100)</f>
        <v>141.28159495432442</v>
      </c>
    </row>
    <row r="68" spans="1:5" ht="29.25" customHeight="1" x14ac:dyDescent="0.2">
      <c r="A68" s="63" t="s">
        <v>280</v>
      </c>
      <c r="B68" s="64" t="s">
        <v>174</v>
      </c>
      <c r="C68" s="28">
        <v>-127799.28174000001</v>
      </c>
      <c r="D68" s="28">
        <v>-147722.86848</v>
      </c>
      <c r="E68" s="29">
        <f>IF(OR(-127799.28174="",-147722.86848="",-127799.28174=0,-147722.86848=0),"-",-147722.86848/-127799.28174*100)</f>
        <v>115.5897486032303</v>
      </c>
    </row>
    <row r="69" spans="1:5" ht="15" customHeight="1" x14ac:dyDescent="0.2">
      <c r="A69" s="63" t="s">
        <v>281</v>
      </c>
      <c r="B69" s="64" t="s">
        <v>175</v>
      </c>
      <c r="C69" s="28">
        <v>56654.44526</v>
      </c>
      <c r="D69" s="28">
        <v>-1338.60968</v>
      </c>
      <c r="E69" s="29" t="s">
        <v>22</v>
      </c>
    </row>
    <row r="70" spans="1:5" ht="24" x14ac:dyDescent="0.2">
      <c r="A70" s="63" t="s">
        <v>282</v>
      </c>
      <c r="B70" s="64" t="s">
        <v>176</v>
      </c>
      <c r="C70" s="28">
        <v>-210427.28766999999</v>
      </c>
      <c r="D70" s="28">
        <v>-315268.17245999997</v>
      </c>
      <c r="E70" s="29">
        <f>IF(OR(-210427.28767="",-315268.17246="",-210427.28767=0,-315268.17246=0),"-",-315268.17246/-210427.28767*100)</f>
        <v>149.82285612805853</v>
      </c>
    </row>
    <row r="71" spans="1:5" x14ac:dyDescent="0.2">
      <c r="A71" s="63" t="s">
        <v>283</v>
      </c>
      <c r="B71" s="64" t="s">
        <v>33</v>
      </c>
      <c r="C71" s="28">
        <v>-51953.101600000002</v>
      </c>
      <c r="D71" s="28">
        <v>-2416.2382400000001</v>
      </c>
      <c r="E71" s="29">
        <f>IF(OR(-51953.1016="",-2416.23824="",-51953.1016=0,-2416.23824=0),"-",-2416.23824/-51953.1016*100)</f>
        <v>4.6508065266309337</v>
      </c>
    </row>
    <row r="72" spans="1:5" x14ac:dyDescent="0.2">
      <c r="A72" s="61" t="s">
        <v>284</v>
      </c>
      <c r="B72" s="62" t="s">
        <v>34</v>
      </c>
      <c r="C72" s="25">
        <v>-48172.065609999998</v>
      </c>
      <c r="D72" s="25">
        <v>-180198.31946999999</v>
      </c>
      <c r="E72" s="26" t="s">
        <v>351</v>
      </c>
    </row>
    <row r="73" spans="1:5" ht="24" x14ac:dyDescent="0.2">
      <c r="A73" s="63" t="s">
        <v>285</v>
      </c>
      <c r="B73" s="64" t="s">
        <v>202</v>
      </c>
      <c r="C73" s="28">
        <v>-33894.43434</v>
      </c>
      <c r="D73" s="28">
        <v>-48573.660810000001</v>
      </c>
      <c r="E73" s="29">
        <f>IF(OR(-33894.43434="",-48573.66081="",-33894.43434=0,-48573.66081=0),"-",-48573.66081/-33894.43434*100)</f>
        <v>143.30866337154515</v>
      </c>
    </row>
    <row r="74" spans="1:5" x14ac:dyDescent="0.2">
      <c r="A74" s="63" t="s">
        <v>286</v>
      </c>
      <c r="B74" s="64" t="s">
        <v>177</v>
      </c>
      <c r="C74" s="28">
        <v>67339.929099999994</v>
      </c>
      <c r="D74" s="28">
        <v>70087.257320000004</v>
      </c>
      <c r="E74" s="29">
        <f>IF(OR(67339.9291="",70087.25732="",67339.9291=0,70087.25732=0),"-",70087.25732/67339.9291*100)</f>
        <v>104.07979078195973</v>
      </c>
    </row>
    <row r="75" spans="1:5" x14ac:dyDescent="0.2">
      <c r="A75" s="63" t="s">
        <v>287</v>
      </c>
      <c r="B75" s="64" t="s">
        <v>178</v>
      </c>
      <c r="C75" s="28">
        <v>3137.1467400000001</v>
      </c>
      <c r="D75" s="28">
        <v>2149.6280200000001</v>
      </c>
      <c r="E75" s="29">
        <f>IF(OR(3137.14674="",2149.62802="",3137.14674=0,2149.62802=0),"-",2149.62802/3137.14674*100)</f>
        <v>68.521755536369966</v>
      </c>
    </row>
    <row r="76" spans="1:5" x14ac:dyDescent="0.2">
      <c r="A76" s="63" t="s">
        <v>288</v>
      </c>
      <c r="B76" s="64" t="s">
        <v>179</v>
      </c>
      <c r="C76" s="28">
        <v>88134.078089999995</v>
      </c>
      <c r="D76" s="28">
        <v>63868.21054</v>
      </c>
      <c r="E76" s="29">
        <f>IF(OR(88134.07809="",63868.21054="",88134.07809=0,63868.21054=0),"-",63868.21054/88134.07809*100)</f>
        <v>72.467100041347919</v>
      </c>
    </row>
    <row r="77" spans="1:5" x14ac:dyDescent="0.2">
      <c r="A77" s="63" t="s">
        <v>289</v>
      </c>
      <c r="B77" s="64" t="s">
        <v>180</v>
      </c>
      <c r="C77" s="28">
        <v>-4497.3743999999997</v>
      </c>
      <c r="D77" s="28">
        <v>-12561.13557</v>
      </c>
      <c r="E77" s="29" t="s">
        <v>375</v>
      </c>
    </row>
    <row r="78" spans="1:5" ht="24" x14ac:dyDescent="0.2">
      <c r="A78" s="63" t="s">
        <v>290</v>
      </c>
      <c r="B78" s="64" t="s">
        <v>203</v>
      </c>
      <c r="C78" s="28">
        <v>-29501.366620000001</v>
      </c>
      <c r="D78" s="28">
        <v>-57190.088470000002</v>
      </c>
      <c r="E78" s="29" t="s">
        <v>105</v>
      </c>
    </row>
    <row r="79" spans="1:5" ht="24" x14ac:dyDescent="0.2">
      <c r="A79" s="63" t="s">
        <v>291</v>
      </c>
      <c r="B79" s="64" t="s">
        <v>181</v>
      </c>
      <c r="C79" s="28">
        <v>-6076.2559000000001</v>
      </c>
      <c r="D79" s="28">
        <v>-10700.756659999999</v>
      </c>
      <c r="E79" s="29" t="s">
        <v>206</v>
      </c>
    </row>
    <row r="80" spans="1:5" x14ac:dyDescent="0.2">
      <c r="A80" s="65" t="s">
        <v>292</v>
      </c>
      <c r="B80" s="66" t="s">
        <v>35</v>
      </c>
      <c r="C80" s="28">
        <v>-132813.78828000001</v>
      </c>
      <c r="D80" s="28">
        <v>-187277.77384000001</v>
      </c>
      <c r="E80" s="29">
        <f>IF(OR(-132813.78828="",-187277.77384="",-132813.78828=0,-187277.77384=0),"-",-187277.77384/-132813.78828*100)</f>
        <v>141.00777958774748</v>
      </c>
    </row>
    <row r="81" spans="1:5" x14ac:dyDescent="0.2">
      <c r="A81" s="67" t="s">
        <v>296</v>
      </c>
      <c r="B81" s="68" t="s">
        <v>182</v>
      </c>
      <c r="C81" s="69">
        <v>372.69002</v>
      </c>
      <c r="D81" s="69">
        <v>479.54315000000003</v>
      </c>
      <c r="E81" s="70">
        <f>IF(372.69002="","-",479.54315/372.69002*100)</f>
        <v>128.67077846624389</v>
      </c>
    </row>
    <row r="82" spans="1:5" x14ac:dyDescent="0.2">
      <c r="A82" s="40" t="s">
        <v>299</v>
      </c>
      <c r="B82" s="41"/>
      <c r="C82" s="28"/>
      <c r="D82" s="35"/>
      <c r="E82" s="71"/>
    </row>
    <row r="83" spans="1:5" x14ac:dyDescent="0.2">
      <c r="C83" s="28"/>
      <c r="D83" s="28"/>
      <c r="E83" s="71"/>
    </row>
    <row r="84" spans="1:5" x14ac:dyDescent="0.2">
      <c r="C84" s="28"/>
      <c r="D84" s="28"/>
      <c r="E84" s="71"/>
    </row>
  </sheetData>
  <mergeCells count="6">
    <mergeCell ref="A5:A6"/>
    <mergeCell ref="B2:E2"/>
    <mergeCell ref="B3:E3"/>
    <mergeCell ref="B5:B6"/>
    <mergeCell ref="E5:E6"/>
    <mergeCell ref="C5:D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Doina Vudvud</cp:lastModifiedBy>
  <cp:lastPrinted>2021-12-13T13:12:35Z</cp:lastPrinted>
  <dcterms:created xsi:type="dcterms:W3CDTF">2016-09-01T07:59:47Z</dcterms:created>
  <dcterms:modified xsi:type="dcterms:W3CDTF">2021-12-15T06:54:29Z</dcterms:modified>
</cp:coreProperties>
</file>