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ert_Exterior\"/>
    </mc:Choice>
  </mc:AlternateContent>
  <xr:revisionPtr revIDLastSave="0" documentId="13_ncr:1_{2657F93E-B063-4D13-A25C-9E4F5D62BF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F5" i="1" l="1"/>
  <c r="E5" i="4" l="1"/>
  <c r="E81" i="4"/>
  <c r="E78" i="4"/>
  <c r="E77" i="4"/>
  <c r="E76" i="4"/>
  <c r="E75" i="4"/>
  <c r="E74" i="4"/>
  <c r="E72" i="4"/>
  <c r="E71" i="4"/>
  <c r="E70" i="4"/>
  <c r="E69" i="4"/>
  <c r="E68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1" i="4"/>
  <c r="E40" i="4"/>
  <c r="E39" i="4"/>
  <c r="E37" i="4"/>
  <c r="E33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7" i="4"/>
  <c r="H82" i="6"/>
  <c r="G82" i="6"/>
  <c r="F82" i="6"/>
  <c r="E82" i="6"/>
  <c r="H81" i="6"/>
  <c r="G81" i="6"/>
  <c r="F81" i="6"/>
  <c r="E81" i="6"/>
  <c r="H80" i="6"/>
  <c r="G80" i="6"/>
  <c r="F80" i="6"/>
  <c r="E80" i="6"/>
  <c r="H79" i="6"/>
  <c r="G79" i="6"/>
  <c r="F79" i="6"/>
  <c r="E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H37" i="6"/>
  <c r="G37" i="6"/>
  <c r="F37" i="6"/>
  <c r="E37" i="6"/>
  <c r="D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81" i="5"/>
  <c r="G81" i="5"/>
  <c r="F81" i="5"/>
  <c r="E81" i="5"/>
  <c r="D81" i="5"/>
  <c r="H80" i="5"/>
  <c r="G80" i="5"/>
  <c r="F80" i="5"/>
  <c r="E80" i="5"/>
  <c r="D80" i="5"/>
  <c r="H79" i="5"/>
  <c r="G79" i="5"/>
  <c r="F79" i="5"/>
  <c r="E79" i="5"/>
  <c r="H78" i="5"/>
  <c r="G78" i="5"/>
  <c r="F78" i="5"/>
  <c r="E78" i="5"/>
  <c r="D78" i="5"/>
  <c r="H77" i="5"/>
  <c r="G77" i="5"/>
  <c r="F77" i="5"/>
  <c r="E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H47" i="5"/>
  <c r="G47" i="5"/>
  <c r="F47" i="5"/>
  <c r="E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H38" i="5"/>
  <c r="G38" i="5"/>
  <c r="F38" i="5"/>
  <c r="E38" i="5"/>
  <c r="H37" i="5"/>
  <c r="G37" i="5"/>
  <c r="F37" i="5"/>
  <c r="E37" i="5"/>
  <c r="D37" i="5"/>
  <c r="H36" i="5"/>
  <c r="G36" i="5"/>
  <c r="F36" i="5"/>
  <c r="E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D6" i="5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43" i="3" l="1"/>
  <c r="D142" i="3"/>
  <c r="D140" i="3"/>
  <c r="D138" i="3"/>
  <c r="D137" i="3"/>
  <c r="D136" i="3"/>
  <c r="D134" i="3"/>
  <c r="D133" i="3"/>
  <c r="D132" i="3"/>
  <c r="D131" i="3"/>
  <c r="D130" i="3"/>
  <c r="D128" i="3"/>
  <c r="D126" i="3"/>
  <c r="D125" i="3"/>
  <c r="D122" i="3"/>
  <c r="D121" i="3"/>
  <c r="D119" i="3"/>
  <c r="D113" i="3"/>
  <c r="D111" i="3"/>
  <c r="D110" i="3"/>
  <c r="D109" i="3"/>
  <c r="D108" i="3"/>
  <c r="D107" i="3"/>
  <c r="D102" i="3"/>
  <c r="D98" i="3"/>
  <c r="D97" i="3"/>
  <c r="D96" i="3"/>
  <c r="D95" i="3"/>
  <c r="D94" i="3"/>
  <c r="D90" i="3"/>
  <c r="D86" i="3"/>
  <c r="D85" i="3"/>
  <c r="D82" i="3"/>
  <c r="D80" i="3"/>
  <c r="D79" i="3"/>
  <c r="D78" i="3"/>
  <c r="D77" i="3"/>
  <c r="D76" i="3"/>
  <c r="D75" i="3"/>
  <c r="D74" i="3"/>
  <c r="D71" i="3"/>
  <c r="D70" i="3"/>
  <c r="D69" i="3"/>
  <c r="D66" i="3"/>
  <c r="D63" i="3"/>
  <c r="D62" i="3"/>
  <c r="D61" i="3"/>
  <c r="D60" i="3"/>
  <c r="D59" i="3"/>
  <c r="D58" i="3"/>
  <c r="D57" i="3"/>
  <c r="D56" i="3"/>
  <c r="D53" i="3"/>
  <c r="D52" i="3"/>
  <c r="D51" i="3"/>
  <c r="D50" i="3"/>
  <c r="D48" i="3"/>
  <c r="D47" i="3"/>
  <c r="D46" i="3"/>
  <c r="D44" i="3"/>
  <c r="D38" i="3"/>
  <c r="D37" i="3"/>
  <c r="D36" i="3"/>
  <c r="D35" i="3"/>
  <c r="D33" i="3"/>
  <c r="D31" i="3"/>
  <c r="D29" i="3"/>
  <c r="D28" i="3"/>
  <c r="D26" i="3"/>
  <c r="D25" i="3"/>
  <c r="D24" i="3"/>
  <c r="D23" i="3"/>
  <c r="D22" i="3"/>
  <c r="D21" i="3"/>
  <c r="D20" i="3"/>
  <c r="D19" i="3"/>
  <c r="D18" i="3"/>
  <c r="D17" i="3"/>
  <c r="D15" i="3"/>
  <c r="D13" i="3"/>
  <c r="D12" i="3"/>
  <c r="D10" i="3"/>
  <c r="D9" i="3"/>
  <c r="D8" i="3"/>
  <c r="D6" i="3"/>
  <c r="B4" i="3"/>
  <c r="G126" i="2"/>
  <c r="F126" i="2"/>
  <c r="E126" i="2"/>
  <c r="D126" i="2"/>
  <c r="C126" i="2"/>
  <c r="G125" i="2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C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4" i="2"/>
  <c r="F34" i="2"/>
  <c r="E34" i="2"/>
  <c r="D34" i="2"/>
  <c r="C34" i="2"/>
  <c r="G35" i="2"/>
  <c r="F35" i="2"/>
  <c r="E35" i="2"/>
  <c r="D35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G14" i="2"/>
  <c r="F14" i="2"/>
  <c r="E14" i="2"/>
  <c r="D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G7" i="2"/>
  <c r="F7" i="2"/>
  <c r="E7" i="2"/>
  <c r="D7" i="2"/>
  <c r="C7" i="2"/>
  <c r="G5" i="2"/>
  <c r="F5" i="2"/>
  <c r="C5" i="2"/>
  <c r="G119" i="1" l="1"/>
  <c r="F119" i="1"/>
  <c r="E119" i="1"/>
  <c r="D119" i="1"/>
  <c r="B119" i="1"/>
  <c r="G118" i="1"/>
  <c r="F118" i="1"/>
  <c r="E118" i="1"/>
  <c r="D118" i="1"/>
  <c r="C118" i="1"/>
  <c r="B118" i="1"/>
  <c r="G117" i="1"/>
  <c r="F117" i="1"/>
  <c r="E117" i="1"/>
  <c r="D117" i="1"/>
  <c r="B117" i="1"/>
  <c r="G116" i="1"/>
  <c r="F116" i="1"/>
  <c r="E116" i="1"/>
  <c r="D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B112" i="1"/>
  <c r="G111" i="1"/>
  <c r="F111" i="1"/>
  <c r="E111" i="1"/>
  <c r="D111" i="1"/>
  <c r="B111" i="1"/>
  <c r="G110" i="1"/>
  <c r="F110" i="1"/>
  <c r="E110" i="1"/>
  <c r="D110" i="1"/>
  <c r="C110" i="1"/>
  <c r="B110" i="1"/>
  <c r="G109" i="1"/>
  <c r="F109" i="1"/>
  <c r="E109" i="1"/>
  <c r="D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B102" i="1"/>
  <c r="G101" i="1"/>
  <c r="F101" i="1"/>
  <c r="E101" i="1"/>
  <c r="D101" i="1"/>
  <c r="B101" i="1"/>
  <c r="G100" i="1"/>
  <c r="F100" i="1"/>
  <c r="E100" i="1"/>
  <c r="D100" i="1"/>
  <c r="B100" i="1"/>
  <c r="G99" i="1"/>
  <c r="F99" i="1"/>
  <c r="E99" i="1"/>
  <c r="D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B71" i="1"/>
  <c r="G70" i="1"/>
  <c r="F70" i="1"/>
  <c r="E70" i="1"/>
  <c r="D70" i="1"/>
  <c r="B70" i="1"/>
  <c r="G69" i="1"/>
  <c r="F69" i="1"/>
  <c r="E69" i="1"/>
  <c r="D69" i="1"/>
  <c r="C69" i="1"/>
  <c r="B69" i="1"/>
  <c r="G68" i="1"/>
  <c r="F68" i="1"/>
  <c r="E68" i="1"/>
  <c r="D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B60" i="1"/>
  <c r="G59" i="1"/>
  <c r="F59" i="1"/>
  <c r="E59" i="1"/>
  <c r="D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B56" i="1"/>
  <c r="G55" i="1"/>
  <c r="F55" i="1"/>
  <c r="E55" i="1"/>
  <c r="D55" i="1"/>
  <c r="C55" i="1"/>
  <c r="B55" i="1"/>
  <c r="G54" i="1"/>
  <c r="F54" i="1"/>
  <c r="E54" i="1"/>
  <c r="D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B51" i="1"/>
  <c r="G50" i="1"/>
  <c r="F50" i="1"/>
  <c r="E50" i="1"/>
  <c r="D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G44" i="1"/>
  <c r="F44" i="1"/>
  <c r="E44" i="1"/>
  <c r="D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C5" i="1"/>
</calcChain>
</file>

<file path=xl/sharedStrings.xml><?xml version="1.0" encoding="utf-8"?>
<sst xmlns="http://schemas.openxmlformats.org/spreadsheetml/2006/main" count="1169" uniqueCount="420">
  <si>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</si>
  <si>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</si>
  <si>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</si>
  <si>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</si>
  <si>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</si>
  <si>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</si>
  <si>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</si>
  <si>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</si>
  <si>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</si>
  <si>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</si>
  <si>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</si>
  <si>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</si>
  <si>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</si>
  <si>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</si>
  <si>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</si>
  <si>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</si>
  <si>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</si>
  <si>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</si>
  <si>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</si>
  <si>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</si>
  <si>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</si>
  <si>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</si>
  <si>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</si>
  <si>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</si>
  <si>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</si>
  <si>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</si>
  <si>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</si>
  <si>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</si>
  <si>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</si>
  <si>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</si>
  <si>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</si>
  <si>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</si>
  <si>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</si>
  <si>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</si>
  <si>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</si>
  <si>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</si>
  <si>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</si>
  <si>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</si>
  <si>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</si>
  <si>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</si>
  <si>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</si>
  <si>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</si>
  <si>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</si>
  <si>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</si>
  <si>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</si>
  <si>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</si>
  <si>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</si>
  <si>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</si>
  <si>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</si>
  <si>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</si>
  <si>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</si>
  <si>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</si>
  <si>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</si>
  <si>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</si>
  <si>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</si>
  <si>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</si>
  <si>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</si>
  <si>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</si>
  <si>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</si>
  <si>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</si>
  <si>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</si>
  <si>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</si>
  <si>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</si>
  <si>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</si>
  <si>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</si>
  <si>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</si>
  <si>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</si>
  <si>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</si>
  <si>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</si>
  <si>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</si>
  <si>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</si>
  <si>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</si>
  <si>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</si>
  <si>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</si>
  <si>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</si>
  <si>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</si>
  <si>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</si>
  <si>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</si>
  <si>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</si>
  <si>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</si>
  <si>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</si>
  <si>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</si>
  <si>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</si>
  <si>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</si>
  <si>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</si>
  <si>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</si>
  <si>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</si>
  <si>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</si>
  <si>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</si>
  <si>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</si>
  <si>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</si>
  <si>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</si>
  <si>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</si>
  <si>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</si>
  <si>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</si>
  <si>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</si>
  <si>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</si>
  <si>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</si>
  <si>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</si>
  <si>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</si>
  <si>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</si>
  <si>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</si>
  <si>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</si>
  <si>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</si>
  <si>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</si>
  <si>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</si>
  <si>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</si>
  <si>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</si>
  <si>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</si>
  <si>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</si>
  <si>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</si>
  <si>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</si>
  <si>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</si>
  <si>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</si>
  <si>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</si>
  <si>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</si>
  <si>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</si>
  <si>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</si>
  <si>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</si>
  <si>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</si>
  <si>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</si>
  <si>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</si>
  <si>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</si>
  <si>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</si>
  <si>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</si>
  <si>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</si>
  <si>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</si>
  <si>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</si>
  <si>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</si>
  <si>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</si>
  <si>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</si>
  <si>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</si>
  <si>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</si>
  <si>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</si>
  <si>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</si>
  <si>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</si>
  <si>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</si>
  <si>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</si>
  <si>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</si>
  <si>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</si>
  <si>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</si>
  <si>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</si>
  <si>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</si>
  <si>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</si>
  <si>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</si>
  <si>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</si>
  <si>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</si>
  <si>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</si>
  <si>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</si>
  <si>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</si>
  <si>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</si>
  <si>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</si>
  <si>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</si>
  <si>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</si>
  <si>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</si>
  <si>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</si>
  <si>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</si>
  <si>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</si>
  <si>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</si>
  <si>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</si>
  <si>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</si>
  <si>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</si>
  <si>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</si>
  <si>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</si>
  <si>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</si>
  <si>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</si>
  <si>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</si>
  <si>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</si>
  <si>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</si>
  <si>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</si>
  <si>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</si>
  <si>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</si>
  <si>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</si>
  <si>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</si>
  <si>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</si>
  <si>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</si>
  <si>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</si>
  <si>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</si>
  <si>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</si>
  <si>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</si>
  <si>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</si>
  <si>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</si>
  <si>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</si>
  <si>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</si>
  <si>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</si>
  <si>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</si>
  <si>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</si>
  <si>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</si>
  <si>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</si>
  <si>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</si>
  <si>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</si>
  <si>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</si>
  <si>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</si>
  <si>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</si>
  <si>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</si>
  <si>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</si>
  <si>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</si>
  <si>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</si>
  <si>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</si>
  <si>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</si>
  <si>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</si>
  <si>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</si>
  <si>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Libia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</si>
  <si>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</si>
  <si>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</si>
  <si>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</si>
  <si>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</si>
  <si>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</si>
  <si>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</si>
  <si>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</si>
  <si>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</si>
  <si>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</si>
  <si>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</si>
  <si>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</si>
  <si>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</si>
  <si>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</si>
  <si>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</si>
  <si>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</si>
  <si>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</si>
  <si>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</si>
  <si>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</si>
  <si>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</si>
  <si>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</si>
  <si>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</si>
  <si>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</si>
  <si>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</si>
  <si>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</si>
  <si>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</si>
  <si>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</si>
  <si>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</si>
  <si>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</si>
  <si>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</si>
  <si>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</si>
  <si>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</si>
  <si>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</si>
  <si>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</si>
  <si>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</si>
  <si>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</si>
  <si>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</si>
  <si>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</si>
  <si>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</si>
  <si>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</si>
  <si>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</si>
  <si>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</si>
  <si>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</si>
  <si>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</si>
  <si>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</si>
  <si>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</si>
  <si>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</si>
  <si>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</si>
  <si>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</si>
  <si>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</si>
  <si>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</si>
  <si>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</si>
  <si>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</si>
  <si>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</si>
  <si>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</si>
  <si>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</si>
  <si>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</si>
  <si>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</si>
  <si>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</si>
  <si>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</si>
  <si>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</si>
  <si>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</si>
  <si>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</si>
  <si>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</si>
  <si>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</si>
  <si>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</si>
  <si>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</si>
  <si>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</si>
  <si>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</si>
  <si>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</si>
  <si>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</si>
  <si>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</si>
  <si>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</si>
  <si>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</si>
  <si>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</si>
  <si>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</si>
  <si>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</si>
  <si>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</si>
  <si>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</si>
  <si>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de 2,4 ori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</si>
  <si>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</si>
  <si>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</si>
  <si>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</si>
  <si>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</si>
  <si>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</si>
  <si>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</si>
  <si>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</si>
  <si>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Madagascar</t>
  </si>
  <si>
    <t>Malawi</t>
  </si>
  <si>
    <t>Coreea de Nord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</si>
  <si>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</si>
  <si>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</si>
  <si>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</si>
  <si>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</si>
  <si>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</si>
  <si>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</si>
  <si>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</si>
  <si>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</si>
  <si>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</si>
  <si>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</si>
  <si>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</si>
  <si>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</si>
  <si>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Cehia</t>
  </si>
  <si>
    <t>Kârgâzstan</t>
  </si>
  <si>
    <t>Panama</t>
  </si>
  <si>
    <t>Taiwan, provincie a Chinei</t>
  </si>
  <si>
    <t>Insulele Feroe</t>
  </si>
  <si>
    <t>97</t>
  </si>
  <si>
    <t>Aur nemonetar</t>
  </si>
  <si>
    <t>99</t>
  </si>
  <si>
    <t>Kuwait</t>
  </si>
  <si>
    <t>Paraguay</t>
  </si>
  <si>
    <t>Burkina Faso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</si>
  <si>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</si>
  <si>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</si>
  <si>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</si>
  <si>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</si>
  <si>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</si>
  <si>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Gambia</t>
  </si>
  <si>
    <t>San Marino</t>
  </si>
  <si>
    <t>Mauritius</t>
  </si>
  <si>
    <t>Venezuela</t>
  </si>
  <si>
    <t>Guatemala</t>
  </si>
  <si>
    <t>de 3,1 ori</t>
  </si>
  <si>
    <t>Regatul Țărilor de Jos (Netherlands)</t>
  </si>
  <si>
    <t>Senegal</t>
  </si>
  <si>
    <t>Trinidad și Tobago</t>
  </si>
  <si>
    <t>Țările Uniunii Europene - total</t>
  </si>
  <si>
    <t>Gaz și produse industriale obținute din gaz</t>
  </si>
  <si>
    <t>Mărfuri manufacturate, clasificate mai ales după materia primă</t>
  </si>
  <si>
    <t>Insulele Georgia și Sandwich de Sud</t>
  </si>
  <si>
    <t>Algeria</t>
  </si>
  <si>
    <t>Lesotho</t>
  </si>
  <si>
    <t>Andorra</t>
  </si>
  <si>
    <t>Honduras</t>
  </si>
  <si>
    <t>de 2,6 ori</t>
  </si>
  <si>
    <t>de 4,4 ori</t>
  </si>
  <si>
    <t>de 2,7 ori</t>
  </si>
  <si>
    <t>de 2,5 ori</t>
  </si>
  <si>
    <t>de 35,8 ori</t>
  </si>
  <si>
    <t>de 3,0 ori</t>
  </si>
  <si>
    <t>de 4,0 ori</t>
  </si>
  <si>
    <t>de 2,3 ori</t>
  </si>
  <si>
    <t>de 3,3 ori</t>
  </si>
  <si>
    <t>de 3,2 ori</t>
  </si>
  <si>
    <t>de 2910,1 ori</t>
  </si>
  <si>
    <t>de 2,9 ori</t>
  </si>
  <si>
    <t>Republica Dominicană</t>
  </si>
  <si>
    <t>Kosovo</t>
  </si>
  <si>
    <t>Muntenegru</t>
  </si>
  <si>
    <t>Togo</t>
  </si>
  <si>
    <t>Samoa Americană</t>
  </si>
  <si>
    <t>Barbados</t>
  </si>
  <si>
    <t>Expedieri postale</t>
  </si>
  <si>
    <t>Instalatii fixe de transport</t>
  </si>
  <si>
    <t>de 3,9 ori</t>
  </si>
  <si>
    <t>de 3,4 ori</t>
  </si>
  <si>
    <t>de 9,2 ori</t>
  </si>
  <si>
    <t>de 8,1 ori</t>
  </si>
  <si>
    <t>de 5,1 ori</t>
  </si>
  <si>
    <t>Tuvalu</t>
  </si>
  <si>
    <t>de 5,6 ori</t>
  </si>
  <si>
    <t>de 5,7 ori</t>
  </si>
  <si>
    <t>-</t>
  </si>
  <si>
    <t>Piei crude, piei tăbăcite și blănuri brute</t>
  </si>
  <si>
    <t>Instrumente şi aparate profesionale, ştiinţifice şi de control</t>
  </si>
  <si>
    <t>Cuba</t>
  </si>
  <si>
    <t>de 134,2 ori</t>
  </si>
  <si>
    <t>de 5,5 ori</t>
  </si>
  <si>
    <t>de 4,6 ori</t>
  </si>
  <si>
    <t>de 16,9 ori</t>
  </si>
  <si>
    <t>de 92,4 ori</t>
  </si>
  <si>
    <t>Mărfuri produse în UE, la care țara de origine nu poate fi identificată</t>
  </si>
  <si>
    <t>Ciad</t>
  </si>
  <si>
    <t>Somalia</t>
  </si>
  <si>
    <r>
      <t xml:space="preserve">2021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</si>
  <si>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2022 </t>
    </r>
    <r>
      <rPr>
        <b/>
        <vertAlign val="superscript"/>
        <sz val="10"/>
        <rFont val="Times New Roman"/>
        <family val="1"/>
        <charset val="204"/>
      </rPr>
      <t>1,2</t>
    </r>
  </si>
  <si>
    <t>în % faţă de 
anul 2021 ¹</t>
  </si>
  <si>
    <t>de 7,8 ori</t>
  </si>
  <si>
    <t>de 16,1 ori</t>
  </si>
  <si>
    <t>de 3,7 ori</t>
  </si>
  <si>
    <t>de 5,3 ori</t>
  </si>
  <si>
    <t>Belize</t>
  </si>
  <si>
    <t>de 7,3 ori</t>
  </si>
  <si>
    <t>de 31,1 ori</t>
  </si>
  <si>
    <t>de 9,8 ori</t>
  </si>
  <si>
    <t>de 6,4 ori</t>
  </si>
  <si>
    <t xml:space="preserve">Mărfuri produse în UE, la care țara de origine nu poate fi identificata </t>
  </si>
  <si>
    <t>Groenlanda</t>
  </si>
  <si>
    <t>de 21,0 ori</t>
  </si>
  <si>
    <t>de 4,2 ori</t>
  </si>
  <si>
    <t>de 12,2 ori</t>
  </si>
  <si>
    <t>de 19,1 ori</t>
  </si>
  <si>
    <t>de 3543,4 ori</t>
  </si>
  <si>
    <t>de 14,8 ori</t>
  </si>
  <si>
    <t>de 3539,2 ori</t>
  </si>
  <si>
    <t>de 5,2 ori</t>
  </si>
  <si>
    <t>de 11,2 ori</t>
  </si>
  <si>
    <t>de 76,3 ori</t>
  </si>
  <si>
    <t>de 37,8 ori</t>
  </si>
  <si>
    <t>de 36,8 ori</t>
  </si>
  <si>
    <t>de 3,6 ori</t>
  </si>
  <si>
    <t>de 4,5 ori</t>
  </si>
  <si>
    <t>de 19,7 ori</t>
  </si>
  <si>
    <t>de 21,3 ori</t>
  </si>
  <si>
    <t>de 29,6 ori</t>
  </si>
  <si>
    <t>de 211,1 ori</t>
  </si>
  <si>
    <t>de 25,6 ori</t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</si>
  <si>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anul precedent</t>
    </r>
  </si>
  <si>
    <t xml:space="preserve">      din care:</t>
  </si>
  <si>
    <t xml:space="preserve">       din care:</t>
  </si>
  <si>
    <t>2022 
în % faţă de 
2021 ¹</t>
  </si>
  <si>
    <t>în % faţă de  2021 ¹</t>
  </si>
  <si>
    <t>în % faţă de   2021 ¹</t>
  </si>
  <si>
    <t xml:space="preserve"> 2022</t>
  </si>
  <si>
    <t>în % faţă de 
2021 ¹</t>
  </si>
  <si>
    <t>2022
în % faţă de  
2021 ¹</t>
  </si>
  <si>
    <t xml:space="preserve">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</si>
</sst>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</cellStyleXfs>
  <cellXfs count="97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38" fontId="8" fillId="0" borderId="0" xfId="0" applyNumberFormat="1" applyFont="1" applyAlignment="1">
      <alignment horizontal="center" vertical="top"/>
    </xf>
    <xf numFmtId="38" fontId="8" fillId="0" borderId="0" xfId="0" applyNumberFormat="1" applyFont="1" applyAlignment="1">
      <alignment horizontal="left" vertical="top" wrapTex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wrapText="1" indent="1"/>
    </xf>
    <xf numFmtId="4" fontId="8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3" xfId="0" applyNumberFormat="1" applyFont="1" applyBorder="1" applyAlignment="1">
      <alignment horizontal="right" vertical="top" inden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8" fontId="27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30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 indent="1"/>
    </xf>
    <xf numFmtId="0" fontId="8" fillId="0" borderId="0" xfId="0" applyFont="1" applyAlignment="1">
      <alignment horizontal="left" vertical="top" wrapText="1" indent="1"/>
    </xf>
    <xf numFmtId="38" fontId="7" fillId="0" borderId="0" xfId="0" applyNumberFormat="1" applyFont="1" applyAlignment="1">
      <alignment horizontal="left" vertical="top" wrapText="1" indent="1"/>
    </xf>
    <xf numFmtId="38" fontId="7" fillId="0" borderId="3" xfId="0" applyNumberFormat="1" applyFont="1" applyBorder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20" fillId="0" borderId="0" xfId="0" applyNumberFormat="1" applyFont="1" applyAlignment="1">
      <alignment horizontal="right" vertical="top" wrapText="1" indent="1"/>
    </xf>
    <xf numFmtId="4" fontId="22" fillId="0" borderId="0" xfId="0" applyNumberFormat="1" applyFont="1" applyAlignment="1">
      <alignment horizontal="right" vertical="top" indent="1"/>
    </xf>
    <xf numFmtId="4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/>
    </xf>
    <xf numFmtId="4" fontId="21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center" vertical="top"/>
    </xf>
    <xf numFmtId="38" fontId="7" fillId="0" borderId="3" xfId="0" applyNumberFormat="1" applyFont="1" applyBorder="1" applyAlignment="1">
      <alignment horizontal="center" vertical="top"/>
    </xf>
    <xf numFmtId="38" fontId="7" fillId="0" borderId="3" xfId="0" applyNumberFormat="1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 indent="1"/>
    </xf>
    <xf numFmtId="0" fontId="32" fillId="0" borderId="0" xfId="0" applyFont="1"/>
    <xf numFmtId="0" fontId="33" fillId="0" borderId="0" xfId="0" applyFont="1"/>
    <xf numFmtId="4" fontId="19" fillId="0" borderId="0" xfId="0" applyNumberFormat="1" applyFont="1" applyAlignment="1">
      <alignment horizontal="right" vertical="top"/>
    </xf>
    <xf numFmtId="4" fontId="27" fillId="0" borderId="0" xfId="0" applyNumberFormat="1" applyFont="1" applyAlignment="1">
      <alignment horizontal="left"/>
    </xf>
    <xf numFmtId="4" fontId="9" fillId="0" borderId="0" xfId="0" applyNumberFormat="1" applyFont="1"/>
    <xf numFmtId="4" fontId="7" fillId="0" borderId="3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indent="1"/>
    </xf>
    <xf numFmtId="4" fontId="29" fillId="0" borderId="0" xfId="0" applyNumberFormat="1" applyFont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top" wrapText="1" indent="1"/>
    </xf>
    <xf numFmtId="4" fontId="25" fillId="0" borderId="0" xfId="0" applyNumberFormat="1" applyFont="1" applyAlignment="1">
      <alignment horizontal="right" vertical="top" indent="1"/>
    </xf>
    <xf numFmtId="4" fontId="29" fillId="0" borderId="3" xfId="0" applyNumberFormat="1" applyFont="1" applyBorder="1" applyAlignment="1">
      <alignment horizontal="right" vertical="top" indent="1"/>
    </xf>
    <xf numFmtId="0" fontId="34" fillId="0" borderId="5" xfId="0" applyFont="1" applyBorder="1" applyAlignment="1">
      <alignment horizontal="center" vertical="top"/>
    </xf>
    <xf numFmtId="4" fontId="31" fillId="0" borderId="5" xfId="0" applyNumberFormat="1" applyFont="1" applyBorder="1" applyAlignment="1">
      <alignment horizontal="right" vertical="top"/>
    </xf>
    <xf numFmtId="4" fontId="31" fillId="0" borderId="5" xfId="0" applyNumberFormat="1" applyFont="1" applyBorder="1" applyAlignment="1">
      <alignment horizontal="right" vertical="top" indent="1"/>
    </xf>
    <xf numFmtId="0" fontId="34" fillId="0" borderId="0" xfId="0" applyFont="1" applyAlignment="1">
      <alignment horizontal="center" vertical="top"/>
    </xf>
    <xf numFmtId="4" fontId="31" fillId="0" borderId="0" xfId="0" applyNumberFormat="1" applyFont="1" applyAlignment="1">
      <alignment horizontal="right" vertical="top" indent="1"/>
    </xf>
    <xf numFmtId="0" fontId="31" fillId="0" borderId="0" xfId="0" applyFont="1" applyAlignment="1">
      <alignment horizontal="left" vertical="top" wrapText="1" indent="1"/>
    </xf>
    <xf numFmtId="4" fontId="31" fillId="0" borderId="5" xfId="0" applyNumberFormat="1" applyFont="1" applyBorder="1" applyAlignment="1">
      <alignment horizontal="right" vertical="top" wrapText="1" indent="1"/>
    </xf>
    <xf numFmtId="4" fontId="31" fillId="0" borderId="0" xfId="0" applyNumberFormat="1" applyFont="1" applyAlignment="1">
      <alignment horizontal="right" vertical="top" wrapText="1" indent="1"/>
    </xf>
    <xf numFmtId="0" fontId="31" fillId="0" borderId="5" xfId="0" applyFont="1" applyBorder="1" applyAlignment="1">
      <alignment horizontal="left" vertical="top" wrapText="1" indent="1"/>
    </xf>
    <xf numFmtId="4" fontId="0" fillId="0" borderId="0" xfId="0" applyNumberFormat="1" applyAlignment="1">
      <alignment horizontal="right" vertical="top" indent="1"/>
    </xf>
    <xf numFmtId="4" fontId="8" fillId="0" borderId="0" xfId="4" applyNumberFormat="1" applyFont="1" applyAlignment="1">
      <alignment horizontal="right" vertical="top" indent="1"/>
    </xf>
    <xf numFmtId="4" fontId="7" fillId="0" borderId="0" xfId="4" applyNumberFormat="1" applyFont="1" applyAlignment="1">
      <alignment horizontal="right" vertical="top" indent="1"/>
    </xf>
    <xf numFmtId="4" fontId="7" fillId="0" borderId="3" xfId="4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21"/>
  <sheetViews>
    <sheetView tabSelected="1" zoomScale="99" zoomScaleNormal="99" workbookViewId="0">
      <selection sqref="A1:G1"/>
    </sheetView>
  </sheetViews>
  <sheetFormatPr defaultRowHeight="15.6" x14ac:dyDescent="0.3"/>
  <cols>
    <col min="1" max="1" width="30.69921875" style="2" customWidth="1"/>
    <col min="2" max="2" width="10.8984375" style="2" customWidth="1"/>
    <col min="3" max="3" width="10.8984375" style="45" customWidth="1"/>
    <col min="4" max="4" width="9" style="2" customWidth="1"/>
    <col min="5" max="5" width="8.69921875" style="2" customWidth="1"/>
    <col min="6" max="6" width="9.8984375" style="2" customWidth="1"/>
    <col min="7" max="7" width="9.59765625" style="2" customWidth="1"/>
    <col min="9" max="9" width="9.59765625" customWidth="1"/>
  </cols>
  <sheetData>
    <row r="1" spans="1:7" ht="16.2" x14ac:dyDescent="0.35">
      <c r="A1" s="73" t="s">
        <v>293</v>
      </c>
      <c r="B1" s="73"/>
      <c r="C1" s="73"/>
      <c r="D1" s="73"/>
      <c r="E1" s="73"/>
      <c r="F1" s="73"/>
      <c r="G1" s="73"/>
    </row>
    <row r="2" spans="1:7" ht="3.6" customHeight="1" x14ac:dyDescent="0.3">
      <c r="A2" s="82"/>
      <c r="B2" s="82"/>
      <c r="C2" s="82"/>
      <c r="D2" s="82"/>
      <c r="E2" s="82"/>
      <c r="F2" s="82"/>
      <c r="G2" s="82"/>
    </row>
    <row r="3" spans="1:7" ht="82.2" customHeight="1" x14ac:dyDescent="0.3">
      <c r="A3" s="74"/>
      <c r="B3" s="76" t="s">
        <v>416</v>
      </c>
      <c r="C3" s="77"/>
      <c r="D3" s="78" t="s">
        <v>104</v>
      </c>
      <c r="E3" s="79"/>
      <c r="F3" s="80" t="s">
        <v>1</v>
      </c>
      <c r="G3" s="81"/>
    </row>
    <row r="4" spans="1:7" ht="27.75" customHeight="1" x14ac:dyDescent="0.3">
      <c r="A4" s="75"/>
      <c r="B4" s="49" t="s">
        <v>95</v>
      </c>
      <c r="C4" s="48" t="s">
        <v>414</v>
      </c>
      <c r="D4" s="49">
        <v>2021</v>
      </c>
      <c r="E4" s="49">
        <v>2022</v>
      </c>
      <c r="F4" s="49" t="s">
        <v>377</v>
      </c>
      <c r="G4" s="47" t="s">
        <v>378</v>
      </c>
    </row>
    <row r="5" spans="1:7" s="1" customFormat="1" ht="15.75" customHeight="1" x14ac:dyDescent="0.25">
      <c r="A5" s="67" t="s">
        <v>96</v>
      </c>
      <c r="B5" s="60">
        <v>4335076.1973400004</v>
      </c>
      <c r="C5" s="61">
        <f>IF(3144504.53867="","-",4335076.19734/3144504.53867*100)</f>
        <v>137.86197933661003</v>
      </c>
      <c r="D5" s="61">
        <v>100</v>
      </c>
      <c r="E5" s="61">
        <v>100</v>
      </c>
      <c r="F5" s="61">
        <f>IF(2467106.07968="","-",(3144504.53867-2467106.07968)/2467106.07968*100)</f>
        <v>27.45720845039072</v>
      </c>
      <c r="G5" s="61">
        <f>IF(3144504.53867="","-",(4335076.19734-3144504.53867)/3144504.53867*100)</f>
        <v>37.861979336610034</v>
      </c>
    </row>
    <row r="6" spans="1:7" x14ac:dyDescent="0.3">
      <c r="A6" s="34" t="s">
        <v>412</v>
      </c>
      <c r="B6" s="43"/>
      <c r="C6" s="26"/>
      <c r="D6" s="26"/>
      <c r="E6" s="26"/>
      <c r="F6" s="26"/>
      <c r="G6" s="26"/>
    </row>
    <row r="7" spans="1:7" ht="26.4" x14ac:dyDescent="0.3">
      <c r="A7" s="27" t="s">
        <v>132</v>
      </c>
      <c r="B7" s="9">
        <v>2540421.5550600002</v>
      </c>
      <c r="C7" s="17">
        <f>IF(1919531.97341="","-",2540421.55506/1919531.97341*100)</f>
        <v>132.34588380140423</v>
      </c>
      <c r="D7" s="17">
        <f>IF(1919531.97341="","-",1919531.97341/3144504.53867*100)</f>
        <v>61.044019806754214</v>
      </c>
      <c r="E7" s="17">
        <f>IF(2540421.55506="","-",2540421.55506/4335076.19734*100)</f>
        <v>58.601543304332246</v>
      </c>
      <c r="F7" s="17">
        <f>IF(2467106.07968="","-",(1919531.97341-1640367.52565)/2467106.07968*100)</f>
        <v>11.315461870865708</v>
      </c>
      <c r="G7" s="17">
        <f>IF(3144504.53867="","-",(2540421.55506-1919531.97341)/3144504.53867*100)</f>
        <v>19.745227714398897</v>
      </c>
    </row>
    <row r="8" spans="1:7" ht="15.75" customHeight="1" x14ac:dyDescent="0.3">
      <c r="A8" s="28" t="s">
        <v>2</v>
      </c>
      <c r="B8" s="10">
        <v>1240857.16818</v>
      </c>
      <c r="C8" s="15">
        <f>IF(OR(833476.92972="",1240857.16818=""),"-",1240857.16818/833476.92972*100)</f>
        <v>148.87720630694074</v>
      </c>
      <c r="D8" s="15">
        <f>IF(833476.92972="","-",833476.92972/3144504.53867*100)</f>
        <v>26.505826894831813</v>
      </c>
      <c r="E8" s="15">
        <f>IF(1240857.16818="","-",1240857.16818/4335076.19734*100)</f>
        <v>28.623653003870825</v>
      </c>
      <c r="F8" s="15">
        <f>IF(OR(2467106.07968="",706674.1093="",833476.92972=""),"-",(833476.92972-706674.1093)/2467106.07968*100)</f>
        <v>5.1397392866239127</v>
      </c>
      <c r="G8" s="15">
        <f>IF(OR(3144504.53867="",1240857.16818="",833476.92972=""),"-",(1240857.16818-833476.92972)/3144504.53867*100)</f>
        <v>12.955307694747537</v>
      </c>
    </row>
    <row r="9" spans="1:7" ht="15.75" customHeight="1" x14ac:dyDescent="0.3">
      <c r="A9" s="28" t="s">
        <v>3</v>
      </c>
      <c r="B9" s="10">
        <v>331303.98897000001</v>
      </c>
      <c r="C9" s="15">
        <f>IF(OR(240059.08368="",331303.98897=""),"-",331303.98897/240059.08368*100)</f>
        <v>138.00935331888124</v>
      </c>
      <c r="D9" s="15">
        <f>IF(240059.08368="","-",240059.08368/3144504.53867*100)</f>
        <v>7.6342419203991803</v>
      </c>
      <c r="E9" s="15">
        <f>IF(331303.98897="","-",331303.98897/4335076.19734*100)</f>
        <v>7.6424028987838302</v>
      </c>
      <c r="F9" s="15">
        <f>IF(OR(2467106.07968="",213726.23884="",240059.08368=""),"-",(240059.08368-213726.23884)/2467106.07968*100)</f>
        <v>1.0673576242581166</v>
      </c>
      <c r="G9" s="15">
        <f>IF(OR(3144504.53867="",331303.98897="",240059.08368=""),"-",(331303.98897-240059.08368)/3144504.53867*100)</f>
        <v>2.9017259847426695</v>
      </c>
    </row>
    <row r="10" spans="1:7" ht="13.5" customHeight="1" x14ac:dyDescent="0.3">
      <c r="A10" s="28" t="s">
        <v>4</v>
      </c>
      <c r="B10" s="10">
        <v>230810.2659</v>
      </c>
      <c r="C10" s="15">
        <f>IF(OR(245445.88827="",230810.2659=""),"-",230810.2659/245445.88827*100)</f>
        <v>94.037128723908282</v>
      </c>
      <c r="D10" s="15">
        <f>IF(245445.88827="","-",245445.88827/3144504.53867*100)</f>
        <v>7.8055504532301869</v>
      </c>
      <c r="E10" s="15">
        <f>IF(230810.2659="","-",230810.2659/4335076.19734*100)</f>
        <v>5.3242493417214902</v>
      </c>
      <c r="F10" s="15">
        <f>IF(OR(2467106.07968="",225600.61639="",245445.88827=""),"-",(245445.88827-225600.61639)/2467106.07968*100)</f>
        <v>0.80439475397726112</v>
      </c>
      <c r="G10" s="15">
        <f>IF(OR(3144504.53867="",230810.2659="",245445.88827=""),"-",(230810.2659-245445.88827)/3144504.53867*100)</f>
        <v>-0.46543492591650959</v>
      </c>
    </row>
    <row r="11" spans="1:7" ht="15.75" customHeight="1" x14ac:dyDescent="0.3">
      <c r="A11" s="28" t="s">
        <v>6</v>
      </c>
      <c r="B11" s="10">
        <v>142130.8321</v>
      </c>
      <c r="C11" s="15" t="s">
        <v>197</v>
      </c>
      <c r="D11" s="15">
        <f>IF(77766.04431="","-",77766.04431/3144504.53867*100)</f>
        <v>2.4730778204852562</v>
      </c>
      <c r="E11" s="15">
        <f>IF(142130.8321="","-",142130.8321/4335076.19734*100)</f>
        <v>3.2786236188238482</v>
      </c>
      <c r="F11" s="15">
        <f>IF(OR(2467106.07968="",58158.27616="",77766.04431=""),"-",(77766.04431-58158.27616)/2467106.07968*100)</f>
        <v>0.79476793930738698</v>
      </c>
      <c r="G11" s="15">
        <f>IF(OR(3144504.53867="",142130.8321="",77766.04431=""),"-",(142130.8321-77766.04431)/3144504.53867*100)</f>
        <v>2.0468975954228941</v>
      </c>
    </row>
    <row r="12" spans="1:7" s="5" customFormat="1" x14ac:dyDescent="0.3">
      <c r="A12" s="28" t="s">
        <v>5</v>
      </c>
      <c r="B12" s="10">
        <v>122527.30433</v>
      </c>
      <c r="C12" s="15">
        <f>IF(OR(108508.15569="",122527.30433=""),"-",122527.30433/108508.15569*100)</f>
        <v>112.91990316382456</v>
      </c>
      <c r="D12" s="15">
        <f>IF(108508.15569="","-",108508.15569/3144504.53867*100)</f>
        <v>3.4507234559723239</v>
      </c>
      <c r="E12" s="15">
        <f>IF(122527.30433="","-",122527.30433/4335076.19734*100)</f>
        <v>2.8264163939075089</v>
      </c>
      <c r="F12" s="15">
        <f>IF(OR(2467106.07968="",109763.99893="",108508.15569=""),"-",(108508.15569-109763.99893)/2467106.07968*100)</f>
        <v>-5.0903495814127835E-2</v>
      </c>
      <c r="G12" s="15">
        <f>IF(OR(3144504.53867="",122527.30433="",108508.15569=""),"-",(122527.30433-108508.15569)/3144504.53867*100)</f>
        <v>0.44583012896300478</v>
      </c>
    </row>
    <row r="13" spans="1:7" s="5" customFormat="1" x14ac:dyDescent="0.3">
      <c r="A13" s="28" t="s">
        <v>304</v>
      </c>
      <c r="B13" s="10">
        <v>104259.3392</v>
      </c>
      <c r="C13" s="15">
        <f>IF(OR(79000.73983="",104259.3392=""),"-",104259.3392/79000.73983*100)</f>
        <v>131.97261117345664</v>
      </c>
      <c r="D13" s="15">
        <f>IF(79000.73983="","-",79000.73983/3144504.53867*100)</f>
        <v>2.5123430053439888</v>
      </c>
      <c r="E13" s="15">
        <f>IF(104259.3392="","-",104259.3392/4335076.19734*100)</f>
        <v>2.4050174542254519</v>
      </c>
      <c r="F13" s="15">
        <f>IF(OR(2467106.07968="",80461.43231="",79000.73983=""),"-",(79000.73983-80461.43231)/2467106.07968*100)</f>
        <v>-5.9206715594063937E-2</v>
      </c>
      <c r="G13" s="15">
        <f>IF(OR(3144504.53867="",104259.3392="",79000.73983=""),"-",(104259.3392-79000.73983)/3144504.53867*100)</f>
        <v>0.80326166044216851</v>
      </c>
    </row>
    <row r="14" spans="1:7" s="5" customFormat="1" x14ac:dyDescent="0.3">
      <c r="A14" s="28" t="s">
        <v>326</v>
      </c>
      <c r="B14" s="10">
        <v>66606.243189999994</v>
      </c>
      <c r="C14" s="15" t="s">
        <v>101</v>
      </c>
      <c r="D14" s="15">
        <f>IF(35829.53069="","-",35829.53069/3144504.53867*100)</f>
        <v>1.1394332636312385</v>
      </c>
      <c r="E14" s="15">
        <f>IF(66606.24319="","-",66606.24319/4335076.19734*100)</f>
        <v>1.5364491916167364</v>
      </c>
      <c r="F14" s="15">
        <f>IF(OR(2467106.07968="",35958.30808="",35829.53069=""),"-",(35829.53069-35958.30808)/2467106.07968*100)</f>
        <v>-5.2197751471110719E-3</v>
      </c>
      <c r="G14" s="15">
        <f>IF(OR(3144504.53867="",66606.24319="",35829.53069=""),"-",(66606.24319-35829.53069)/3144504.53867*100)</f>
        <v>0.97874600343293883</v>
      </c>
    </row>
    <row r="15" spans="1:7" s="5" customFormat="1" x14ac:dyDescent="0.3">
      <c r="A15" s="28" t="s">
        <v>40</v>
      </c>
      <c r="B15" s="10">
        <v>52815.394370000002</v>
      </c>
      <c r="C15" s="15">
        <f>IF(OR(41801.2056="",52815.39437=""),"-",52815.39437/41801.2056*100)</f>
        <v>126.3489739396416</v>
      </c>
      <c r="D15" s="15">
        <f>IF(41801.2056="","-",41801.2056/3144504.53867*100)</f>
        <v>1.3293415571815408</v>
      </c>
      <c r="E15" s="15">
        <f>IF(52815.39437="","-",52815.39437/4335076.19734*100)</f>
        <v>1.2183267828696411</v>
      </c>
      <c r="F15" s="15">
        <f>IF(OR(2467106.07968="",27269.74917="",41801.2056=""),"-",(41801.2056-27269.74917)/2467106.07968*100)</f>
        <v>0.58900817235571923</v>
      </c>
      <c r="G15" s="15">
        <f>IF(OR(3144504.53867="",52815.39437="",41801.2056=""),"-",(52815.39437-41801.2056)/3144504.53867*100)</f>
        <v>0.35026786047058983</v>
      </c>
    </row>
    <row r="16" spans="1:7" s="5" customFormat="1" x14ac:dyDescent="0.3">
      <c r="A16" s="28" t="s">
        <v>38</v>
      </c>
      <c r="B16" s="10">
        <v>42925.478060000001</v>
      </c>
      <c r="C16" s="15">
        <f>IF(OR(62797.90029="",42925.47806=""),"-",42925.47806/62797.90029*100)</f>
        <v>68.354957509360375</v>
      </c>
      <c r="D16" s="15">
        <f>IF(62797.90029="","-",62797.90029/3144504.53867*100)</f>
        <v>1.9970682032012903</v>
      </c>
      <c r="E16" s="15">
        <f>IF(42925.47806="","-",42925.47806/4335076.19734*100)</f>
        <v>0.99018970154063379</v>
      </c>
      <c r="F16" s="15">
        <f>IF(OR(2467106.07968="",34662.53935="",62797.90029=""),"-",(62797.90029-34662.53935)/2467106.07968*100)</f>
        <v>1.1404195859972646</v>
      </c>
      <c r="G16" s="15">
        <f>IF(OR(3144504.53867="",42925.47806="",62797.90029=""),"-",(42925.47806-62797.90029)/3144504.53867*100)</f>
        <v>-0.63197308147010145</v>
      </c>
    </row>
    <row r="17" spans="1:7" s="5" customFormat="1" x14ac:dyDescent="0.3">
      <c r="A17" s="28" t="s">
        <v>296</v>
      </c>
      <c r="B17" s="10">
        <v>37950.955390000003</v>
      </c>
      <c r="C17" s="15">
        <f>IF(OR(32473.89831="",37950.95539=""),"-",37950.95539/32473.89831*100)</f>
        <v>116.866028918719</v>
      </c>
      <c r="D17" s="15">
        <f>IF(32473.89831="","-",32473.89831/3144504.53867*100)</f>
        <v>1.0327190789724592</v>
      </c>
      <c r="E17" s="15">
        <f>IF(37950.95539="","-",37950.95539/4335076.19734*100)</f>
        <v>0.87543917713111208</v>
      </c>
      <c r="F17" s="15">
        <f>IF(OR(2467106.07968="",29629.16883="",32473.89831=""),"-",(32473.89831-29629.16883)/2467106.07968*100)</f>
        <v>0.11530633009379888</v>
      </c>
      <c r="G17" s="15">
        <f>IF(OR(3144504.53867="",37950.95539="",32473.89831=""),"-",(37950.95539-32473.89831)/3144504.53867*100)</f>
        <v>0.17417869850862353</v>
      </c>
    </row>
    <row r="18" spans="1:7" s="7" customFormat="1" x14ac:dyDescent="0.3">
      <c r="A18" s="28" t="s">
        <v>8</v>
      </c>
      <c r="B18" s="10">
        <v>33041.687059999997</v>
      </c>
      <c r="C18" s="15">
        <f>IF(OR(44501.64637="",33041.68706=""),"-",33041.68706/44501.64637*100)</f>
        <v>74.248235189506303</v>
      </c>
      <c r="D18" s="15">
        <f>IF(44501.64637="","-",44501.64637/3144504.53867*100)</f>
        <v>1.4152196577468583</v>
      </c>
      <c r="E18" s="15">
        <f>IF(33041.68706="","-",33041.68706/4335076.19734*100)</f>
        <v>0.76219391668996161</v>
      </c>
      <c r="F18" s="15">
        <f>IF(OR(2467106.07968="",27039.61827="",44501.64637=""),"-",(44501.64637-27039.61827)/2467106.07968*100)</f>
        <v>0.70779397139927369</v>
      </c>
      <c r="G18" s="15">
        <f>IF(OR(3144504.53867="",33041.68706="",44501.64637=""),"-",(33041.68706-44501.64637)/3144504.53867*100)</f>
        <v>-0.3644440378148448</v>
      </c>
    </row>
    <row r="19" spans="1:7" s="5" customFormat="1" x14ac:dyDescent="0.3">
      <c r="A19" s="28" t="s">
        <v>49</v>
      </c>
      <c r="B19" s="10">
        <v>22389.846389999999</v>
      </c>
      <c r="C19" s="15">
        <f>IF(OR(16304.17653="",22389.84639=""),"-",22389.84639/16304.17653*100)</f>
        <v>137.32583395918368</v>
      </c>
      <c r="D19" s="15">
        <f>IF(16304.17653="","-",16304.17653/3144504.53867*100)</f>
        <v>0.51849747168423599</v>
      </c>
      <c r="E19" s="15">
        <f>IF(22389.84639="","-",22389.84639/4335076.19734*100)</f>
        <v>0.51648103449112126</v>
      </c>
      <c r="F19" s="15">
        <f>IF(OR(2467106.07968="",9251.71585="",16304.17653=""),"-",(16304.17653-9251.71585)/2467106.07968*100)</f>
        <v>0.28585964495352184</v>
      </c>
      <c r="G19" s="15">
        <f>IF(OR(3144504.53867="",22389.84639="",16304.17653=""),"-",(22389.84639-16304.17653)/3144504.53867*100)</f>
        <v>0.19353350536342345</v>
      </c>
    </row>
    <row r="20" spans="1:7" s="5" customFormat="1" x14ac:dyDescent="0.3">
      <c r="A20" s="28" t="s">
        <v>7</v>
      </c>
      <c r="B20" s="10">
        <v>21284.329259999999</v>
      </c>
      <c r="C20" s="15">
        <f>IF(OR(22005.81349="",21284.32926=""),"-",21284.32926/22005.81349*100)</f>
        <v>96.72139259778848</v>
      </c>
      <c r="D20" s="15">
        <f>IF(22005.81349="","-",22005.81349/3144504.53867*100)</f>
        <v>0.69981815002587278</v>
      </c>
      <c r="E20" s="15">
        <f>IF(21284.32926="","-",21284.32926/4335076.19734*100)</f>
        <v>0.49097935748073007</v>
      </c>
      <c r="F20" s="15">
        <f>IF(OR(2467106.07968="",22723.78932="",22005.81349=""),"-",(22005.81349-22723.78932)/2467106.07968*100)</f>
        <v>-2.9101944010981706E-2</v>
      </c>
      <c r="G20" s="15">
        <f>IF(OR(3144504.53867="",21284.32926="",22005.81349=""),"-",(21284.32926-22005.81349)/3144504.53867*100)</f>
        <v>-2.2944289668768006E-2</v>
      </c>
    </row>
    <row r="21" spans="1:7" s="5" customFormat="1" x14ac:dyDescent="0.3">
      <c r="A21" s="28" t="s">
        <v>45</v>
      </c>
      <c r="B21" s="10">
        <v>18901.595359999999</v>
      </c>
      <c r="C21" s="15">
        <f>IF(OR(13608.29694="",18901.59536=""),"-",18901.59536/13608.29694*100)</f>
        <v>138.89758169841934</v>
      </c>
      <c r="D21" s="15">
        <f>IF(13608.29694="","-",13608.29694/3144504.53867*100)</f>
        <v>0.43276442354113331</v>
      </c>
      <c r="E21" s="15">
        <f>IF(18901.59536="","-",18901.59536/4335076.19734*100)</f>
        <v>0.43601529706901127</v>
      </c>
      <c r="F21" s="15">
        <f>IF(OR(2467106.07968="",10139.70942="",13608.29694=""),"-",(13608.29694-10139.70942)/2467106.07968*100)</f>
        <v>0.14059336761270921</v>
      </c>
      <c r="G21" s="15">
        <f>IF(OR(3144504.53867="",18901.59536="",13608.29694=""),"-",(18901.59536-13608.29694)/3144504.53867*100)</f>
        <v>0.16833489520860584</v>
      </c>
    </row>
    <row r="22" spans="1:7" s="5" customFormat="1" x14ac:dyDescent="0.3">
      <c r="A22" s="28" t="s">
        <v>42</v>
      </c>
      <c r="B22" s="10">
        <v>18851.020929999999</v>
      </c>
      <c r="C22" s="15">
        <f>IF(OR(16391.65379="",18851.02093=""),"-",18851.02093/16391.65379*100)</f>
        <v>115.00377674826427</v>
      </c>
      <c r="D22" s="15">
        <f>IF(16391.65379="","-",16391.65379/3144504.53867*100)</f>
        <v>0.52127938085066383</v>
      </c>
      <c r="E22" s="15">
        <f>IF(18851.02093="","-",18851.02093/4335076.19734*100)</f>
        <v>0.4348486640573232</v>
      </c>
      <c r="F22" s="15">
        <f>IF(OR(2467106.07968="",10049.74265="",16391.65379=""),"-",(16391.65379-10049.74265)/2467106.07968*100)</f>
        <v>0.25705871313091605</v>
      </c>
      <c r="G22" s="15">
        <f>IF(OR(3144504.53867="",18851.02093="",16391.65379=""),"-",(18851.02093-16391.65379)/3144504.53867*100)</f>
        <v>7.8211594537567833E-2</v>
      </c>
    </row>
    <row r="23" spans="1:7" s="5" customFormat="1" x14ac:dyDescent="0.3">
      <c r="A23" s="28" t="s">
        <v>39</v>
      </c>
      <c r="B23" s="10">
        <v>17851.267199999998</v>
      </c>
      <c r="C23" s="15">
        <f>IF(OR(20868.25949="",17851.2672=""),"-",17851.2672/20868.25949*100)</f>
        <v>85.542674071856666</v>
      </c>
      <c r="D23" s="15">
        <f>IF(20868.25949="","-",20868.25949/3144504.53867*100)</f>
        <v>0.66364221241755439</v>
      </c>
      <c r="E23" s="15">
        <f>IF(17851.2672="","-",17851.2672/4335076.19734*100)</f>
        <v>0.41178669964217751</v>
      </c>
      <c r="F23" s="15">
        <f>IF(OR(2467106.07968="",12522.15534="",20868.25949=""),"-",(20868.25949-12522.15534)/2467106.07968*100)</f>
        <v>0.33829530958322418</v>
      </c>
      <c r="G23" s="15">
        <f>IF(OR(3144504.53867="",17851.2672="",20868.25949=""),"-",(17851.2672-20868.25949)/3144504.53867*100)</f>
        <v>-9.5944917645947148E-2</v>
      </c>
    </row>
    <row r="24" spans="1:7" s="5" customFormat="1" x14ac:dyDescent="0.3">
      <c r="A24" s="28" t="s">
        <v>41</v>
      </c>
      <c r="B24" s="10">
        <v>16645.929530000001</v>
      </c>
      <c r="C24" s="15" t="s">
        <v>18</v>
      </c>
      <c r="D24" s="15">
        <f>IF(8435.73181="","-",8435.73181/3144504.53867*100)</f>
        <v>0.2682690295485462</v>
      </c>
      <c r="E24" s="15">
        <f>IF(16645.92953="","-",16645.92953/4335076.19734*100)</f>
        <v>0.38398239782299404</v>
      </c>
      <c r="F24" s="15">
        <f>IF(OR(2467106.07968="",7698.80178="",8435.73181=""),"-",(8435.73181-7698.80178)/2467106.07968*100)</f>
        <v>2.9870220663376752E-2</v>
      </c>
      <c r="G24" s="15">
        <f>IF(OR(3144504.53867="",16645.92953="",8435.73181=""),"-",(16645.92953-8435.73181)/3144504.53867*100)</f>
        <v>0.26109670439440952</v>
      </c>
    </row>
    <row r="25" spans="1:7" s="2" customFormat="1" x14ac:dyDescent="0.3">
      <c r="A25" s="28" t="s">
        <v>43</v>
      </c>
      <c r="B25" s="10">
        <v>6885.5482099999999</v>
      </c>
      <c r="C25" s="15">
        <f>IF(OR(7213.99242="",6885.54821=""),"-",6885.54821/7213.99242*100)</f>
        <v>95.44712288455662</v>
      </c>
      <c r="D25" s="15">
        <f>IF(7213.99242="","-",7213.99242/3144504.53867*100)</f>
        <v>0.22941586921834209</v>
      </c>
      <c r="E25" s="15">
        <f>IF(6885.54821="","-",6885.54821/4335076.19734*100)</f>
        <v>0.15883338369519243</v>
      </c>
      <c r="F25" s="15">
        <f>IF(OR(2467106.07968="",7399.2091="",7213.99242=""),"-",(7213.99242-7399.2091)/2467106.07968*100)</f>
        <v>-7.507446944641484E-3</v>
      </c>
      <c r="G25" s="15">
        <f>IF(OR(3144504.53867="",6885.54821="",7213.99242=""),"-",(6885.54821-7213.99242)/3144504.53867*100)</f>
        <v>-1.0445022608837399E-2</v>
      </c>
    </row>
    <row r="26" spans="1:7" s="2" customFormat="1" x14ac:dyDescent="0.3">
      <c r="A26" s="28" t="s">
        <v>44</v>
      </c>
      <c r="B26" s="10">
        <v>3971.1305900000002</v>
      </c>
      <c r="C26" s="15">
        <f>IF(OR(5013.7721="",3971.13059=""),"-",3971.13059/5013.7721*100)</f>
        <v>79.204449480262568</v>
      </c>
      <c r="D26" s="15">
        <f>IF(5013.7721="","-",5013.7721/3144504.53867*100)</f>
        <v>0.15944553548396612</v>
      </c>
      <c r="E26" s="15">
        <f>IF(3971.13059="","-",3971.13059/4335076.19734*100)</f>
        <v>9.1604631827156419E-2</v>
      </c>
      <c r="F26" s="15">
        <f>IF(OR(2467106.07968="",5809.45456="",5013.7721=""),"-",(5013.7721-5809.45456)/2467106.07968*100)</f>
        <v>-3.2251651704543055E-2</v>
      </c>
      <c r="G26" s="15">
        <f>IF(OR(3144504.53867="",3971.13059="",5013.7721=""),"-",(3971.13059-5013.7721)/3144504.53867*100)</f>
        <v>-3.3157576883034036E-2</v>
      </c>
    </row>
    <row r="27" spans="1:7" s="5" customFormat="1" x14ac:dyDescent="0.3">
      <c r="A27" s="28" t="s">
        <v>297</v>
      </c>
      <c r="B27" s="10">
        <v>3799.1009199999999</v>
      </c>
      <c r="C27" s="15" t="s">
        <v>197</v>
      </c>
      <c r="D27" s="15">
        <f>IF(2137.79264="","-",2137.79264/3144504.53867*100)</f>
        <v>6.7985039096308666E-2</v>
      </c>
      <c r="E27" s="15">
        <f>IF(3799.10092="","-",3799.10092/4335076.19734*100)</f>
        <v>8.7636312421247073E-2</v>
      </c>
      <c r="F27" s="15">
        <f>IF(OR(2467106.07968="",2360.31314="",2137.79264=""),"-",(2137.79264-2360.31314)/2467106.07968*100)</f>
        <v>-9.0194946148753549E-3</v>
      </c>
      <c r="G27" s="15">
        <f>IF(OR(3144504.53867="",3799.10092="",2137.79264=""),"-",(3799.10092-2137.79264)/3144504.53867*100)</f>
        <v>5.2832115825237981E-2</v>
      </c>
    </row>
    <row r="28" spans="1:7" s="5" customFormat="1" x14ac:dyDescent="0.3">
      <c r="A28" s="28" t="s">
        <v>48</v>
      </c>
      <c r="B28" s="10">
        <v>1584.2275099999999</v>
      </c>
      <c r="C28" s="15">
        <f>IF(OR(1096.05058="",1584.22751=""),"-",1584.22751/1096.05058*100)</f>
        <v>144.53963520552125</v>
      </c>
      <c r="D28" s="15">
        <f>IF(1096.05058="","-",1096.05058/3144504.53867*100)</f>
        <v>3.4856066083580391E-2</v>
      </c>
      <c r="E28" s="15">
        <f>IF(1584.22751="","-",1584.22751/4335076.19734*100)</f>
        <v>3.6544398250071837E-2</v>
      </c>
      <c r="F28" s="15">
        <f>IF(OR(2467106.07968="",446.00069="",1096.05058=""),"-",(1096.05058-446.00069)/2467106.07968*100)</f>
        <v>2.6348680154211924E-2</v>
      </c>
      <c r="G28" s="15">
        <f>IF(OR(3144504.53867="",1584.22751="",1096.05058=""),"-",(1584.22751-1096.05058)/3144504.53867*100)</f>
        <v>1.5524764680622125E-2</v>
      </c>
    </row>
    <row r="29" spans="1:7" s="2" customFormat="1" x14ac:dyDescent="0.3">
      <c r="A29" s="28" t="s">
        <v>46</v>
      </c>
      <c r="B29" s="10">
        <v>1450.1114700000001</v>
      </c>
      <c r="C29" s="15">
        <f>IF(OR(1421.12003="",1450.11147=""),"-",1450.11147/1421.12003*100)</f>
        <v>102.04004161421889</v>
      </c>
      <c r="D29" s="15">
        <f>IF(1421.12003="","-",1421.12003/3144504.53867*100)</f>
        <v>4.5193766220514887E-2</v>
      </c>
      <c r="E29" s="15">
        <f>IF(1450.11147="","-",1450.11147/4335076.19734*100)</f>
        <v>3.3450657012436998E-2</v>
      </c>
      <c r="F29" s="15">
        <f>IF(OR(2467106.07968="",962.62751="",1421.12003=""),"-",(1421.12003-962.62751)/2467106.07968*100)</f>
        <v>1.858422399329783E-2</v>
      </c>
      <c r="G29" s="15">
        <f>IF(OR(3144504.53867="",1450.11147="",1421.12003=""),"-",(1450.11147-1421.12003)/3144504.53867*100)</f>
        <v>9.2197163793130462E-4</v>
      </c>
    </row>
    <row r="30" spans="1:7" s="2" customFormat="1" x14ac:dyDescent="0.3">
      <c r="A30" s="28" t="s">
        <v>51</v>
      </c>
      <c r="B30" s="10">
        <v>857.17711999999995</v>
      </c>
      <c r="C30" s="15">
        <f>IF(OR(876.24882="",857.17712=""),"-",857.17712/876.24882*100)</f>
        <v>97.823483516930722</v>
      </c>
      <c r="D30" s="15">
        <f>IF(876.24882="","-",876.24882/3144504.53867*100)</f>
        <v>2.7866037692876676E-2</v>
      </c>
      <c r="E30" s="15">
        <f>IF(857.17712="","-",857.17712/4335076.19734*100)</f>
        <v>1.9773057749849082E-2</v>
      </c>
      <c r="F30" s="15">
        <f>IF(OR(2467106.07968="",516.18495="",876.24882=""),"-",(876.24882-516.18495)/2467106.07968*100)</f>
        <v>1.4594584033723542E-2</v>
      </c>
      <c r="G30" s="15">
        <f>IF(OR(3144504.53867="",857.17712="",876.24882=""),"-",(857.17712-876.24882)/3144504.53867*100)</f>
        <v>-6.0650890356375969E-4</v>
      </c>
    </row>
    <row r="31" spans="1:7" s="2" customFormat="1" x14ac:dyDescent="0.3">
      <c r="A31" s="28" t="s">
        <v>47</v>
      </c>
      <c r="B31" s="10">
        <v>446.31044000000003</v>
      </c>
      <c r="C31" s="15">
        <f>IF(OR(1731.83628="",446.31044=""),"-",446.31044/1731.83628*100)</f>
        <v>25.770937192746651</v>
      </c>
      <c r="D31" s="15">
        <f>IF(1731.83628="","-",1731.83628/3144504.53867*100)</f>
        <v>5.5075012890027426E-2</v>
      </c>
      <c r="E31" s="15">
        <f>IF(446.31044="","-",446.31044/4335076.19734*100)</f>
        <v>1.0295330916532812E-2</v>
      </c>
      <c r="F31" s="15">
        <f>IF(OR(2467106.07968="",1276.4726="",1731.83628=""),"-",(1731.83628-1276.4726)/2467106.07968*100)</f>
        <v>1.8457401720604717E-2</v>
      </c>
      <c r="G31" s="15">
        <f>IF(OR(3144504.53867="",446.31044="",1731.83628=""),"-",(446.31044-1731.83628)/3144504.53867*100)</f>
        <v>-4.0881665909241333E-2</v>
      </c>
    </row>
    <row r="32" spans="1:7" s="2" customFormat="1" x14ac:dyDescent="0.3">
      <c r="A32" s="28" t="s">
        <v>50</v>
      </c>
      <c r="B32" s="10">
        <v>171.60592</v>
      </c>
      <c r="C32" s="15">
        <f>IF(OR(663.93929="",171.60592=""),"-",171.60592/663.93929*100)</f>
        <v>25.846628236144902</v>
      </c>
      <c r="D32" s="15">
        <f>IF(663.93929="","-",663.93929/3144504.53867*100)</f>
        <v>2.1114273547234878E-2</v>
      </c>
      <c r="E32" s="15">
        <f>IF(171.60592="","-",171.60592/4335076.19734*100)</f>
        <v>3.9585444912201839E-3</v>
      </c>
      <c r="F32" s="15">
        <f>IF(OR(2467106.07968="",228.54121="",663.93929=""),"-",(663.93929-228.54121)/2467106.07968*100)</f>
        <v>1.7648129668444337E-2</v>
      </c>
      <c r="G32" s="15">
        <f>IF(OR(3144504.53867="",171.60592="",663.93929=""),"-",(171.60592-663.93929)/3144504.53867*100)</f>
        <v>-1.5656945758718396E-2</v>
      </c>
    </row>
    <row r="33" spans="1:7" s="2" customFormat="1" x14ac:dyDescent="0.3">
      <c r="A33" s="28" t="s">
        <v>52</v>
      </c>
      <c r="B33" s="10">
        <v>90.505989999999997</v>
      </c>
      <c r="C33" s="15" t="s">
        <v>359</v>
      </c>
      <c r="D33" s="15">
        <f>IF(9.78503="","-",9.78503/3144504.53867*100)</f>
        <v>3.1117875263550032E-4</v>
      </c>
      <c r="E33" s="15">
        <f>IF(90.50599="","-",90.50599/4335076.19734*100)</f>
        <v>2.0877600734108067E-3</v>
      </c>
      <c r="F33" s="15">
        <f>IF(OR(2467106.07968="",31.76752="",9.78503=""),"-",(9.78503-31.76752)/2467106.07968*100)</f>
        <v>-8.9102329977036392E-4</v>
      </c>
      <c r="G33" s="15">
        <f>IF(OR(3144504.53867="",90.50599="",9.78503=""),"-",(90.50599-9.78503)/3144504.53867*100)</f>
        <v>2.5670486083681004E-3</v>
      </c>
    </row>
    <row r="34" spans="1:7" s="6" customFormat="1" ht="14.25" customHeight="1" x14ac:dyDescent="0.25">
      <c r="A34" s="28" t="s">
        <v>53</v>
      </c>
      <c r="B34" s="10">
        <v>13.191470000000001</v>
      </c>
      <c r="C34" s="15">
        <f>IF(OR(92.48141="",13.19147=""),"-",13.19147/92.48141*100)</f>
        <v>14.263915310114758</v>
      </c>
      <c r="D34" s="15">
        <f>IF(92.48141="","-",92.48141/3144504.53867*100)</f>
        <v>2.9410487045795756E-3</v>
      </c>
      <c r="E34" s="15">
        <f>IF(13.19147="","-",13.19147/4335076.19734*100)</f>
        <v>3.0429615073650326E-4</v>
      </c>
      <c r="F34" s="15">
        <f>IF(OR(2467106.07968="",6.98438="",92.48141=""),"-",(92.48141-6.98438)/2467106.07968*100)</f>
        <v>3.4654784690526775E-3</v>
      </c>
      <c r="G34" s="15">
        <f>IF(OR(3144504.53867="",13.19147="",92.48141=""),"-",(13.19147-92.48141)/3144504.53867*100)</f>
        <v>-2.5215400081291177E-3</v>
      </c>
    </row>
    <row r="35" spans="1:7" s="6" customFormat="1" ht="14.25" customHeight="1" x14ac:dyDescent="0.25">
      <c r="A35" s="27" t="s">
        <v>134</v>
      </c>
      <c r="B35" s="9">
        <v>1043060.17391</v>
      </c>
      <c r="C35" s="17" t="s">
        <v>196</v>
      </c>
      <c r="D35" s="17">
        <f>IF(466207.47347="","-",466207.47347/3144504.53867*100)</f>
        <v>14.826102736909617</v>
      </c>
      <c r="E35" s="17">
        <f>IF(1043060.17391="","-",1043060.17391/4335076.19734*100)</f>
        <v>24.060942101779457</v>
      </c>
      <c r="F35" s="17">
        <f>IF(2467106.07968="","-",(466207.47347-376962.59759)/2467106.07968*100)</f>
        <v>3.6173911051111207</v>
      </c>
      <c r="G35" s="17">
        <f>IF(3144504.53867="","-",(1043060.17391-466207.47347)/3144504.53867*100)</f>
        <v>18.344788291639283</v>
      </c>
    </row>
    <row r="36" spans="1:7" s="6" customFormat="1" ht="14.25" customHeight="1" x14ac:dyDescent="0.25">
      <c r="A36" s="28" t="s">
        <v>10</v>
      </c>
      <c r="B36" s="10">
        <v>720092.75595000002</v>
      </c>
      <c r="C36" s="15" t="s">
        <v>380</v>
      </c>
      <c r="D36" s="15">
        <f>IF(92766.58175="","-",92766.58175/3144504.53867*100)</f>
        <v>2.9501175975162228</v>
      </c>
      <c r="E36" s="15">
        <f>IF(720092.75595="","-",720092.75595/4335076.19734*100)</f>
        <v>16.610844265940433</v>
      </c>
      <c r="F36" s="15">
        <f>IF(OR(2467106.07968="",69480.88574="",92766.58175=""),"-",(92766.58175-69480.88574)/2467106.07968*100)</f>
        <v>0.94384656589311755</v>
      </c>
      <c r="G36" s="15">
        <f>IF(OR(3144504.53867="",720092.75595="",92766.58175=""),"-",(720092.75595-92766.58175)/3144504.53867*100)</f>
        <v>19.949921092031051</v>
      </c>
    </row>
    <row r="37" spans="1:7" s="4" customFormat="1" ht="14.25" customHeight="1" x14ac:dyDescent="0.25">
      <c r="A37" s="28" t="s">
        <v>298</v>
      </c>
      <c r="B37" s="10">
        <v>189857.48512999999</v>
      </c>
      <c r="C37" s="15">
        <f>IF(OR(276067.08135="",189857.48513=""),"-",189857.48513/276067.08135*100)</f>
        <v>68.772228909573315</v>
      </c>
      <c r="D37" s="15">
        <f>IF(276067.08135="","-",276067.08135/3144504.53867*100)</f>
        <v>8.7793507039034306</v>
      </c>
      <c r="E37" s="15">
        <f>IF(189857.48513="","-",189857.48513/4335076.19734*100)</f>
        <v>4.3795651215195806</v>
      </c>
      <c r="F37" s="15">
        <f>IF(OR(2467106.07968="",216833.64131="",276067.08135=""),"-",(276067.08135-216833.64131)/2467106.07968*100)</f>
        <v>2.4009279750015029</v>
      </c>
      <c r="G37" s="15">
        <f>IF(OR(3144504.53867="",189857.48513="",276067.08135=""),"-",(189857.48513-276067.08135)/3144504.53867*100)</f>
        <v>-2.7415955410407271</v>
      </c>
    </row>
    <row r="38" spans="1:7" s="6" customFormat="1" ht="14.25" customHeight="1" x14ac:dyDescent="0.25">
      <c r="A38" s="28" t="s">
        <v>9</v>
      </c>
      <c r="B38" s="10">
        <v>81160.667700000005</v>
      </c>
      <c r="C38" s="15">
        <f>IF(OR(67811.3222="",81160.6677=""),"-",81160.6677/67811.3222*100)</f>
        <v>119.68601269951348</v>
      </c>
      <c r="D38" s="15">
        <f>IF(67811.3222="","-",67811.3222/3144504.53867*100)</f>
        <v>2.1565026021136378</v>
      </c>
      <c r="E38" s="15">
        <f>IF(81160.6677="","-",81160.6677/4335076.19734*100)</f>
        <v>1.872185493528352</v>
      </c>
      <c r="F38" s="15">
        <f>IF(OR(2467106.07968="",65881.91475="",67811.3222=""),"-",(67811.3222-65881.91475)/2467106.07968*100)</f>
        <v>7.8205289423560406E-2</v>
      </c>
      <c r="G38" s="15">
        <f>IF(OR(3144504.53867="",81160.6677="",67811.3222=""),"-",(81160.6677-67811.3222)/3144504.53867*100)</f>
        <v>0.42452937611742964</v>
      </c>
    </row>
    <row r="39" spans="1:7" s="4" customFormat="1" ht="14.25" customHeight="1" x14ac:dyDescent="0.25">
      <c r="A39" s="28" t="s">
        <v>11</v>
      </c>
      <c r="B39" s="10">
        <v>28734.543870000001</v>
      </c>
      <c r="C39" s="15" t="s">
        <v>91</v>
      </c>
      <c r="D39" s="15">
        <f>IF(13978.1634="","-",13978.1634/3144504.53867*100)</f>
        <v>0.44452673634594925</v>
      </c>
      <c r="E39" s="15">
        <f>IF(28734.54387="","-",28734.54387/4335076.19734*100)</f>
        <v>0.66283826539500035</v>
      </c>
      <c r="F39" s="15">
        <f>IF(OR(2467106.07968="",13841.56253="",13978.1634=""),"-",(13978.1634-13841.56253)/2467106.07968*100)</f>
        <v>5.5368867648252175E-3</v>
      </c>
      <c r="G39" s="15">
        <f>IF(OR(3144504.53867="",28734.54387="",13978.1634=""),"-",(28734.54387-13978.1634)/3144504.53867*100)</f>
        <v>0.46927521612805051</v>
      </c>
    </row>
    <row r="40" spans="1:7" s="4" customFormat="1" ht="14.25" customHeight="1" x14ac:dyDescent="0.25">
      <c r="A40" s="28" t="s">
        <v>13</v>
      </c>
      <c r="B40" s="10">
        <v>8476.2692299999999</v>
      </c>
      <c r="C40" s="15">
        <f>IF(OR(7510.65091="",8476.26923=""),"-",8476.26923/7510.65091*100)</f>
        <v>112.85665292623752</v>
      </c>
      <c r="D40" s="15">
        <f>IF(7510.65091="","-",7510.65091/3144504.53867*100)</f>
        <v>0.23885005785924882</v>
      </c>
      <c r="E40" s="15">
        <f>IF(8476.26923="","-",8476.26923/4335076.19734*100)</f>
        <v>0.19552757193059331</v>
      </c>
      <c r="F40" s="15">
        <f>IF(OR(2467106.07968="",4855.30376="",7510.65091=""),"-",(7510.65091-4855.30376)/2467106.07968*100)</f>
        <v>0.1076300355250398</v>
      </c>
      <c r="G40" s="15">
        <f>IF(OR(3144504.53867="",8476.26923="",7510.65091=""),"-",(8476.26923-7510.65091)/3144504.53867*100)</f>
        <v>3.0708122953081108E-2</v>
      </c>
    </row>
    <row r="41" spans="1:7" s="4" customFormat="1" ht="14.25" customHeight="1" x14ac:dyDescent="0.25">
      <c r="A41" s="28" t="s">
        <v>305</v>
      </c>
      <c r="B41" s="10">
        <v>4917.2065000000002</v>
      </c>
      <c r="C41" s="15" t="s">
        <v>302</v>
      </c>
      <c r="D41" s="15">
        <f>IF(1740.4035="","-",1740.4035/3144504.53867*100)</f>
        <v>5.5347463442877429E-2</v>
      </c>
      <c r="E41" s="15">
        <f>IF(4917.2065="","-",4917.2065/4335076.19734*100)</f>
        <v>0.11342837533091563</v>
      </c>
      <c r="F41" s="15">
        <f>IF(OR(2467106.07968="",716.01464="",1740.4035=""),"-",(1740.4035-716.01464)/2467106.07968*100)</f>
        <v>4.1521881383100881E-2</v>
      </c>
      <c r="G41" s="15">
        <f>IF(OR(3144504.53867="",4917.2065="",1740.4035=""),"-",(4917.2065-1740.4035)/3144504.53867*100)</f>
        <v>0.10102713991768195</v>
      </c>
    </row>
    <row r="42" spans="1:7" s="4" customFormat="1" ht="13.2" x14ac:dyDescent="0.25">
      <c r="A42" s="28" t="s">
        <v>12</v>
      </c>
      <c r="B42" s="10">
        <v>4862.1579300000003</v>
      </c>
      <c r="C42" s="15">
        <f>IF(OR(4333.59593="",4862.15793=""),"-",4862.15793/4333.59593*100)</f>
        <v>112.19684549592974</v>
      </c>
      <c r="D42" s="15">
        <f>IF(4333.59593="","-",4333.59593/3144504.53867*100)</f>
        <v>0.1378149045964786</v>
      </c>
      <c r="E42" s="15">
        <f>IF(4862.15793="","-",4862.15793/4335076.19734*100)</f>
        <v>0.11215853444475594</v>
      </c>
      <c r="F42" s="15">
        <f>IF(OR(2467106.07968="",3071.78188="",4333.59593=""),"-",(4333.59593-3071.78188)/2467106.07968*100)</f>
        <v>5.1145512566029019E-2</v>
      </c>
      <c r="G42" s="15">
        <f>IF(OR(3144504.53867="",4862.15793="",4333.59593=""),"-",(4862.15793-4333.59593)/3144504.53867*100)</f>
        <v>1.6809070983995481E-2</v>
      </c>
    </row>
    <row r="43" spans="1:7" s="2" customFormat="1" x14ac:dyDescent="0.3">
      <c r="A43" s="28" t="s">
        <v>15</v>
      </c>
      <c r="B43" s="10">
        <v>3311.4225299999998</v>
      </c>
      <c r="C43" s="15" t="s">
        <v>342</v>
      </c>
      <c r="D43" s="15">
        <f>IF(1105.75692="","-",1105.75692/3144504.53867*100)</f>
        <v>3.51647423752071E-2</v>
      </c>
      <c r="E43" s="15">
        <f>IF(3311.42253="","-",3311.42253/4335076.19734*100)</f>
        <v>7.6386720307981812E-2</v>
      </c>
      <c r="F43" s="15">
        <f>IF(OR(2467106.07968="",1288.47579="",1105.75692=""),"-",(1105.75692-1288.47579)/2467106.07968*100)</f>
        <v>-7.4062024128163876E-3</v>
      </c>
      <c r="G43" s="15">
        <f>IF(OR(3144504.53867="",3311.42253="",1105.75692=""),"-",(3311.42253-1105.75692)/3144504.53867*100)</f>
        <v>7.0143502191696905E-2</v>
      </c>
    </row>
    <row r="44" spans="1:7" s="2" customFormat="1" x14ac:dyDescent="0.3">
      <c r="A44" s="28" t="s">
        <v>14</v>
      </c>
      <c r="B44" s="10">
        <v>1403.6804299999999</v>
      </c>
      <c r="C44" s="15" t="s">
        <v>344</v>
      </c>
      <c r="D44" s="15">
        <f>IF(623.74607="","-",623.74607/3144504.53867*100)</f>
        <v>1.9836068364010685E-2</v>
      </c>
      <c r="E44" s="15">
        <f>IF(1403.68043="","-",1403.68043/4335076.19734*100)</f>
        <v>3.2379602251542829E-2</v>
      </c>
      <c r="F44" s="15">
        <f>IF(OR(2467106.07968="",698.57462="",623.74607=""),"-",(623.74607-698.57462)/2467106.07968*100)</f>
        <v>-3.0330495561709169E-3</v>
      </c>
      <c r="G44" s="15">
        <f>IF(OR(3144504.53867="",1403.68043="",623.74607=""),"-",(1403.68043-623.74607)/3144504.53867*100)</f>
        <v>2.4803092201287805E-2</v>
      </c>
    </row>
    <row r="45" spans="1:7" s="5" customFormat="1" x14ac:dyDescent="0.3">
      <c r="A45" s="28" t="s">
        <v>16</v>
      </c>
      <c r="B45" s="10">
        <v>243.98464000000001</v>
      </c>
      <c r="C45" s="15">
        <f>IF(OR(270.17144="",243.98464=""),"-",243.98464/270.17144*100)</f>
        <v>90.30733966551017</v>
      </c>
      <c r="D45" s="15">
        <f>IF(270.17144="","-",270.17144/3144504.53867*100)</f>
        <v>8.5918603925523897E-3</v>
      </c>
      <c r="E45" s="15">
        <f>IF(243.98464="","-",243.98464/4335076.19734*100)</f>
        <v>5.6281511303009815E-3</v>
      </c>
      <c r="F45" s="15">
        <f>IF(OR(2467106.07968="",294.44257="",270.17144=""),"-",(270.17144-294.44257)/2467106.07968*100)</f>
        <v>-9.8378947706813228E-4</v>
      </c>
      <c r="G45" s="15">
        <f>IF(OR(3144504.53867="",243.98464="",270.17144=""),"-",(243.98464-270.17144)/3144504.53867*100)</f>
        <v>-8.3277984426366816E-4</v>
      </c>
    </row>
    <row r="46" spans="1:7" s="2" customFormat="1" x14ac:dyDescent="0.3">
      <c r="A46" s="27" t="s">
        <v>135</v>
      </c>
      <c r="B46" s="9">
        <f>IF(751594.46837="","-",751594.46837)</f>
        <v>751594.46837000002</v>
      </c>
      <c r="C46" s="17">
        <f>IF(758765.09179="","-",751594.46837/758765.09179*100)</f>
        <v>99.054961344744555</v>
      </c>
      <c r="D46" s="17">
        <f>IF(758765.09179="","-",758765.09179/3144504.53867*100)</f>
        <v>24.129877456336168</v>
      </c>
      <c r="E46" s="17">
        <f>IF(751594.46837="","-",751594.46837/4335076.19734*100)</f>
        <v>17.337514593888287</v>
      </c>
      <c r="F46" s="17">
        <f>IF(2467106.07968="","-",(758765.09179-449775.95644)/2467106.07968*100)</f>
        <v>12.524355474413889</v>
      </c>
      <c r="G46" s="17">
        <f>IF(3144504.53867="","-",(751594.46837-758765.09179)/3144504.53867*100)</f>
        <v>-0.2280366694281461</v>
      </c>
    </row>
    <row r="47" spans="1:7" s="7" customFormat="1" x14ac:dyDescent="0.3">
      <c r="A47" s="28" t="s">
        <v>54</v>
      </c>
      <c r="B47" s="10">
        <f>IF(304925.15988="","-",304925.15988)</f>
        <v>304925.15987999999</v>
      </c>
      <c r="C47" s="15">
        <f>IF(OR(313959.59291="",304925.15988=""),"-",304925.15988/313959.59291*100)</f>
        <v>97.122421727502413</v>
      </c>
      <c r="D47" s="15">
        <f>IF(313959.59291="","-",313959.59291/3144504.53867*100)</f>
        <v>9.9843898792015224</v>
      </c>
      <c r="E47" s="15">
        <f>IF(304925.15988="","-",304925.15988/4335076.19734*100)</f>
        <v>7.0339054263244982</v>
      </c>
      <c r="F47" s="15">
        <f>IF(OR(2467106.07968="",171687.12764="",313959.59291=""),"-",(313959.59291-171687.12764)/2467106.07968*100)</f>
        <v>5.7667753503511161</v>
      </c>
      <c r="G47" s="15">
        <f>IF(OR(3144504.53867="",304925.15988="",313959.59291=""),"-",(304925.15988-313959.59291)/3144504.53867*100)</f>
        <v>-0.28730863380535043</v>
      </c>
    </row>
    <row r="48" spans="1:7" s="5" customFormat="1" x14ac:dyDescent="0.3">
      <c r="A48" s="28" t="s">
        <v>299</v>
      </c>
      <c r="B48" s="10">
        <f>IF(64490.61065="","-",64490.61065)</f>
        <v>64490.610650000002</v>
      </c>
      <c r="C48" s="15">
        <f>IF(OR(118855.20765="",64490.61065=""),"-",64490.61065/118855.20765*100)</f>
        <v>54.259810676457143</v>
      </c>
      <c r="D48" s="15">
        <f>IF(118855.20765="","-",118855.20765/3144504.53867*100)</f>
        <v>3.779775356923829</v>
      </c>
      <c r="E48" s="15">
        <f>IF(64490.61065="","-",64490.61065/4335076.19734*100)</f>
        <v>1.4876465306324118</v>
      </c>
      <c r="F48" s="15">
        <f>IF(OR(2467106.07968="",61397.70689="",118855.20765=""),"-",(118855.20765-61397.70689)/2467106.07968*100)</f>
        <v>2.3289432600098254</v>
      </c>
      <c r="G48" s="15">
        <f>IF(OR(3144504.53867="",64490.61065="",118855.20765=""),"-",(64490.61065-118855.20765)/3144504.53867*100)</f>
        <v>-1.728876404261577</v>
      </c>
    </row>
    <row r="49" spans="1:7" s="2" customFormat="1" ht="26.4" x14ac:dyDescent="0.3">
      <c r="A49" s="28" t="s">
        <v>300</v>
      </c>
      <c r="B49" s="10">
        <f>IF(62005.76198="","-",62005.76198)</f>
        <v>62005.761980000003</v>
      </c>
      <c r="C49" s="15">
        <f>IF(OR(65377.83267="",62005.76198=""),"-",62005.76198/65377.83267*100)</f>
        <v>94.842180365597599</v>
      </c>
      <c r="D49" s="15">
        <f>IF(65377.83267="","-",65377.83267/3144504.53867*100)</f>
        <v>2.0791139547107225</v>
      </c>
      <c r="E49" s="15">
        <f>IF(62005.76198="","-",62005.76198/4335076.19734*100)</f>
        <v>1.4303269229280606</v>
      </c>
      <c r="F49" s="15">
        <f>IF(OR(2467106.07968="",42764.58253="",65377.83267=""),"-",(65377.83267-42764.58253)/2467106.07968*100)</f>
        <v>0.91659010231668236</v>
      </c>
      <c r="G49" s="15">
        <f>IF(OR(3144504.53867="",62005.76198="",65377.83267=""),"-",(62005.76198-65377.83267)/3144504.53867*100)</f>
        <v>-0.10723694777766965</v>
      </c>
    </row>
    <row r="50" spans="1:7" s="2" customFormat="1" x14ac:dyDescent="0.3">
      <c r="A50" s="28" t="s">
        <v>70</v>
      </c>
      <c r="B50" s="10">
        <f>IF(51848.50889="","-",51848.50889)</f>
        <v>51848.508889999997</v>
      </c>
      <c r="C50" s="15" t="s">
        <v>347</v>
      </c>
      <c r="D50" s="15">
        <f>IF(17.81651="","-",17.81651/3144504.53867*100)</f>
        <v>5.6659196324568425E-4</v>
      </c>
      <c r="E50" s="15">
        <f>IF(51848.50889="","-",51848.50889/4335076.19734*100)</f>
        <v>1.1960230115866062</v>
      </c>
      <c r="F50" s="15">
        <f>IF(OR(2467106.07968="",70.05237="",17.81651=""),"-",(17.81651-70.05237)/2467106.07968*100)</f>
        <v>-2.1172928245864215E-3</v>
      </c>
      <c r="G50" s="15">
        <f>IF(OR(3144504.53867="",51848.50889="",17.81651=""),"-",(51848.50889-17.81651)/3144504.53867*100)</f>
        <v>1.6482944051313824</v>
      </c>
    </row>
    <row r="51" spans="1:7" s="7" customFormat="1" x14ac:dyDescent="0.3">
      <c r="A51" s="28" t="s">
        <v>17</v>
      </c>
      <c r="B51" s="10">
        <f>IF(51492.9071="","-",51492.9071)</f>
        <v>51492.907099999997</v>
      </c>
      <c r="C51" s="15" t="s">
        <v>100</v>
      </c>
      <c r="D51" s="15">
        <f>IF(31732.32781="","-",31732.32781/3144504.53867*100)</f>
        <v>1.0091360155397169</v>
      </c>
      <c r="E51" s="15">
        <f>IF(51492.9071="","-",51492.9071/4335076.19734*100)</f>
        <v>1.1878201156324775</v>
      </c>
      <c r="F51" s="15">
        <f>IF(OR(2467106.07968="",25681.56647="",31732.32781=""),"-",(31732.32781-25681.56647)/2467106.07968*100)</f>
        <v>0.24525744514337305</v>
      </c>
      <c r="G51" s="15">
        <f>IF(OR(3144504.53867="",51492.9071="",31732.32781=""),"-",(51492.9071-31732.32781)/3144504.53867*100)</f>
        <v>0.62841630682962646</v>
      </c>
    </row>
    <row r="52" spans="1:7" s="5" customFormat="1" x14ac:dyDescent="0.3">
      <c r="A52" s="28" t="s">
        <v>58</v>
      </c>
      <c r="B52" s="10">
        <f>IF(18062.36995="","-",18062.36995)</f>
        <v>18062.36995</v>
      </c>
      <c r="C52" s="15">
        <f>IF(OR(24831.19348="",18062.36995=""),"-",18062.36995/24831.19348*100)</f>
        <v>72.740643596322215</v>
      </c>
      <c r="D52" s="15">
        <f>IF(24831.19348="","-",24831.19348/3144504.53867*100)</f>
        <v>0.78966950674215286</v>
      </c>
      <c r="E52" s="15">
        <f>IF(18062.36995="","-",18062.36995/4335076.19734*100)</f>
        <v>0.41665634299768611</v>
      </c>
      <c r="F52" s="15">
        <f>IF(OR(2467106.07968="",11625.95502="",24831.19348=""),"-",(24831.19348-11625.95502)/2467106.07968*100)</f>
        <v>0.53525215509633906</v>
      </c>
      <c r="G52" s="15">
        <f>IF(OR(3144504.53867="",18062.36995="",24831.19348=""),"-",(18062.36995-24831.19348)/3144504.53867*100)</f>
        <v>-0.21525882525400786</v>
      </c>
    </row>
    <row r="53" spans="1:7" s="2" customFormat="1" x14ac:dyDescent="0.3">
      <c r="A53" s="28" t="s">
        <v>56</v>
      </c>
      <c r="B53" s="10">
        <f>IF(17502.5564="","-",17502.5564)</f>
        <v>17502.556400000001</v>
      </c>
      <c r="C53" s="15">
        <f>IF(OR(19485.08255="",17502.5564=""),"-",17502.5564/19485.08255*100)</f>
        <v>89.825415699868316</v>
      </c>
      <c r="D53" s="15">
        <f>IF(19485.08255="","-",19485.08255/3144504.53867*100)</f>
        <v>0.61965509384322304</v>
      </c>
      <c r="E53" s="15">
        <f>IF(17502.5564="","-",17502.5564/4335076.19734*100)</f>
        <v>0.40374276260102548</v>
      </c>
      <c r="F53" s="15">
        <f>IF(OR(2467106.07968="",22790.74712="",19485.08255=""),"-",(19485.08255-22790.74712)/2467106.07968*100)</f>
        <v>-0.13398955955832947</v>
      </c>
      <c r="G53" s="15">
        <f>IF(OR(3144504.53867="",17502.5564="",19485.08255=""),"-",(17502.5564-19485.08255)/3144504.53867*100)</f>
        <v>-6.3047329893138826E-2</v>
      </c>
    </row>
    <row r="54" spans="1:7" s="5" customFormat="1" x14ac:dyDescent="0.3">
      <c r="A54" s="28" t="s">
        <v>55</v>
      </c>
      <c r="B54" s="10">
        <f>IF(17455.01038="","-",17455.01038)</f>
        <v>17455.01038</v>
      </c>
      <c r="C54" s="15" t="s">
        <v>325</v>
      </c>
      <c r="D54" s="15">
        <f>IF(5703.52855="","-",5703.52855/3144504.53867*100)</f>
        <v>0.18138083376443034</v>
      </c>
      <c r="E54" s="15">
        <f>IF(17455.01038="","-",17455.01038/4335076.19734*100)</f>
        <v>0.40264598787699235</v>
      </c>
      <c r="F54" s="15">
        <f>IF(OR(2467106.07968="",6555.76689="",5703.52855=""),"-",(5703.52855-6555.76689)/2467106.07968*100)</f>
        <v>-3.4544049281842834E-2</v>
      </c>
      <c r="G54" s="15">
        <f>IF(OR(3144504.53867="",17455.01038="",5703.52855=""),"-",(17455.01038-5703.52855)/3144504.53867*100)</f>
        <v>0.3737148948422383</v>
      </c>
    </row>
    <row r="55" spans="1:7" s="2" customFormat="1" x14ac:dyDescent="0.3">
      <c r="A55" s="28" t="s">
        <v>64</v>
      </c>
      <c r="B55" s="10">
        <f>IF(17138.37034="","-",17138.37034)</f>
        <v>17138.370340000001</v>
      </c>
      <c r="C55" s="15">
        <f>IF(OR(24041.98596="",17138.37034=""),"-",17138.37034/24041.98596*100)</f>
        <v>71.285169072613499</v>
      </c>
      <c r="D55" s="15">
        <f>IF(24041.98596="","-",24041.98596/3144504.53867*100)</f>
        <v>0.76457151402836909</v>
      </c>
      <c r="E55" s="15">
        <f>IF(17138.37034="","-",17138.37034/4335076.19734*100)</f>
        <v>0.39534184775151343</v>
      </c>
      <c r="F55" s="15">
        <f>IF(OR(2467106.07968="",9539.65528="",24041.98596=""),"-",(24041.98596-9539.65528)/2467106.07968*100)</f>
        <v>0.58782760901310938</v>
      </c>
      <c r="G55" s="15">
        <f>IF(OR(3144504.53867="",17138.37034="",24041.98596=""),"-",(17138.37034-24041.98596)/3144504.53867*100)</f>
        <v>-0.2195454175722053</v>
      </c>
    </row>
    <row r="56" spans="1:7" s="5" customFormat="1" x14ac:dyDescent="0.3">
      <c r="A56" s="28" t="s">
        <v>66</v>
      </c>
      <c r="B56" s="10">
        <f>IF(13279.07584="","-",13279.07584)</f>
        <v>13279.07584</v>
      </c>
      <c r="C56" s="15" t="s">
        <v>99</v>
      </c>
      <c r="D56" s="15">
        <f>IF(7826.44705="","-",7826.44705/3144504.53867*100)</f>
        <v>0.24889285271346037</v>
      </c>
      <c r="E56" s="15">
        <f>IF(13279.07584="","-",13279.07584/4335076.19734*100)</f>
        <v>0.30631701117844318</v>
      </c>
      <c r="F56" s="15">
        <f>IF(OR(2467106.07968="",5538.96835="",7826.44705=""),"-",(7826.44705-5538.96835)/2467106.07968*100)</f>
        <v>9.2719105953348424E-2</v>
      </c>
      <c r="G56" s="15">
        <f>IF(OR(3144504.53867="",13279.07584="",7826.44705=""),"-",(13279.07584-7826.44705)/3144504.53867*100)</f>
        <v>0.17340184194188646</v>
      </c>
    </row>
    <row r="57" spans="1:7" s="2" customFormat="1" x14ac:dyDescent="0.3">
      <c r="A57" s="28" t="s">
        <v>57</v>
      </c>
      <c r="B57" s="10">
        <f>IF(9773.33087="","-",9773.33087)</f>
        <v>9773.3308699999998</v>
      </c>
      <c r="C57" s="15">
        <f>IF(OR(12399.98227="",9773.33087=""),"-",9773.33087/12399.98227*100)</f>
        <v>78.817297131506294</v>
      </c>
      <c r="D57" s="15">
        <f>IF(12399.98227="","-",12399.98227/3144504.53867*100)</f>
        <v>0.39433818961014122</v>
      </c>
      <c r="E57" s="15">
        <f>IF(9773.33087="","-",9773.33087/4335076.19734*100)</f>
        <v>0.22544772975379093</v>
      </c>
      <c r="F57" s="15">
        <f>IF(OR(2467106.07968="",12488.36158="",12399.98227=""),"-",(12399.98227-12488.36158)/2467106.07968*100)</f>
        <v>-3.5823068463867449E-3</v>
      </c>
      <c r="G57" s="15">
        <f>IF(OR(3144504.53867="",9773.33087="",12399.98227=""),"-",(9773.33087-12399.98227)/3144504.53867*100)</f>
        <v>-8.3531487002113505E-2</v>
      </c>
    </row>
    <row r="58" spans="1:7" s="2" customFormat="1" x14ac:dyDescent="0.3">
      <c r="A58" s="28" t="s">
        <v>60</v>
      </c>
      <c r="B58" s="10">
        <f>IF(8005.08666="","-",8005.08666)</f>
        <v>8005.0866599999999</v>
      </c>
      <c r="C58" s="15">
        <f>IF(OR(12715.77551="",8005.08666=""),"-",8005.08666/12715.77551*100)</f>
        <v>62.953979123841897</v>
      </c>
      <c r="D58" s="15">
        <f>IF(12715.77551="","-",12715.77551/3144504.53867*100)</f>
        <v>0.40438089223996682</v>
      </c>
      <c r="E58" s="15">
        <f>IF(8005.08666="","-",8005.08666/4335076.19734*100)</f>
        <v>0.18465849954175925</v>
      </c>
      <c r="F58" s="15">
        <f>IF(OR(2467106.07968="",5088.99673="",12715.77551=""),"-",(12715.77551-5088.99673)/2467106.07968*100)</f>
        <v>0.30913866423567987</v>
      </c>
      <c r="G58" s="15">
        <f>IF(OR(3144504.53867="",8005.08666="",12715.77551=""),"-",(8005.08666-12715.77551)/3144504.53867*100)</f>
        <v>-0.14980702975841254</v>
      </c>
    </row>
    <row r="59" spans="1:7" s="5" customFormat="1" x14ac:dyDescent="0.3">
      <c r="A59" s="28" t="s">
        <v>61</v>
      </c>
      <c r="B59" s="10">
        <f>IF(7900.64103="","-",7900.64103)</f>
        <v>7900.6410299999998</v>
      </c>
      <c r="C59" s="15" t="s">
        <v>197</v>
      </c>
      <c r="D59" s="15">
        <f>IF(4413.89083="","-",4413.89083/3144504.53867*100)</f>
        <v>0.14036840385248417</v>
      </c>
      <c r="E59" s="15">
        <f>IF(7900.64103="","-",7900.64103/4335076.19734*100)</f>
        <v>0.18224918479743971</v>
      </c>
      <c r="F59" s="15">
        <f>IF(OR(2467106.07968="",351.11492="",4413.89083=""),"-",(4413.89083-351.11492)/2467106.07968*100)</f>
        <v>0.16467779571630617</v>
      </c>
      <c r="G59" s="15">
        <f>IF(OR(3144504.53867="",7900.64103="",4413.89083=""),"-",(7900.64103-4413.89083)/3144504.53867*100)</f>
        <v>0.11088392963410242</v>
      </c>
    </row>
    <row r="60" spans="1:7" s="7" customFormat="1" x14ac:dyDescent="0.3">
      <c r="A60" s="28" t="s">
        <v>35</v>
      </c>
      <c r="B60" s="10">
        <f>IF(7802.33793="","-",7802.33793)</f>
        <v>7802.3379299999997</v>
      </c>
      <c r="C60" s="15" t="s">
        <v>100</v>
      </c>
      <c r="D60" s="15">
        <f>IF(4781.52343="","-",4781.52343/3144504.53867*100)</f>
        <v>0.15205967653086594</v>
      </c>
      <c r="E60" s="15">
        <f>IF(7802.33793="","-",7802.33793/4335076.19734*100)</f>
        <v>0.17998156375630742</v>
      </c>
      <c r="F60" s="15">
        <f>IF(OR(2467106.07968="",3873.98236="",4781.52343=""),"-",(4781.52343-3873.98236)/2467106.07968*100)</f>
        <v>3.678565252928704E-2</v>
      </c>
      <c r="G60" s="15">
        <f>IF(OR(3144504.53867="",7802.33793="",4781.52343=""),"-",(7802.33793-4781.52343)/3144504.53867*100)</f>
        <v>9.6066469704562216E-2</v>
      </c>
    </row>
    <row r="61" spans="1:7" s="2" customFormat="1" x14ac:dyDescent="0.3">
      <c r="A61" s="28" t="s">
        <v>72</v>
      </c>
      <c r="B61" s="10">
        <f>IF(6850.90771="","-",6850.90771)</f>
        <v>6850.9077100000004</v>
      </c>
      <c r="C61" s="15">
        <f>IF(OR(14403.81776="",6850.90771=""),"-",6850.90771/14403.81776*100)</f>
        <v>47.563137941284261</v>
      </c>
      <c r="D61" s="15">
        <f>IF(14403.81776="","-",14403.81776/3144504.53867*100)</f>
        <v>0.45806318874299479</v>
      </c>
      <c r="E61" s="15">
        <f>IF(6850.90771="","-",6850.90771/4335076.19734*100)</f>
        <v>0.15803430892872686</v>
      </c>
      <c r="F61" s="15">
        <f>IF(OR(2467106.07968="",675.76666="",14403.81776=""),"-",(14403.81776-675.76666)/2467106.07968*100)</f>
        <v>0.55644348709077884</v>
      </c>
      <c r="G61" s="15">
        <f>IF(OR(3144504.53867="",6850.90771="",14403.81776=""),"-",(6850.90771-14403.81776)/3144504.53867*100)</f>
        <v>-0.24019396242291888</v>
      </c>
    </row>
    <row r="62" spans="1:7" s="2" customFormat="1" x14ac:dyDescent="0.3">
      <c r="A62" s="28" t="s">
        <v>116</v>
      </c>
      <c r="B62" s="10">
        <f>IF(4083.00966="","-",4083.00966)</f>
        <v>4083.0096600000002</v>
      </c>
      <c r="C62" s="15">
        <f>IF(OR(5200.00517="",4083.00966=""),"-",4083.00966/5200.00517*100)</f>
        <v>78.519338472119244</v>
      </c>
      <c r="D62" s="15">
        <f>IF(5200.00517="","-",5200.00517/3144504.53867*100)</f>
        <v>0.16536802876421972</v>
      </c>
      <c r="E62" s="15">
        <f>IF(4083.00966="","-",4083.00966/4335076.19734*100)</f>
        <v>9.4185418528636974E-2</v>
      </c>
      <c r="F62" s="15">
        <f>IF(OR(2467106.07968="",3777.24465="",5200.00517=""),"-",(5200.00517-3777.24465)/2467106.07968*100)</f>
        <v>5.766920732425667E-2</v>
      </c>
      <c r="G62" s="15">
        <f>IF(OR(3144504.53867="",4083.00966="",5200.00517=""),"-",(4083.00966-5200.00517)/3144504.53867*100)</f>
        <v>-3.5522146534170518E-2</v>
      </c>
    </row>
    <row r="63" spans="1:7" s="2" customFormat="1" x14ac:dyDescent="0.3">
      <c r="A63" s="28" t="s">
        <v>65</v>
      </c>
      <c r="B63" s="10">
        <f>IF(3715.29819="","-",3715.29819)</f>
        <v>3715.29819</v>
      </c>
      <c r="C63" s="15" t="s">
        <v>346</v>
      </c>
      <c r="D63" s="15">
        <f>IF(1146.97081="","-",1146.97081/3144504.53867*100)</f>
        <v>3.6475406408067158E-2</v>
      </c>
      <c r="E63" s="15">
        <f>IF(3715.29819="","-",3715.29819/4335076.19734*100)</f>
        <v>8.5703180771763698E-2</v>
      </c>
      <c r="F63" s="15">
        <f>IF(OR(2467106.07968="",3153.32012="",1146.97081=""),"-",(1146.97081-3153.32012)/2467106.07968*100)</f>
        <v>-8.1323998450047869E-2</v>
      </c>
      <c r="G63" s="15">
        <f>IF(OR(3144504.53867="",3715.29819="",1146.97081=""),"-",(3715.29819-1146.97081)/3144504.53867*100)</f>
        <v>8.1676694958319238E-2</v>
      </c>
    </row>
    <row r="64" spans="1:7" s="2" customFormat="1" x14ac:dyDescent="0.3">
      <c r="A64" s="28" t="s">
        <v>122</v>
      </c>
      <c r="B64" s="10">
        <f>IF(3118.74938="","-",3118.74938)</f>
        <v>3118.7493800000002</v>
      </c>
      <c r="C64" s="15">
        <f>IF(OR(3682.87261="",3118.74938=""),"-",3118.74938/3682.87261*100)</f>
        <v>84.682521234423049</v>
      </c>
      <c r="D64" s="15">
        <f>IF(3682.87261="","-",3682.87261/3144504.53867*100)</f>
        <v>0.11712091888274735</v>
      </c>
      <c r="E64" s="15">
        <f>IF(3118.74938="","-",3118.74938/4335076.19734*100)</f>
        <v>7.1942204428002032E-2</v>
      </c>
      <c r="F64" s="15">
        <f>IF(OR(2467106.07968="",1637.51741="",3682.87261=""),"-",(3682.87261-1637.51741)/2467106.07968*100)</f>
        <v>8.2905036668115065E-2</v>
      </c>
      <c r="G64" s="15">
        <f>IF(OR(3144504.53867="",3118.74938="",3682.87261=""),"-",(3118.74938-3682.87261)/3144504.53867*100)</f>
        <v>-1.7939971879913433E-2</v>
      </c>
    </row>
    <row r="65" spans="1:7" s="2" customFormat="1" x14ac:dyDescent="0.3">
      <c r="A65" s="28" t="s">
        <v>73</v>
      </c>
      <c r="B65" s="10">
        <f>IF(2873.54983="","-",2873.54983)</f>
        <v>2873.5498299999999</v>
      </c>
      <c r="C65" s="15">
        <f>IF(OR(3205.37665="",2873.54983=""),"-",2873.54983/3205.37665*100)</f>
        <v>89.647805664273477</v>
      </c>
      <c r="D65" s="15">
        <f>IF(3205.37665="","-",3205.37665/3144504.53867*100)</f>
        <v>0.10193582520175806</v>
      </c>
      <c r="E65" s="15">
        <f>IF(2873.54983="","-",2873.54983/4335076.19734*100)</f>
        <v>6.6286028184768891E-2</v>
      </c>
      <c r="F65" s="15">
        <f>IF(OR(2467106.07968="",2233.59602="",3205.37665=""),"-",(3205.37665-2233.59602)/2467106.07968*100)</f>
        <v>3.93894951661765E-2</v>
      </c>
      <c r="G65" s="15">
        <f>IF(OR(3144504.53867="",2873.54983="",3205.37665=""),"-",(2873.54983-3205.37665)/3144504.53867*100)</f>
        <v>-1.0552594722612475E-2</v>
      </c>
    </row>
    <row r="66" spans="1:7" s="2" customFormat="1" x14ac:dyDescent="0.3">
      <c r="A66" s="28" t="s">
        <v>34</v>
      </c>
      <c r="B66" s="10">
        <f>IF(2566.04719="","-",2566.04719)</f>
        <v>2566.0471899999998</v>
      </c>
      <c r="C66" s="15">
        <f>IF(OR(1770.24885="",2566.04719=""),"-",2566.04719/1770.24885*100)</f>
        <v>144.95403795912648</v>
      </c>
      <c r="D66" s="15">
        <f>IF(1770.24885="","-",1770.24885/3144504.53867*100)</f>
        <v>5.6296590710240936E-2</v>
      </c>
      <c r="E66" s="15">
        <f>IF(2566.04719="","-",2566.04719/4335076.19734*100)</f>
        <v>5.9192666361309272E-2</v>
      </c>
      <c r="F66" s="15">
        <f>IF(OR(2467106.07968="",761.21528="",1770.24885=""),"-",(1770.24885-761.21528)/2467106.07968*100)</f>
        <v>4.089948050109294E-2</v>
      </c>
      <c r="G66" s="15">
        <f>IF(OR(3144504.53867="",2566.04719="",1770.24885=""),"-",(2566.04719-1770.24885)/3144504.53867*100)</f>
        <v>2.5307590757575778E-2</v>
      </c>
    </row>
    <row r="67" spans="1:7" s="2" customFormat="1" x14ac:dyDescent="0.3">
      <c r="A67" s="28" t="s">
        <v>74</v>
      </c>
      <c r="B67" s="10">
        <f>IF(2305.52204="","-",2305.52204)</f>
        <v>2305.5220399999998</v>
      </c>
      <c r="C67" s="15">
        <f>IF(OR(2255.20855="",2305.52204=""),"-",2305.52204/2255.20855*100)</f>
        <v>102.23099056626049</v>
      </c>
      <c r="D67" s="15">
        <f>IF(2255.20855="","-",2255.20855/3144504.53867*100)</f>
        <v>7.1719042611204598E-2</v>
      </c>
      <c r="E67" s="15">
        <f>IF(2305.52204="","-",2305.52204/4335076.19734*100)</f>
        <v>5.3182964613509361E-2</v>
      </c>
      <c r="F67" s="15">
        <f>IF(OR(2467106.07968="",1376.97778="",2255.20855=""),"-",(2255.20855-1376.97778)/2467106.07968*100)</f>
        <v>3.5597608762486299E-2</v>
      </c>
      <c r="G67" s="15">
        <f>IF(OR(3144504.53867="",2305.52204="",2255.20855=""),"-",(2305.52204-2255.20855)/3144504.53867*100)</f>
        <v>1.6000450748683162E-3</v>
      </c>
    </row>
    <row r="68" spans="1:7" s="2" customFormat="1" x14ac:dyDescent="0.3">
      <c r="A68" s="28" t="s">
        <v>75</v>
      </c>
      <c r="B68" s="10">
        <f>IF(2166.43384="","-",2166.43384)</f>
        <v>2166.4338400000001</v>
      </c>
      <c r="C68" s="15" t="s">
        <v>344</v>
      </c>
      <c r="D68" s="15">
        <f>IF(924.00727="","-",924.00727/3144504.53867*100)</f>
        <v>2.9384828631566169E-2</v>
      </c>
      <c r="E68" s="15">
        <f>IF(2166.43384="","-",2166.43384/4335076.19734*100)</f>
        <v>4.9974527352698493E-2</v>
      </c>
      <c r="F68" s="15">
        <f>IF(OR(2467106.07968="",242.23552="",924.00727=""),"-",(924.00727-242.23552)/2467106.07968*100)</f>
        <v>2.7634472453994773E-2</v>
      </c>
      <c r="G68" s="15">
        <f>IF(OR(3144504.53867="",2166.43384="",924.00727=""),"-",(2166.43384-924.00727)/3144504.53867*100)</f>
        <v>3.9511043940979547E-2</v>
      </c>
    </row>
    <row r="69" spans="1:7" s="2" customFormat="1" x14ac:dyDescent="0.3">
      <c r="A69" s="28" t="s">
        <v>301</v>
      </c>
      <c r="B69" s="10">
        <f>IF(2060.66286="","-",2060.66286)</f>
        <v>2060.6628599999999</v>
      </c>
      <c r="C69" s="15">
        <f>IF(OR(1524.62242="",2060.66286=""),"-",2060.66286/1524.62242*100)</f>
        <v>135.15889789945501</v>
      </c>
      <c r="D69" s="15">
        <f>IF(1524.62242="","-",1524.62242/3144504.53867*100)</f>
        <v>4.8485298756949936E-2</v>
      </c>
      <c r="E69" s="15">
        <f>IF(2060.66286="","-",2060.66286/4335076.19734*100)</f>
        <v>4.7534639904701581E-2</v>
      </c>
      <c r="F69" s="15">
        <f>IF(OR(2467106.07968="",2057.92181="",1524.62242=""),"-",(1524.62242-2057.92181)/2467106.07968*100)</f>
        <v>-2.1616394787092916E-2</v>
      </c>
      <c r="G69" s="15">
        <f>IF(OR(3144504.53867="",2060.66286="",1524.62242=""),"-",(2060.66286-1524.62242)/3144504.53867*100)</f>
        <v>1.7046896686201754E-2</v>
      </c>
    </row>
    <row r="70" spans="1:7" x14ac:dyDescent="0.3">
      <c r="A70" s="28" t="s">
        <v>82</v>
      </c>
      <c r="B70" s="10">
        <f>IF(1899.66192="","-",1899.66192)</f>
        <v>1899.66192</v>
      </c>
      <c r="C70" s="15" t="s">
        <v>381</v>
      </c>
      <c r="D70" s="15">
        <f>IF(117.84536="","-",117.84536/3144504.53867*100)</f>
        <v>3.7476606743854111E-3</v>
      </c>
      <c r="E70" s="15">
        <f>IF(1899.66192="","-",1899.66192/4335076.19734*100)</f>
        <v>4.3820727330366904E-2</v>
      </c>
      <c r="F70" s="15">
        <f>IF(OR(2467106.07968="",1178.62706="",117.84536=""),"-",(117.84536-1178.62706)/2467106.07968*100)</f>
        <v>-4.2997004009555619E-2</v>
      </c>
      <c r="G70" s="15">
        <f>IF(OR(3144504.53867="",1899.66192="",117.84536=""),"-",(1899.66192-117.84536)/3144504.53867*100)</f>
        <v>5.6664461382957242E-2</v>
      </c>
    </row>
    <row r="71" spans="1:7" x14ac:dyDescent="0.3">
      <c r="A71" s="28" t="s">
        <v>98</v>
      </c>
      <c r="B71" s="10">
        <f>IF(1858.35247="","-",1858.35247)</f>
        <v>1858.35247</v>
      </c>
      <c r="C71" s="15" t="s">
        <v>196</v>
      </c>
      <c r="D71" s="15">
        <f>IF(855.68193="","-",855.68193/3144504.53867*100)</f>
        <v>2.7211979486024822E-2</v>
      </c>
      <c r="E71" s="15">
        <f>IF(1858.35247="","-",1858.35247/4335076.19734*100)</f>
        <v>4.2867815590883589E-2</v>
      </c>
      <c r="F71" s="15">
        <f>IF(OR(2467106.07968="",674.46154="",855.68193=""),"-",(855.68193-674.46154)/2467106.07968*100)</f>
        <v>7.3454640435852451E-3</v>
      </c>
      <c r="G71" s="15">
        <f>IF(OR(3144504.53867="",1858.35247="",855.68193=""),"-",(1858.35247-855.68193)/3144504.53867*100)</f>
        <v>3.1886439585935206E-2</v>
      </c>
    </row>
    <row r="72" spans="1:7" x14ac:dyDescent="0.3">
      <c r="A72" s="28" t="s">
        <v>69</v>
      </c>
      <c r="B72" s="10">
        <f>IF(1791.41687="","-",1791.41687)</f>
        <v>1791.41687</v>
      </c>
      <c r="C72" s="15" t="s">
        <v>281</v>
      </c>
      <c r="D72" s="15">
        <f>IF(744.26758="","-",744.26758/3144504.53867*100)</f>
        <v>2.3668834655738654E-2</v>
      </c>
      <c r="E72" s="15">
        <f>IF(1791.41687="","-",1791.41687/4335076.19734*100)</f>
        <v>4.1323768913201851E-2</v>
      </c>
      <c r="F72" s="15">
        <f>IF(OR(2467106.07968="",1211.13806="",744.26758=""),"-",(744.26758-1211.13806)/2467106.07968*100)</f>
        <v>-1.8923810526240373E-2</v>
      </c>
      <c r="G72" s="15">
        <f>IF(OR(3144504.53867="",1791.41687="",744.26758=""),"-",(1791.41687-744.26758)/3144504.53867*100)</f>
        <v>3.330093110448816E-2</v>
      </c>
    </row>
    <row r="73" spans="1:7" x14ac:dyDescent="0.3">
      <c r="A73" s="28" t="s">
        <v>92</v>
      </c>
      <c r="B73" s="10">
        <f>IF(1778.04309="","-",1778.04309)</f>
        <v>1778.0430899999999</v>
      </c>
      <c r="C73" s="15">
        <f>IF(OR(1223.4233="",1778.04309=""),"-",1778.04309/1223.4233*100)</f>
        <v>145.33343365293106</v>
      </c>
      <c r="D73" s="15">
        <f>IF(1223.4233="","-",1223.4233/3144504.53867*100)</f>
        <v>3.8906711214907616E-2</v>
      </c>
      <c r="E73" s="15">
        <f>IF(1778.04309="","-",1778.04309/4335076.19734*100)</f>
        <v>4.1015267300053587E-2</v>
      </c>
      <c r="F73" s="15">
        <f>IF(OR(2467106.07968="",494.50929="",1223.4233=""),"-",(1223.4233-494.50929)/2467106.07968*100)</f>
        <v>2.9545304760245451E-2</v>
      </c>
      <c r="G73" s="15">
        <f>IF(OR(3144504.53867="",1778.04309="",1223.4233=""),"-",(1778.04309-1223.4233)/3144504.53867*100)</f>
        <v>1.763774811514764E-2</v>
      </c>
    </row>
    <row r="74" spans="1:7" x14ac:dyDescent="0.3">
      <c r="A74" s="28" t="s">
        <v>81</v>
      </c>
      <c r="B74" s="10">
        <f>IF(1765.44545="","-",1765.44545)</f>
        <v>1765.4454499999999</v>
      </c>
      <c r="C74" s="15" t="s">
        <v>382</v>
      </c>
      <c r="D74" s="15">
        <f>IF(475.66826="","-",475.66826/3144504.53867*100)</f>
        <v>1.5126970056821372E-2</v>
      </c>
      <c r="E74" s="15">
        <f>IF(1765.44545="","-",1765.44545/4335076.19734*100)</f>
        <v>4.0724669409116176E-2</v>
      </c>
      <c r="F74" s="15">
        <f>IF(OR(2467106.07968="",23.86737="",475.66826=""),"-",(475.66826-23.86737)/2467106.07968*100)</f>
        <v>1.8312990013733075E-2</v>
      </c>
      <c r="G74" s="15">
        <f>IF(OR(3144504.53867="",1765.44545="",475.66826=""),"-",(1765.44545-475.66826)/3144504.53867*100)</f>
        <v>4.1016865268877122E-2</v>
      </c>
    </row>
    <row r="75" spans="1:7" x14ac:dyDescent="0.3">
      <c r="A75" s="28" t="s">
        <v>87</v>
      </c>
      <c r="B75" s="10">
        <f>IF(1663.7288="","-",1663.7288)</f>
        <v>1663.7288000000001</v>
      </c>
      <c r="C75" s="15">
        <f>IF(OR(2590.68159="",1663.7288=""),"-",1663.7288/2590.68159*100)</f>
        <v>64.21973300084322</v>
      </c>
      <c r="D75" s="15">
        <f>IF(2590.68159="","-",2590.68159/3144504.53867*100)</f>
        <v>8.2387592644269328E-2</v>
      </c>
      <c r="E75" s="15">
        <f>IF(1663.7288="","-",1663.7288/4335076.19734*100)</f>
        <v>3.8378305807424164E-2</v>
      </c>
      <c r="F75" s="15">
        <f>IF(OR(2467106.07968="",353.43076="",2590.68159=""),"-",(2590.68159-353.43076)/2467106.07968*100)</f>
        <v>9.068320362982471E-2</v>
      </c>
      <c r="G75" s="15">
        <f>IF(OR(3144504.53867="",1663.7288="",2590.68159=""),"-",(1663.7288-2590.68159)/3144504.53867*100)</f>
        <v>-2.9478500622297212E-2</v>
      </c>
    </row>
    <row r="76" spans="1:7" x14ac:dyDescent="0.3">
      <c r="A76" s="28" t="s">
        <v>68</v>
      </c>
      <c r="B76" s="10">
        <f>IF(1482.55514="","-",1482.55514)</f>
        <v>1482.5551399999999</v>
      </c>
      <c r="C76" s="15">
        <f>IF(OR(3354.56876="",1482.55514=""),"-",1482.55514/3354.56876*100)</f>
        <v>44.195103635317942</v>
      </c>
      <c r="D76" s="15">
        <f>IF(3354.56876="","-",3354.56876/3144504.53867*100)</f>
        <v>0.10668035993418691</v>
      </c>
      <c r="E76" s="15">
        <f>IF(1482.55514="","-",1482.55514/4335076.19734*100)</f>
        <v>3.4199056083713007E-2</v>
      </c>
      <c r="F76" s="15">
        <f>IF(OR(2467106.07968="",312.37617="",3354.56876=""),"-",(3354.56876-312.37617)/2467106.07968*100)</f>
        <v>0.12331016550348708</v>
      </c>
      <c r="G76" s="15">
        <f>IF(OR(3144504.53867="",1482.55514="",3354.56876=""),"-",(1482.55514-3354.56876)/3144504.53867*100)</f>
        <v>-5.9532864302742822E-2</v>
      </c>
    </row>
    <row r="77" spans="1:7" x14ac:dyDescent="0.3">
      <c r="A77" s="28" t="s">
        <v>138</v>
      </c>
      <c r="B77" s="10">
        <f>IF(1402.99175="","-",1402.99175)</f>
        <v>1402.9917499999999</v>
      </c>
      <c r="C77" s="15">
        <f>IF(OR(1177.91975="",1402.99175=""),"-",1402.99175/1177.91975*100)</f>
        <v>119.10758351746797</v>
      </c>
      <c r="D77" s="15">
        <f>IF(1177.91975="","-",1177.91975/3144504.53867*100)</f>
        <v>3.7459629506472684E-2</v>
      </c>
      <c r="E77" s="15">
        <f>IF(1402.99175="","-",1402.99175/4335076.19734*100)</f>
        <v>3.2363716025588539E-2</v>
      </c>
      <c r="F77" s="15">
        <f>IF(OR(2467106.07968="",535.46692="",1177.91975=""),"-",(1177.91975-535.46692)/2467106.07968*100)</f>
        <v>2.6040746090793567E-2</v>
      </c>
      <c r="G77" s="15">
        <f>IF(OR(3144504.53867="",1402.99175="",1177.91975=""),"-",(1402.99175-1177.91975)/3144504.53867*100)</f>
        <v>7.1576299932833405E-3</v>
      </c>
    </row>
    <row r="78" spans="1:7" x14ac:dyDescent="0.3">
      <c r="A78" s="28" t="s">
        <v>89</v>
      </c>
      <c r="B78" s="10">
        <f>IF(1310.74493="","-",1310.74493)</f>
        <v>1310.7449300000001</v>
      </c>
      <c r="C78" s="15">
        <f>IF(OR(916.07704="",1310.74493=""),"-",1310.74493/916.07704*100)</f>
        <v>143.08239075613116</v>
      </c>
      <c r="D78" s="15">
        <f>IF(916.07704="","-",916.07704/3144504.53867*100)</f>
        <v>2.9132635324083965E-2</v>
      </c>
      <c r="E78" s="15">
        <f>IF(1310.74493="","-",1310.74493/4335076.19734*100)</f>
        <v>3.0235799103237725E-2</v>
      </c>
      <c r="F78" s="15">
        <f>IF(OR(2467106.07968="",801.31483="",916.07704=""),"-",(916.07704-801.31483)/2467106.07968*100)</f>
        <v>4.6516933724586908E-3</v>
      </c>
      <c r="G78" s="15">
        <f>IF(OR(3144504.53867="",1310.74493="",916.07704=""),"-",(1310.74493-916.07704)/3144504.53867*100)</f>
        <v>1.2551035787880555E-2</v>
      </c>
    </row>
    <row r="79" spans="1:7" x14ac:dyDescent="0.3">
      <c r="A79" s="28" t="s">
        <v>37</v>
      </c>
      <c r="B79" s="10">
        <f>IF(1159.73395="","-",1159.73395)</f>
        <v>1159.73395</v>
      </c>
      <c r="C79" s="15">
        <f>IF(OR(774.44808="",1159.73395=""),"-",1159.73395/774.44808*100)</f>
        <v>149.74973532118511</v>
      </c>
      <c r="D79" s="15">
        <f>IF(774.44808="","-",774.44808/3144504.53867*100)</f>
        <v>2.4628620199974669E-2</v>
      </c>
      <c r="E79" s="15">
        <f>IF(1159.73395="","-",1159.73395/4335076.19734*100)</f>
        <v>2.6752331382585894E-2</v>
      </c>
      <c r="F79" s="15">
        <f>IF(OR(2467106.07968="",1907.34724="",774.44808=""),"-",(774.44808-1907.34724)/2467106.07968*100)</f>
        <v>-4.5920164087429285E-2</v>
      </c>
      <c r="G79" s="15">
        <f>IF(OR(3144504.53867="",1159.73395="",774.44808=""),"-",(1159.73395-774.44808)/3144504.53867*100)</f>
        <v>1.2252673362747333E-2</v>
      </c>
    </row>
    <row r="80" spans="1:7" x14ac:dyDescent="0.3">
      <c r="A80" s="28" t="s">
        <v>78</v>
      </c>
      <c r="B80" s="10">
        <f>IF(1093.49514="","-",1093.49514)</f>
        <v>1093.49514</v>
      </c>
      <c r="C80" s="15" t="s">
        <v>99</v>
      </c>
      <c r="D80" s="15">
        <f>IF(656.69443="","-",656.69443/3144504.53867*100)</f>
        <v>2.0883876042289178E-2</v>
      </c>
      <c r="E80" s="15">
        <f>IF(1093.49514="","-",1093.49514/4335076.19734*100)</f>
        <v>2.5224358009461698E-2</v>
      </c>
      <c r="F80" s="15">
        <f>IF(OR(2467106.07968="",11.756="",656.69443=""),"-",(656.69443-11.756)/2467106.07968*100)</f>
        <v>2.6141495710782444E-2</v>
      </c>
      <c r="G80" s="15">
        <f>IF(OR(3144504.53867="",1093.49514="",656.69443=""),"-",(1093.49514-656.69443)/3144504.53867*100)</f>
        <v>1.3890923184507447E-2</v>
      </c>
    </row>
    <row r="81" spans="1:7" x14ac:dyDescent="0.3">
      <c r="A81" s="28" t="s">
        <v>314</v>
      </c>
      <c r="B81" s="10">
        <f>IF(1086.34814="","-",1086.34814)</f>
        <v>1086.3481400000001</v>
      </c>
      <c r="C81" s="15">
        <f>IF(OR(1061.8601="",1086.34814=""),"-",1086.34814/1061.8601*100)</f>
        <v>102.30614560241975</v>
      </c>
      <c r="D81" s="15">
        <f>IF(1061.8601="","-",1061.8601/3144504.53867*100)</f>
        <v>3.3768757110750572E-2</v>
      </c>
      <c r="E81" s="15">
        <f>IF(1086.34814="","-",1086.34814/4335076.19734*100)</f>
        <v>2.5059493548615877E-2</v>
      </c>
      <c r="F81" s="15">
        <f>IF(OR(2467106.07968="",681.44425="",1061.8601=""),"-",(1061.8601-681.44425)/2467106.07968*100)</f>
        <v>1.5419517350033954E-2</v>
      </c>
      <c r="G81" s="15">
        <f>IF(OR(3144504.53867="",1086.34814="",1061.8601=""),"-",(1086.34814-1061.8601)/3144504.53867*100)</f>
        <v>7.7875670710138073E-4</v>
      </c>
    </row>
    <row r="82" spans="1:7" x14ac:dyDescent="0.3">
      <c r="A82" s="28" t="s">
        <v>36</v>
      </c>
      <c r="B82" s="10">
        <f>IF(1029.77167="","-",1029.77167)</f>
        <v>1029.7716700000001</v>
      </c>
      <c r="C82" s="15">
        <f>IF(OR(1225.19286="",1029.77167=""),"-",1029.77167/1225.19286*100)</f>
        <v>84.049760949472059</v>
      </c>
      <c r="D82" s="15">
        <f>IF(1225.19286="","-",1225.19286/3144504.53867*100)</f>
        <v>3.8962985899146062E-2</v>
      </c>
      <c r="E82" s="15">
        <f>IF(1029.77167="","-",1029.77167/4335076.19734*100)</f>
        <v>2.3754407607226538E-2</v>
      </c>
      <c r="F82" s="15">
        <f>IF(OR(2467106.07968="",1477.67051="",1225.19286=""),"-",(1225.19286-1477.67051)/2467106.07968*100)</f>
        <v>-1.0233757359665209E-2</v>
      </c>
      <c r="G82" s="15">
        <f>IF(OR(3144504.53867="",1029.77167="",1225.19286=""),"-",(1029.77167-1225.19286)/3144504.53867*100)</f>
        <v>-6.214689392137286E-3</v>
      </c>
    </row>
    <row r="83" spans="1:7" x14ac:dyDescent="0.3">
      <c r="A83" s="28" t="s">
        <v>83</v>
      </c>
      <c r="B83" s="10">
        <f>IF(875.49329="","-",875.49329)</f>
        <v>875.49329</v>
      </c>
      <c r="C83" s="15" t="s">
        <v>337</v>
      </c>
      <c r="D83" s="15">
        <f>IF(343.24987="","-",343.24987/3144504.53867*100)</f>
        <v>1.0915864988548593E-2</v>
      </c>
      <c r="E83" s="15">
        <f>IF(875.49329="","-",875.49329/4335076.19734*100)</f>
        <v>2.0195568662373271E-2</v>
      </c>
      <c r="F83" s="15">
        <f>IF(OR(2467106.07968="",328.50137="",343.24987=""),"-",(343.24987-328.50137)/2467106.07968*100)</f>
        <v>5.978056688147336E-4</v>
      </c>
      <c r="G83" s="15">
        <f>IF(OR(3144504.53867="",875.49329="",343.24987=""),"-",(875.49329-343.24987)/3144504.53867*100)</f>
        <v>1.6926145707683339E-2</v>
      </c>
    </row>
    <row r="84" spans="1:7" x14ac:dyDescent="0.3">
      <c r="A84" s="28" t="s">
        <v>84</v>
      </c>
      <c r="B84" s="10">
        <f>IF(848.98046="","-",848.98046)</f>
        <v>848.98045999999999</v>
      </c>
      <c r="C84" s="15">
        <f>IF(OR(901.67113="",848.98046=""),"-",848.98046/901.67113*100)</f>
        <v>94.156331699341422</v>
      </c>
      <c r="D84" s="15">
        <f>IF(901.67113="","-",901.67113/3144504.53867*100)</f>
        <v>2.8674505598944716E-2</v>
      </c>
      <c r="E84" s="15">
        <f>IF(848.98046="","-",848.98046/4335076.19734*100)</f>
        <v>1.9583980104454307E-2</v>
      </c>
      <c r="F84" s="15">
        <f>IF(OR(2467106.07968="",1208.27933="",901.67113=""),"-",(901.67113-1208.27933)/2467106.07968*100)</f>
        <v>-1.2427848260167606E-2</v>
      </c>
      <c r="G84" s="15">
        <f>IF(OR(3144504.53867="",848.98046="",901.67113=""),"-",(848.98046-901.67113)/3144504.53867*100)</f>
        <v>-1.6756429940561004E-3</v>
      </c>
    </row>
    <row r="85" spans="1:7" x14ac:dyDescent="0.3">
      <c r="A85" s="28" t="s">
        <v>131</v>
      </c>
      <c r="B85" s="10">
        <f>IF(781.90606="","-",781.90606)</f>
        <v>781.90606000000002</v>
      </c>
      <c r="C85" s="15">
        <f>IF(OR(723.62304="",781.90606=""),"-",781.90606/723.62304*100)</f>
        <v>108.05433447779662</v>
      </c>
      <c r="D85" s="15">
        <f>IF(723.62304="","-",723.62304/3144504.53867*100)</f>
        <v>2.3012307061450882E-2</v>
      </c>
      <c r="E85" s="15">
        <f>IF(781.90606="","-",781.90606/4335076.19734*100)</f>
        <v>1.8036731637607134E-2</v>
      </c>
      <c r="F85" s="15">
        <f>IF(OR(2467106.07968="",553.03947="",723.62304=""),"-",(723.62304-553.03947)/2467106.07968*100)</f>
        <v>6.9143184156120977E-3</v>
      </c>
      <c r="G85" s="15">
        <f>IF(OR(3144504.53867="",781.90606="",723.62304=""),"-",(781.90606-723.62304)/3144504.53867*100)</f>
        <v>1.8534881817868663E-3</v>
      </c>
    </row>
    <row r="86" spans="1:7" x14ac:dyDescent="0.3">
      <c r="A86" s="28" t="s">
        <v>103</v>
      </c>
      <c r="B86" s="10">
        <f>IF(648.55846="","-",648.55846)</f>
        <v>648.55845999999997</v>
      </c>
      <c r="C86" s="15">
        <f>IF(OR(866.88505="",648.55846=""),"-",648.55846/866.88505*100)</f>
        <v>74.81481656651016</v>
      </c>
      <c r="D86" s="15">
        <f>IF(866.88505="","-",866.88505/3144504.53867*100)</f>
        <v>2.7568255645344299E-2</v>
      </c>
      <c r="E86" s="15">
        <f>IF(648.55846="","-",648.55846/4335076.19734*100)</f>
        <v>1.496071650131444E-2</v>
      </c>
      <c r="F86" s="15">
        <f>IF(OR(2467106.07968="",147.37926="",866.88505=""),"-",(866.88505-147.37926)/2467106.07968*100)</f>
        <v>2.9163958369123902E-2</v>
      </c>
      <c r="G86" s="15">
        <f>IF(OR(3144504.53867="",648.55846="",866.88505=""),"-",(648.55846-866.88505)/3144504.53867*100)</f>
        <v>-6.9431157536933765E-3</v>
      </c>
    </row>
    <row r="87" spans="1:7" x14ac:dyDescent="0.3">
      <c r="A87" s="28" t="s">
        <v>123</v>
      </c>
      <c r="B87" s="10">
        <f>IF(606.86806="","-",606.86806)</f>
        <v>606.86806000000001</v>
      </c>
      <c r="C87" s="15">
        <f>IF(OR(606.0642="",606.86806=""),"-",606.86806/606.0642*100)</f>
        <v>100.13263611346785</v>
      </c>
      <c r="D87" s="15">
        <f>IF(606.0642="","-",606.0642/3144504.53867*100)</f>
        <v>1.927375815639118E-2</v>
      </c>
      <c r="E87" s="15">
        <f>IF(606.86806="","-",606.86806/4335076.19734*100)</f>
        <v>1.3999017142360123E-2</v>
      </c>
      <c r="F87" s="15">
        <f>IF(OR(2467106.07968="",376.87811="",606.0642=""),"-",(606.0642-376.87811)/2467106.07968*100)</f>
        <v>9.2896731067894332E-3</v>
      </c>
      <c r="G87" s="15">
        <f>IF(OR(3144504.53867="",606.86806="",606.0642=""),"-",(606.86806-606.0642)/3144504.53867*100)</f>
        <v>2.5563963737829004E-5</v>
      </c>
    </row>
    <row r="88" spans="1:7" x14ac:dyDescent="0.3">
      <c r="A88" s="28" t="s">
        <v>203</v>
      </c>
      <c r="B88" s="10">
        <f>IF(532.67963="","-",532.67963)</f>
        <v>532.67962999999997</v>
      </c>
      <c r="C88" s="15">
        <f>IF(OR(810.46847="",532.67963=""),"-",532.67963/810.46847*100)</f>
        <v>65.724904757861822</v>
      </c>
      <c r="D88" s="15">
        <f>IF(810.46847="","-",810.46847/3144504.53867*100)</f>
        <v>2.5774123078314771E-2</v>
      </c>
      <c r="E88" s="15">
        <f>IF(532.67963="","-",532.67963/4335076.19734*100)</f>
        <v>1.2287664754932147E-2</v>
      </c>
      <c r="F88" s="15">
        <f>IF(OR(2467106.07968="",130.0475="",810.46847=""),"-",(810.46847-130.0475)/2467106.07968*100)</f>
        <v>2.7579720856115562E-2</v>
      </c>
      <c r="G88" s="15">
        <f>IF(OR(3144504.53867="",532.67963="",810.46847=""),"-",(532.67963-810.46847)/3144504.53867*100)</f>
        <v>-8.8341052329183028E-3</v>
      </c>
    </row>
    <row r="89" spans="1:7" x14ac:dyDescent="0.3">
      <c r="A89" s="28" t="s">
        <v>80</v>
      </c>
      <c r="B89" s="10">
        <f>IF(493.91418="","-",493.91418)</f>
        <v>493.91417999999999</v>
      </c>
      <c r="C89" s="15">
        <f>IF(OR(523.68822="",493.91418=""),"-",493.91418/523.68822*100)</f>
        <v>94.314548454040064</v>
      </c>
      <c r="D89" s="15">
        <f>IF(523.68822="","-",523.68822/3144504.53867*100)</f>
        <v>1.6654077409012081E-2</v>
      </c>
      <c r="E89" s="15">
        <f>IF(493.91418="","-",493.91418/4335076.19734*100)</f>
        <v>1.1393437105051703E-2</v>
      </c>
      <c r="F89" s="15">
        <f>IF(OR(2467106.07968="",276.87429="",523.68822=""),"-",(523.68822-276.87429)/2467106.07968*100)</f>
        <v>1.0004187984977665E-2</v>
      </c>
      <c r="G89" s="15">
        <f>IF(OR(3144504.53867="",493.91418="",523.68822=""),"-",(493.91418-523.68822)/3144504.53867*100)</f>
        <v>-9.4685950151603994E-4</v>
      </c>
    </row>
    <row r="90" spans="1:7" x14ac:dyDescent="0.3">
      <c r="A90" s="28" t="s">
        <v>136</v>
      </c>
      <c r="B90" s="10">
        <f>IF(488.18279="","-",488.18279)</f>
        <v>488.18279000000001</v>
      </c>
      <c r="C90" s="15">
        <f>IF(OR(332.148="",488.18279=""),"-",488.18279/332.148*100)</f>
        <v>146.97748895070873</v>
      </c>
      <c r="D90" s="15">
        <f>IF(332.148="","-",332.148/3144504.53867*100)</f>
        <v>1.0562808732357097E-2</v>
      </c>
      <c r="E90" s="15">
        <f>IF(488.18279="","-",488.18279/4335076.19734*100)</f>
        <v>1.1261227433546579E-2</v>
      </c>
      <c r="F90" s="15">
        <f>IF(OR(2467106.07968="",223.9968="",332.148=""),"-",(332.148-223.9968)/2467106.07968*100)</f>
        <v>4.3837271891457516E-3</v>
      </c>
      <c r="G90" s="15">
        <f>IF(OR(3144504.53867="",488.18279="",332.148=""),"-",(488.18279-332.148)/3144504.53867*100)</f>
        <v>4.9621423051275501E-3</v>
      </c>
    </row>
    <row r="91" spans="1:7" x14ac:dyDescent="0.3">
      <c r="A91" s="28" t="s">
        <v>67</v>
      </c>
      <c r="B91" s="10">
        <f>IF(418.64307="","-",418.64307)</f>
        <v>418.64307000000002</v>
      </c>
      <c r="C91" s="15" t="s">
        <v>91</v>
      </c>
      <c r="D91" s="15">
        <f>IF(200.91996="","-",200.91996/3144504.53867*100)</f>
        <v>6.3895585943399887E-3</v>
      </c>
      <c r="E91" s="15">
        <f>IF(418.64307="","-",418.64307/4335076.19734*100)</f>
        <v>9.6571098394274846E-3</v>
      </c>
      <c r="F91" s="15">
        <f>IF(OR(2467106.07968="",88.2011="",200.91996=""),"-",(200.91996-88.2011)/2467106.07968*100)</f>
        <v>4.5688696132036768E-3</v>
      </c>
      <c r="G91" s="15">
        <f>IF(OR(3144504.53867="",418.64307="",200.91996=""),"-",(418.64307-200.91996)/3144504.53867*100)</f>
        <v>6.9239241770052643E-3</v>
      </c>
    </row>
    <row r="92" spans="1:7" x14ac:dyDescent="0.3">
      <c r="A92" s="28" t="s">
        <v>119</v>
      </c>
      <c r="B92" s="10">
        <f>IF(401.06101="","-",401.06101)</f>
        <v>401.06101000000001</v>
      </c>
      <c r="C92" s="15">
        <f>IF(OR(650.25851="",401.06101=""),"-",401.06101/650.25851*100)</f>
        <v>61.677164363446778</v>
      </c>
      <c r="D92" s="15">
        <f>IF(650.25851="","-",650.25851/3144504.53867*100)</f>
        <v>2.0679204052764175E-2</v>
      </c>
      <c r="E92" s="15">
        <f>IF(401.06101="","-",401.06101/4335076.19734*100)</f>
        <v>9.2515331159828459E-3</v>
      </c>
      <c r="F92" s="15">
        <f>IF(OR(2467106.07968="",1210.68666="",650.25851=""),"-",(650.25851-1210.68666)/2467106.07968*100)</f>
        <v>-2.2716013495159126E-2</v>
      </c>
      <c r="G92" s="15">
        <f>IF(OR(3144504.53867="",401.06101="",650.25851=""),"-",(401.06101-650.25851)/3144504.53867*100)</f>
        <v>-7.9248573800882668E-3</v>
      </c>
    </row>
    <row r="93" spans="1:7" x14ac:dyDescent="0.3">
      <c r="A93" s="28" t="s">
        <v>59</v>
      </c>
      <c r="B93" s="10">
        <f>IF(377.78734="","-",377.78734)</f>
        <v>377.78733999999997</v>
      </c>
      <c r="C93" s="15">
        <f>IF(OR(4043.86263="",377.78734=""),"-",377.78734/4043.86263*100)</f>
        <v>9.3422396991759324</v>
      </c>
      <c r="D93" s="15">
        <f>IF(4043.86263="","-",4043.86263/3144504.53867*100)</f>
        <v>0.12860094747105666</v>
      </c>
      <c r="E93" s="15">
        <f>IF(377.78734="","-",377.78734/4335076.19734*100)</f>
        <v>8.7146643519624874E-3</v>
      </c>
      <c r="F93" s="15">
        <f>IF(OR(2467106.07968="",2595.6631="",4043.86263=""),"-",(4043.86263-2595.6631)/2467106.07968*100)</f>
        <v>5.8700334854990953E-2</v>
      </c>
      <c r="G93" s="15">
        <f>IF(OR(3144504.53867="",377.78734="",4043.86263=""),"-",(377.78734-4043.86263)/3144504.53867*100)</f>
        <v>-0.11658673870289923</v>
      </c>
    </row>
    <row r="94" spans="1:7" x14ac:dyDescent="0.3">
      <c r="A94" s="28" t="s">
        <v>307</v>
      </c>
      <c r="B94" s="10">
        <f>IF(344.6062="","-",344.6062)</f>
        <v>344.6062</v>
      </c>
      <c r="C94" s="15">
        <f>IF(OR(1046.61781="",344.6062=""),"-",344.6062/1046.61781*100)</f>
        <v>32.925696152638565</v>
      </c>
      <c r="D94" s="15">
        <f>IF(1046.61781="","-",1046.61781/3144504.53867*100)</f>
        <v>3.3284029236691048E-2</v>
      </c>
      <c r="E94" s="15">
        <f>IF(344.6062="","-",344.6062/4335076.19734*100)</f>
        <v>7.9492535843187738E-3</v>
      </c>
      <c r="F94" s="15">
        <f>IF(OR(2467106.07968="",1154.66333="",1046.61781=""),"-",(1046.61781-1154.66333)/2467106.07968*100)</f>
        <v>-4.3794436278967921E-3</v>
      </c>
      <c r="G94" s="15">
        <f>IF(OR(3144504.53867="",344.6062="",1046.61781=""),"-",(344.6062-1046.61781)/3144504.53867*100)</f>
        <v>-2.2325030902862773E-2</v>
      </c>
    </row>
    <row r="95" spans="1:7" x14ac:dyDescent="0.3">
      <c r="A95" s="28" t="s">
        <v>63</v>
      </c>
      <c r="B95" s="10">
        <f>IF(332.95824="","-",332.95824)</f>
        <v>332.95823999999999</v>
      </c>
      <c r="C95" s="15">
        <f>IF(OR(7601.65231="",332.95824=""),"-",332.95824/7601.65231*100)</f>
        <v>4.3800772045571232</v>
      </c>
      <c r="D95" s="15">
        <f>IF(7601.65231="","-",7601.65231/3144504.53867*100)</f>
        <v>0.24174404000749816</v>
      </c>
      <c r="E95" s="15">
        <f>IF(332.95824="","-",332.95824/4335076.19734*100)</f>
        <v>7.680562574754809E-3</v>
      </c>
      <c r="F95" s="15">
        <f>IF(OR(2467106.07968="",5156.99595="",7601.65231=""),"-",(7601.65231-5156.99595)/2467106.07968*100)</f>
        <v>9.9090038330134883E-2</v>
      </c>
      <c r="G95" s="15">
        <f>IF(OR(3144504.53867="",332.95824="",7601.65231=""),"-",(332.95824-7601.65231)/3144504.53867*100)</f>
        <v>-0.23115546441775428</v>
      </c>
    </row>
    <row r="96" spans="1:7" x14ac:dyDescent="0.3">
      <c r="A96" s="28" t="s">
        <v>350</v>
      </c>
      <c r="B96" s="10">
        <f>IF(297.56828="","-",297.56828)</f>
        <v>297.56828000000002</v>
      </c>
      <c r="C96" s="15" t="s">
        <v>91</v>
      </c>
      <c r="D96" s="15">
        <f>IF(139.09809="","-",139.09809/3144504.53867*100)</f>
        <v>4.4235296304845828E-3</v>
      </c>
      <c r="E96" s="15">
        <f>IF(297.56828="","-",297.56828/4335076.19734*100)</f>
        <v>6.8641995308545605E-3</v>
      </c>
      <c r="F96" s="15">
        <f>IF(OR(2467106.07968="",361.77183="",139.09809=""),"-",(139.09809-361.77183)/2467106.07968*100)</f>
        <v>-9.025705940819629E-3</v>
      </c>
      <c r="G96" s="15">
        <f>IF(OR(3144504.53867="",297.56828="",139.09809=""),"-",(297.56828-139.09809)/3144504.53867*100)</f>
        <v>5.0395917083658134E-3</v>
      </c>
    </row>
    <row r="97" spans="1:7" x14ac:dyDescent="0.3">
      <c r="A97" s="28" t="s">
        <v>362</v>
      </c>
      <c r="B97" s="10">
        <f>IF(263.53182="","-",263.53182)</f>
        <v>263.53181999999998</v>
      </c>
      <c r="C97" s="15" t="str">
        <f>IF(OR(""="",263.53182=""),"-",263.53182/""*100)</f>
        <v>-</v>
      </c>
      <c r="D97" s="15" t="str">
        <f>IF(""="","-",""/3144504.53867*100)</f>
        <v>-</v>
      </c>
      <c r="E97" s="15">
        <f>IF(263.53182="","-",263.53182/4335076.19734*100)</f>
        <v>6.0790585448464067E-3</v>
      </c>
      <c r="F97" s="15" t="str">
        <f>IF(OR(2467106.07968="",""="",""=""),"-",(""-"")/2467106.07968*100)</f>
        <v>-</v>
      </c>
      <c r="G97" s="15" t="str">
        <f>IF(OR(3144504.53867="",263.53182="",""=""),"-",(263.53182-"")/3144504.53867*100)</f>
        <v>-</v>
      </c>
    </row>
    <row r="98" spans="1:7" x14ac:dyDescent="0.3">
      <c r="A98" s="28" t="s">
        <v>85</v>
      </c>
      <c r="B98" s="10">
        <f>IF(249.1943="","-",249.1943)</f>
        <v>249.1943</v>
      </c>
      <c r="C98" s="15">
        <f>IF(OR(1144.49431="",249.1943=""),"-",249.1943/1144.49431*100)</f>
        <v>21.773310519997256</v>
      </c>
      <c r="D98" s="15">
        <f>IF(1144.49431="","-",1144.49431/3144504.53867*100)</f>
        <v>3.6396649962670287E-2</v>
      </c>
      <c r="E98" s="15">
        <f>IF(249.1943="","-",249.1943/4335076.19734*100)</f>
        <v>5.7483257192320041E-3</v>
      </c>
      <c r="F98" s="15">
        <f>IF(OR(2467106.07968="",98.8642="",1144.49431=""),"-",(1144.49431-98.8642)/2467106.07968*100)</f>
        <v>4.2382859764815026E-2</v>
      </c>
      <c r="G98" s="15">
        <f>IF(OR(3144504.53867="",249.1943="",1144.49431=""),"-",(249.1943-1144.49431)/3144504.53867*100)</f>
        <v>-2.8471894347421617E-2</v>
      </c>
    </row>
    <row r="99" spans="1:7" x14ac:dyDescent="0.3">
      <c r="A99" s="28" t="s">
        <v>94</v>
      </c>
      <c r="B99" s="10">
        <f>IF(228.36518="","-",228.36518)</f>
        <v>228.36518000000001</v>
      </c>
      <c r="C99" s="15" t="s">
        <v>197</v>
      </c>
      <c r="D99" s="15">
        <f>IF(130.35845="","-",130.35845/3144504.53867*100)</f>
        <v>4.1455958608708652E-3</v>
      </c>
      <c r="E99" s="15">
        <f>IF(228.36518="","-",228.36518/4335076.19734*100)</f>
        <v>5.2678469674910149E-3</v>
      </c>
      <c r="F99" s="15">
        <f>IF(OR(2467106.07968="",129.41661="",130.35845=""),"-",(130.35845-129.41661)/2467106.07968*100)</f>
        <v>3.8175902031832224E-5</v>
      </c>
      <c r="G99" s="15">
        <f>IF(OR(3144504.53867="",228.36518="",130.35845=""),"-",(228.36518-130.35845)/3144504.53867*100)</f>
        <v>3.1167622369358363E-3</v>
      </c>
    </row>
    <row r="100" spans="1:7" x14ac:dyDescent="0.3">
      <c r="A100" s="28" t="s">
        <v>313</v>
      </c>
      <c r="B100" s="10">
        <f>IF(225.16046="","-",225.16046)</f>
        <v>225.16046</v>
      </c>
      <c r="C100" s="15" t="s">
        <v>360</v>
      </c>
      <c r="D100" s="15">
        <f>IF(27.73313="","-",27.73313/3144504.53867*100)</f>
        <v>8.8195547689462104E-4</v>
      </c>
      <c r="E100" s="15">
        <f>IF(225.16046="","-",225.16046/4335076.19734*100)</f>
        <v>5.1939216232959945E-3</v>
      </c>
      <c r="F100" s="15">
        <f>IF(OR(2467106.07968="",15.27831="",27.73313=""),"-",(27.73313-15.27831)/2467106.07968*100)</f>
        <v>5.0483520358457674E-4</v>
      </c>
      <c r="G100" s="15">
        <f>IF(OR(3144504.53867="",225.16046="",27.73313=""),"-",(225.16046-27.73313)/3144504.53867*100)</f>
        <v>6.2784876781734238E-3</v>
      </c>
    </row>
    <row r="101" spans="1:7" x14ac:dyDescent="0.3">
      <c r="A101" s="28" t="s">
        <v>76</v>
      </c>
      <c r="B101" s="10">
        <f>IF(219.88924="","-",219.88924)</f>
        <v>219.88924</v>
      </c>
      <c r="C101" s="15" t="s">
        <v>357</v>
      </c>
      <c r="D101" s="15">
        <f>IF(56.25423="","-",56.25423/3144504.53867*100)</f>
        <v>1.7889695914954313E-3</v>
      </c>
      <c r="E101" s="15">
        <f>IF(219.88924="","-",219.88924/4335076.19734*100)</f>
        <v>5.0723269901212786E-3</v>
      </c>
      <c r="F101" s="15">
        <f>IF(OR(2467106.07968="",19.0101="",56.25423=""),"-",(56.25423-19.0101)/2467106.07968*100)</f>
        <v>1.5096282363679639E-3</v>
      </c>
      <c r="G101" s="15">
        <f>IF(OR(3144504.53867="",219.88924="",56.25423=""),"-",(219.88924-56.25423)/3144504.53867*100)</f>
        <v>5.203840795510859E-3</v>
      </c>
    </row>
    <row r="102" spans="1:7" x14ac:dyDescent="0.3">
      <c r="A102" s="28" t="s">
        <v>79</v>
      </c>
      <c r="B102" s="10">
        <f>IF(219.56354="","-",219.56354)</f>
        <v>219.56353999999999</v>
      </c>
      <c r="C102" s="15" t="s">
        <v>343</v>
      </c>
      <c r="D102" s="15">
        <f>IF(54.84126="","-",54.84126/3144504.53867*100)</f>
        <v>1.7440350085548186E-3</v>
      </c>
      <c r="E102" s="15">
        <f>IF(219.56354="","-",219.56354/4335076.19734*100)</f>
        <v>5.0648138580522304E-3</v>
      </c>
      <c r="F102" s="15">
        <f>IF(OR(2467106.07968="",381.79848="",54.84126=""),"-",(54.84126-381.79848)/2467106.07968*100)</f>
        <v>-1.3252661597851054E-2</v>
      </c>
      <c r="G102" s="15">
        <f>IF(OR(3144504.53867="",219.56354="",54.84126=""),"-",(219.56354-54.84126)/3144504.53867*100)</f>
        <v>5.2384176258709085E-3</v>
      </c>
    </row>
    <row r="103" spans="1:7" x14ac:dyDescent="0.3">
      <c r="A103" s="28" t="s">
        <v>97</v>
      </c>
      <c r="B103" s="10">
        <f>IF(193.4367="","-",193.4367)</f>
        <v>193.4367</v>
      </c>
      <c r="C103" s="15">
        <f>IF(OR(871.08141="",193.4367=""),"-",193.4367/871.08141*100)</f>
        <v>22.20650076782146</v>
      </c>
      <c r="D103" s="15">
        <f>IF(871.08141="","-",871.08141/3144504.53867*100)</f>
        <v>2.7701706239814581E-2</v>
      </c>
      <c r="E103" s="15">
        <f>IF(193.4367="","-",193.4367/4335076.19734*100)</f>
        <v>4.4621291805364951E-3</v>
      </c>
      <c r="F103" s="15">
        <f>IF(OR(2467106.07968="",271.30947="",871.08141=""),"-",(871.08141-271.30947)/2467106.07968*100)</f>
        <v>2.4310747922026706E-2</v>
      </c>
      <c r="G103" s="15">
        <f>IF(OR(3144504.53867="",193.4367="",871.08141=""),"-",(193.4367-871.08141)/3144504.53867*100)</f>
        <v>-2.1550126630970508E-2</v>
      </c>
    </row>
    <row r="104" spans="1:7" x14ac:dyDescent="0.3">
      <c r="A104" s="28" t="s">
        <v>292</v>
      </c>
      <c r="B104" s="10">
        <f>IF(176.90536="","-",176.90536)</f>
        <v>176.90536</v>
      </c>
      <c r="C104" s="15">
        <f>IF(OR(211.45377="",176.90536=""),"-",176.90536/211.45377*100)</f>
        <v>83.661483075000277</v>
      </c>
      <c r="D104" s="15">
        <f>IF(211.45377="","-",211.45377/3144504.53867*100)</f>
        <v>6.7245496834116986E-3</v>
      </c>
      <c r="E104" s="15">
        <f>IF(176.90536="","-",176.90536/4335076.19734*100)</f>
        <v>4.0807900933448179E-3</v>
      </c>
      <c r="F104" s="15">
        <f>IF(OR(2467106.07968="",148.09013="",211.45377=""),"-",(211.45377-148.09013)/2467106.07968*100)</f>
        <v>2.5683386913066459E-3</v>
      </c>
      <c r="G104" s="15">
        <f>IF(OR(3144504.53867="",176.90536="",211.45377=""),"-",(176.90536-211.45377)/3144504.53867*100)</f>
        <v>-1.0986916881542358E-3</v>
      </c>
    </row>
    <row r="105" spans="1:7" x14ac:dyDescent="0.3">
      <c r="A105" s="28" t="s">
        <v>126</v>
      </c>
      <c r="B105" s="10">
        <f>IF(164.21538="","-",164.21538)</f>
        <v>164.21538000000001</v>
      </c>
      <c r="C105" s="15">
        <f>IF(OR(623.55674="",164.21538=""),"-",164.21538/623.55674*100)</f>
        <v>26.335274637557443</v>
      </c>
      <c r="D105" s="15">
        <f>IF(623.55674="","-",623.55674/3144504.53867*100)</f>
        <v>1.9830047383672708E-2</v>
      </c>
      <c r="E105" s="15">
        <f>IF(164.21538="","-",164.21538/4335076.19734*100)</f>
        <v>3.7880621360418631E-3</v>
      </c>
      <c r="F105" s="15">
        <f>IF(OR(2467106.07968="",93.00495="",623.55674=""),"-",(623.55674-93.00495)/2467106.07968*100)</f>
        <v>2.1505025437285455E-2</v>
      </c>
      <c r="G105" s="15">
        <f>IF(OR(3144504.53867="",164.21538="",623.55674=""),"-",(164.21538-623.55674)/3144504.53867*100)</f>
        <v>-1.4607749944424729E-2</v>
      </c>
    </row>
    <row r="106" spans="1:7" x14ac:dyDescent="0.3">
      <c r="A106" s="28" t="s">
        <v>93</v>
      </c>
      <c r="B106" s="10">
        <f>IF(159.41248="","-",159.41248)</f>
        <v>159.41247999999999</v>
      </c>
      <c r="C106" s="15" t="s">
        <v>383</v>
      </c>
      <c r="D106" s="15">
        <f>IF(30.11273="","-",30.11273/3144504.53867*100)</f>
        <v>9.5763035574235431E-4</v>
      </c>
      <c r="E106" s="15">
        <f>IF(159.41248="","-",159.41248/4335076.19734*100)</f>
        <v>3.6772705425066202E-3</v>
      </c>
      <c r="F106" s="15">
        <f>IF(OR(2467106.07968="",0.64168="",30.11273=""),"-",(30.11273-0.64168)/2467106.07968*100)</f>
        <v>1.1945594979775895E-3</v>
      </c>
      <c r="G106" s="15">
        <f>IF(OR(3144504.53867="",159.41248="",30.11273=""),"-",(159.41248-30.11273)/3144504.53867*100)</f>
        <v>4.1119275997193701E-3</v>
      </c>
    </row>
    <row r="107" spans="1:7" x14ac:dyDescent="0.3">
      <c r="A107" s="28" t="s">
        <v>352</v>
      </c>
      <c r="B107" s="10">
        <f>IF(159.32384="","-",159.32384)</f>
        <v>159.32383999999999</v>
      </c>
      <c r="C107" s="15">
        <f>IF(OR(192.04276="",159.32384=""),"-",159.32384/192.04276*100)</f>
        <v>82.962690184206892</v>
      </c>
      <c r="D107" s="15">
        <f>IF(192.04276="","-",192.04276/3144504.53867*100)</f>
        <v>6.1072502086839536E-3</v>
      </c>
      <c r="E107" s="15">
        <f>IF(159.32384="","-",159.32384/4335076.19734*100)</f>
        <v>3.6752258264286328E-3</v>
      </c>
      <c r="F107" s="15">
        <f>IF(OR(2467106.07968="",16.97773="",192.04276=""),"-",(192.04276-16.97773)/2467106.07968*100)</f>
        <v>7.09596686749307E-3</v>
      </c>
      <c r="G107" s="15">
        <f>IF(OR(3144504.53867="",159.32384="",192.04276=""),"-",(159.32384-192.04276)/3144504.53867*100)</f>
        <v>-1.0405111392791564E-3</v>
      </c>
    </row>
    <row r="108" spans="1:7" x14ac:dyDescent="0.3">
      <c r="A108" s="28" t="s">
        <v>351</v>
      </c>
      <c r="B108" s="10">
        <f>IF(151.56137="","-",151.56137)</f>
        <v>151.56137000000001</v>
      </c>
      <c r="C108" s="15">
        <f>IF(OR(98.65042="",151.56137=""),"-",151.56137/98.65042*100)</f>
        <v>153.6347944590606</v>
      </c>
      <c r="D108" s="15">
        <f>IF(98.65042="","-",98.65042/3144504.53867*100)</f>
        <v>3.1372325524365498E-3</v>
      </c>
      <c r="E108" s="15">
        <f>IF(151.56137="","-",151.56137/4335076.19734*100)</f>
        <v>3.4961639219397798E-3</v>
      </c>
      <c r="F108" s="15">
        <f>IF(OR(2467106.07968="",72.2805="",98.65042=""),"-",(98.65042-72.2805)/2467106.07968*100)</f>
        <v>1.0688604035794175E-3</v>
      </c>
      <c r="G108" s="15">
        <f>IF(OR(3144504.53867="",151.56137="",98.65042=""),"-",(151.56137-98.65042)/3144504.53867*100)</f>
        <v>1.6826482312020843E-3</v>
      </c>
    </row>
    <row r="109" spans="1:7" x14ac:dyDescent="0.3">
      <c r="A109" s="28" t="s">
        <v>332</v>
      </c>
      <c r="B109" s="10">
        <f>IF(144.29552="","-",144.29552)</f>
        <v>144.29552000000001</v>
      </c>
      <c r="C109" s="15" t="s">
        <v>363</v>
      </c>
      <c r="D109" s="15">
        <f>IF(25.64="","-",25.64/3144504.53867*100)</f>
        <v>8.1539077729697595E-4</v>
      </c>
      <c r="E109" s="15">
        <f>IF(144.29552="","-",144.29552/4335076.19734*100)</f>
        <v>3.3285578714519399E-3</v>
      </c>
      <c r="F109" s="15">
        <f>IF(OR(2467106.07968="",0.42518="",25.64=""),"-",(25.64-0.42518)/2467106.07968*100)</f>
        <v>1.0220403657418141E-3</v>
      </c>
      <c r="G109" s="15">
        <f>IF(OR(3144504.53867="",144.29552="",25.64=""),"-",(144.29552-25.64)/3144504.53867*100)</f>
        <v>3.7734249876512039E-3</v>
      </c>
    </row>
    <row r="110" spans="1:7" x14ac:dyDescent="0.3">
      <c r="A110" s="28" t="s">
        <v>327</v>
      </c>
      <c r="B110" s="10">
        <f>IF(142.4144="","-",142.4144)</f>
        <v>142.4144</v>
      </c>
      <c r="C110" s="15">
        <f>IF(OR(363.13017="",142.4144=""),"-",142.4144/363.13017*100)</f>
        <v>39.218553501076485</v>
      </c>
      <c r="D110" s="15">
        <f>IF(363.13017="","-",363.13017/3144504.53867*100)</f>
        <v>1.154808859501884E-2</v>
      </c>
      <c r="E110" s="15">
        <f>IF(142.4144="","-",142.4144/4335076.19734*100)</f>
        <v>3.2851648625550197E-3</v>
      </c>
      <c r="F110" s="15">
        <f>IF(OR(2467106.07968="",378.35006="",363.13017=""),"-",(363.13017-378.35006)/2467106.07968*100)</f>
        <v>-6.1691267049101043E-4</v>
      </c>
      <c r="G110" s="15">
        <f>IF(OR(3144504.53867="",142.4144="",363.13017=""),"-",(142.4144-363.13017)/3144504.53867*100)</f>
        <v>-7.0190952910296643E-3</v>
      </c>
    </row>
    <row r="111" spans="1:7" x14ac:dyDescent="0.3">
      <c r="A111" s="28" t="s">
        <v>312</v>
      </c>
      <c r="B111" s="10">
        <f>IF(133.77535="","-",133.77535)</f>
        <v>133.77535</v>
      </c>
      <c r="C111" s="15" t="s">
        <v>99</v>
      </c>
      <c r="D111" s="15">
        <f>IF(79.48126="","-",79.48126/3144504.53867*100)</f>
        <v>2.5276242734767179E-3</v>
      </c>
      <c r="E111" s="15">
        <f>IF(133.77535="","-",133.77535/4335076.19734*100)</f>
        <v>3.0858823215629853E-3</v>
      </c>
      <c r="F111" s="15">
        <f>IF(OR(2467106.07968="",85.73571="",79.48126=""),"-",(79.48126-85.73571)/2467106.07968*100)</f>
        <v>-2.5351362276287835E-4</v>
      </c>
      <c r="G111" s="15">
        <f>IF(OR(3144504.53867="",133.77535="",79.48126=""),"-",(133.77535-79.48126)/3144504.53867*100)</f>
        <v>1.7266341750285478E-3</v>
      </c>
    </row>
    <row r="112" spans="1:7" x14ac:dyDescent="0.3">
      <c r="A112" s="28" t="s">
        <v>306</v>
      </c>
      <c r="B112" s="10">
        <f>IF(105.76481="","-",105.76481)</f>
        <v>105.76481</v>
      </c>
      <c r="C112" s="15" t="s">
        <v>345</v>
      </c>
      <c r="D112" s="15">
        <f>IF(32.49156="","-",32.49156/3144504.53867*100)</f>
        <v>1.0332807474255589E-3</v>
      </c>
      <c r="E112" s="15">
        <f>IF(105.76481="","-",105.76481/4335076.19734*100)</f>
        <v>2.4397451206254971E-3</v>
      </c>
      <c r="F112" s="15" t="str">
        <f>IF(OR(2467106.07968="",""="",32.49156=""),"-",(32.49156-"")/2467106.07968*100)</f>
        <v>-</v>
      </c>
      <c r="G112" s="15">
        <f>IF(OR(3144504.53867="",105.76481="",32.49156=""),"-",(105.76481-32.49156)/3144504.53867*100)</f>
        <v>2.3302001666371153E-3</v>
      </c>
    </row>
    <row r="113" spans="1:7" x14ac:dyDescent="0.3">
      <c r="A113" s="28" t="s">
        <v>375</v>
      </c>
      <c r="B113" s="10">
        <f>IF(102.60799="","-",102.60799)</f>
        <v>102.60799</v>
      </c>
      <c r="C113" s="15" t="str">
        <f>IF(OR(""="",102.60799=""),"-",102.60799/""*100)</f>
        <v>-</v>
      </c>
      <c r="D113" s="15" t="str">
        <f>IF(""="","-",""/3144504.53867*100)</f>
        <v>-</v>
      </c>
      <c r="E113" s="15">
        <f>IF(102.60799="","-",102.60799/4335076.19734*100)</f>
        <v>2.3669247166395874E-3</v>
      </c>
      <c r="F113" s="15" t="str">
        <f>IF(OR(2467106.07968="",""="",""=""),"-",(""-"")/2467106.07968*100)</f>
        <v>-</v>
      </c>
      <c r="G113" s="15" t="str">
        <f>IF(OR(3144504.53867="",102.60799="",""=""),"-",(102.60799-"")/3144504.53867*100)</f>
        <v>-</v>
      </c>
    </row>
    <row r="114" spans="1:7" x14ac:dyDescent="0.3">
      <c r="A114" s="28" t="s">
        <v>202</v>
      </c>
      <c r="B114" s="10">
        <f>IF(84.65528="","-",84.65528)</f>
        <v>84.655280000000005</v>
      </c>
      <c r="C114" s="15">
        <f>IF(OR(2147.14052="",84.65528=""),"-",84.65528/2147.14052*100)</f>
        <v>3.9426986362308512</v>
      </c>
      <c r="D114" s="15">
        <f>IF(2147.14052="","-",2147.14052/3144504.53867*100)</f>
        <v>6.82823158178094E-2</v>
      </c>
      <c r="E114" s="15">
        <f>IF(84.65528="","-",84.65528/4335076.19734*100)</f>
        <v>1.9527979704703788E-3</v>
      </c>
      <c r="F114" s="15">
        <f>IF(OR(2467106.07968="",29.28932="",2147.14052=""),"-",(2147.14052-29.28932)/2467106.07968*100)</f>
        <v>8.5843540228910609E-2</v>
      </c>
      <c r="G114" s="15">
        <f>IF(OR(3144504.53867="",84.65528="",2147.14052=""),"-",(84.65528-2147.14052)/3144504.53867*100)</f>
        <v>-6.5590149883273788E-2</v>
      </c>
    </row>
    <row r="115" spans="1:7" x14ac:dyDescent="0.3">
      <c r="A115" s="28" t="s">
        <v>90</v>
      </c>
      <c r="B115" s="10">
        <f>IF(75.81586="","-",75.81586)</f>
        <v>75.815860000000001</v>
      </c>
      <c r="C115" s="15">
        <f>IF(OR(50.39944="",75.81586=""),"-",75.81586/50.39944*100)</f>
        <v>150.42996509485027</v>
      </c>
      <c r="D115" s="15">
        <f>IF(50.39944="","-",50.39944/3144504.53867*100)</f>
        <v>1.6027784148569537E-3</v>
      </c>
      <c r="E115" s="15">
        <f>IF(75.81586="","-",75.81586/4335076.19734*100)</f>
        <v>1.7488933653927597E-3</v>
      </c>
      <c r="F115" s="15">
        <f>IF(OR(2467106.07968="",122.49936="",50.39944=""),"-",(50.39944-122.49936)/2467106.07968*100)</f>
        <v>-2.922449123442306E-3</v>
      </c>
      <c r="G115" s="15">
        <f>IF(OR(3144504.53867="",75.81586="",50.39944=""),"-",(75.81586-50.39944)/3144504.53867*100)</f>
        <v>8.0828059516015616E-4</v>
      </c>
    </row>
    <row r="116" spans="1:7" x14ac:dyDescent="0.3">
      <c r="A116" s="28" t="s">
        <v>320</v>
      </c>
      <c r="B116" s="10">
        <f>IF(72.69="","-",72.69)</f>
        <v>72.69</v>
      </c>
      <c r="C116" s="15" t="s">
        <v>197</v>
      </c>
      <c r="D116" s="15">
        <f>IF(39.46925="","-",39.46925/3144504.53867*100)</f>
        <v>1.2551818423100103E-3</v>
      </c>
      <c r="E116" s="15">
        <f>IF(72.69="","-",72.69/4335076.19734*100)</f>
        <v>1.676787135704847E-3</v>
      </c>
      <c r="F116" s="15" t="str">
        <f>IF(OR(2467106.07968="",""="",39.46925=""),"-",(39.46925-"")/2467106.07968*100)</f>
        <v>-</v>
      </c>
      <c r="G116" s="15">
        <f>IF(OR(3144504.53867="",72.69="",39.46925=""),"-",(72.69-39.46925)/3144504.53867*100)</f>
        <v>1.0564700922343412E-3</v>
      </c>
    </row>
    <row r="117" spans="1:7" x14ac:dyDescent="0.3">
      <c r="A117" s="28" t="s">
        <v>376</v>
      </c>
      <c r="B117" s="10">
        <f>IF(71.83288="","-",71.83288)</f>
        <v>71.832880000000003</v>
      </c>
      <c r="C117" s="15" t="s">
        <v>18</v>
      </c>
      <c r="D117" s="15">
        <f>IF(36.2732="","-",36.2732/3144504.53867*100)</f>
        <v>1.1535426186836456E-3</v>
      </c>
      <c r="E117" s="15">
        <f>IF(71.83288="","-",71.83288/4335076.19734*100)</f>
        <v>1.6570153955788966E-3</v>
      </c>
      <c r="F117" s="15">
        <f>IF(OR(2467106.07968="",27.19305="",36.2732=""),"-",(36.2732-27.19305)/2467106.07968*100)</f>
        <v>3.6804862485595913E-4</v>
      </c>
      <c r="G117" s="15">
        <f>IF(OR(3144504.53867="",71.83288="",36.2732=""),"-",(71.83288-36.2732)/3144504.53867*100)</f>
        <v>1.1308516035737804E-3</v>
      </c>
    </row>
    <row r="118" spans="1:7" x14ac:dyDescent="0.3">
      <c r="A118" s="28" t="s">
        <v>71</v>
      </c>
      <c r="B118" s="10">
        <f>IF(63.56524="","-",63.56524)</f>
        <v>63.565240000000003</v>
      </c>
      <c r="C118" s="15">
        <f>IF(OR(151.18419="",63.56524=""),"-",63.56524/151.18419*100)</f>
        <v>42.044899006966276</v>
      </c>
      <c r="D118" s="15">
        <f>IF(151.18419="","-",151.18419/3144504.53867*100)</f>
        <v>4.8078858892010023E-3</v>
      </c>
      <c r="E118" s="15">
        <f>IF(63.56524="","-",63.56524/4335076.19734*100)</f>
        <v>1.4663004087218487E-3</v>
      </c>
      <c r="F118" s="15">
        <f>IF(OR(2467106.07968="",281.47543="",151.18419=""),"-",(151.18419-281.47543)/2467106.07968*100)</f>
        <v>-5.2811365134692407E-3</v>
      </c>
      <c r="G118" s="15">
        <f>IF(OR(3144504.53867="",63.56524="",151.18419=""),"-",(63.56524-151.18419)/3144504.53867*100)</f>
        <v>-2.7864151227162586E-3</v>
      </c>
    </row>
    <row r="119" spans="1:7" x14ac:dyDescent="0.3">
      <c r="A119" s="29" t="s">
        <v>349</v>
      </c>
      <c r="B119" s="46">
        <f>IF(62.63328="","-",62.63328)</f>
        <v>62.633279999999999</v>
      </c>
      <c r="C119" s="19" t="s">
        <v>370</v>
      </c>
      <c r="D119" s="19">
        <f>IF(11.3325="","-",11.3325/3144504.53867*100)</f>
        <v>3.6039063899056081E-4</v>
      </c>
      <c r="E119" s="19">
        <f>IF(62.63328="","-",62.63328/4335076.19734*100)</f>
        <v>1.4448022860228324E-3</v>
      </c>
      <c r="F119" s="19">
        <f>IF(OR(2467106.07968="",2.9="",11.3325=""),"-",(11.3325-2.9)/2467106.07968*100)</f>
        <v>3.4179722021088573E-4</v>
      </c>
      <c r="G119" s="19">
        <f>IF(OR(3144504.53867="",62.63328="",11.3325=""),"-",(62.63328-11.3325)/3144504.53867*100)</f>
        <v>1.6314423900211058E-3</v>
      </c>
    </row>
    <row r="120" spans="1:7" x14ac:dyDescent="0.3">
      <c r="A120" s="20" t="s">
        <v>280</v>
      </c>
      <c r="B120" s="21"/>
      <c r="C120" s="44"/>
      <c r="D120" s="21"/>
      <c r="E120" s="21"/>
    </row>
    <row r="121" spans="1:7" x14ac:dyDescent="0.3">
      <c r="A121" s="72" t="s">
        <v>410</v>
      </c>
      <c r="B121" s="72"/>
      <c r="C121" s="72"/>
      <c r="D121" s="72"/>
      <c r="E121" s="72"/>
    </row>
  </sheetData>
  <mergeCells count="7">
    <mergeCell ref="A121:E121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8"/>
  <sheetViews>
    <sheetView zoomScaleNormal="100" workbookViewId="0">
      <selection sqref="A1:G1"/>
    </sheetView>
  </sheetViews>
  <sheetFormatPr defaultRowHeight="15.6" x14ac:dyDescent="0.3"/>
  <cols>
    <col min="1" max="1" width="30.5" customWidth="1"/>
    <col min="2" max="2" width="11.69921875" customWidth="1"/>
    <col min="3" max="3" width="10.19921875" customWidth="1"/>
    <col min="4" max="5" width="8.8984375" customWidth="1"/>
    <col min="6" max="6" width="9.59765625" customWidth="1"/>
    <col min="7" max="7" width="10.09765625" customWidth="1"/>
  </cols>
  <sheetData>
    <row r="1" spans="1:7" ht="16.2" x14ac:dyDescent="0.35">
      <c r="A1" s="83" t="s">
        <v>294</v>
      </c>
      <c r="B1" s="83"/>
      <c r="C1" s="83"/>
      <c r="D1" s="83"/>
      <c r="E1" s="83"/>
      <c r="F1" s="83"/>
      <c r="G1" s="83"/>
    </row>
    <row r="2" spans="1:7" ht="16.2" x14ac:dyDescent="0.35">
      <c r="A2" s="84"/>
      <c r="B2" s="84"/>
      <c r="C2" s="84"/>
      <c r="D2" s="84"/>
      <c r="E2" s="84"/>
      <c r="F2" s="84"/>
      <c r="G2" s="84"/>
    </row>
    <row r="3" spans="1:7" ht="54" customHeight="1" x14ac:dyDescent="0.3">
      <c r="A3" s="74"/>
      <c r="B3" s="76" t="s">
        <v>419</v>
      </c>
      <c r="C3" s="77"/>
      <c r="D3" s="78" t="s">
        <v>104</v>
      </c>
      <c r="E3" s="79"/>
      <c r="F3" s="80" t="s">
        <v>114</v>
      </c>
      <c r="G3" s="81"/>
    </row>
    <row r="4" spans="1:7" ht="28.5" customHeight="1" x14ac:dyDescent="0.3">
      <c r="A4" s="75"/>
      <c r="B4" s="49" t="s">
        <v>95</v>
      </c>
      <c r="C4" s="48" t="s">
        <v>414</v>
      </c>
      <c r="D4" s="49">
        <v>2021</v>
      </c>
      <c r="E4" s="49">
        <v>2022</v>
      </c>
      <c r="F4" s="49" t="s">
        <v>377</v>
      </c>
      <c r="G4" s="47" t="s">
        <v>378</v>
      </c>
    </row>
    <row r="5" spans="1:7" s="42" customFormat="1" ht="13.8" x14ac:dyDescent="0.25">
      <c r="A5" s="67" t="s">
        <v>117</v>
      </c>
      <c r="B5" s="60">
        <v>9219063.1703600008</v>
      </c>
      <c r="C5" s="61">
        <f>IF(7176761.18511="","-",9219063.17036/7176761.18511*100)</f>
        <v>128.45715403610296</v>
      </c>
      <c r="D5" s="61">
        <v>100</v>
      </c>
      <c r="E5" s="61">
        <v>100</v>
      </c>
      <c r="F5" s="61">
        <f>IF(5415988.29784="","-",(7176761.18511-5415988.29784)/5415988.29784*100)</f>
        <v>32.510647926847071</v>
      </c>
      <c r="G5" s="61">
        <f>IF(7176761.18511="","-",(9219063.17036-7176761.18511)/7176761.18511*100)</f>
        <v>28.45715403610296</v>
      </c>
    </row>
    <row r="6" spans="1:7" s="1" customFormat="1" ht="13.8" x14ac:dyDescent="0.25">
      <c r="A6" s="18" t="s">
        <v>120</v>
      </c>
      <c r="B6" s="43"/>
      <c r="C6" s="26"/>
      <c r="D6" s="26"/>
      <c r="E6" s="26"/>
      <c r="F6" s="26"/>
      <c r="G6" s="26"/>
    </row>
    <row r="7" spans="1:7" ht="16.5" customHeight="1" x14ac:dyDescent="0.3">
      <c r="A7" s="27" t="s">
        <v>132</v>
      </c>
      <c r="B7" s="9">
        <v>4364852.6333100004</v>
      </c>
      <c r="C7" s="17">
        <f>IF(3148990.55968="","-",4364852.63331/3148990.55968*100)</f>
        <v>138.61116921714608</v>
      </c>
      <c r="D7" s="17">
        <f>IF(3148990.55968="","-",3148990.55968/7176761.18511*100)</f>
        <v>43.877599915312423</v>
      </c>
      <c r="E7" s="17">
        <f>IF(4364852.63331="","-",4364852.63331/9219063.17036*100)</f>
        <v>47.345945598283109</v>
      </c>
      <c r="F7" s="17">
        <f>IF(5415988.29784="","-",(3148990.55968-2470745.10472)/5415988.29784*100)</f>
        <v>12.523022902957473</v>
      </c>
      <c r="G7" s="17">
        <f>IF(7176761.18511="","-",(4364852.63331-3148990.55968)/7176761.18511*100)</f>
        <v>16.941654351723628</v>
      </c>
    </row>
    <row r="8" spans="1:7" x14ac:dyDescent="0.3">
      <c r="A8" s="28" t="s">
        <v>2</v>
      </c>
      <c r="B8" s="10">
        <v>1647479.5823299999</v>
      </c>
      <c r="C8" s="15" t="s">
        <v>18</v>
      </c>
      <c r="D8" s="15">
        <f>IF(829938.5716="","-",829938.5716/7176761.18511*100)</f>
        <v>11.564249529744933</v>
      </c>
      <c r="E8" s="15">
        <f>IF(1647479.58233="","-",1647479.58233/9219063.17036*100)</f>
        <v>17.870357886545065</v>
      </c>
      <c r="F8" s="15">
        <f>IF(OR(5415988.29784="",631931.78444="",829938.5716=""),"-",(829938.5716-631931.78444)/5415988.29784*100)</f>
        <v>3.6559677804135755</v>
      </c>
      <c r="G8" s="15">
        <f>IF(OR(7176761.18511="",1647479.58233="",829938.5716=""),"-",(1647479.58233-829938.5716)/7176761.18511*100)</f>
        <v>11.391503627377135</v>
      </c>
    </row>
    <row r="9" spans="1:7" s="2" customFormat="1" x14ac:dyDescent="0.3">
      <c r="A9" s="28" t="s">
        <v>4</v>
      </c>
      <c r="B9" s="54">
        <v>578131.42882999999</v>
      </c>
      <c r="C9" s="15">
        <f>IF(OR(546645.73378="",578131.42883=""),"-",578131.42883/546645.73378*100)</f>
        <v>105.75979891625231</v>
      </c>
      <c r="D9" s="15">
        <f>IF(546645.73378="","-",546645.73378/7176761.18511*100)</f>
        <v>7.6168862204047478</v>
      </c>
      <c r="E9" s="15">
        <f>IF(578131.42883="","-",578131.42883/9219063.17036*100)</f>
        <v>6.2710431433937579</v>
      </c>
      <c r="F9" s="15">
        <f>IF(OR(5415988.29784="",452202.96369="",546645.73378=""),"-",(546645.73378-452202.96369)/5415988.29784*100)</f>
        <v>1.7437772184195004</v>
      </c>
      <c r="G9" s="15">
        <f>IF(OR(7176761.18511="",578131.42883="",546645.73378=""),"-",(578131.42883-546645.73378)/7176761.18511*100)</f>
        <v>0.43871732997504487</v>
      </c>
    </row>
    <row r="10" spans="1:7" s="2" customFormat="1" x14ac:dyDescent="0.3">
      <c r="A10" s="28" t="s">
        <v>3</v>
      </c>
      <c r="B10" s="10">
        <v>438326.14620999998</v>
      </c>
      <c r="C10" s="15">
        <f>IF(OR(444448.00283="",438326.14621=""),"-",438326.14621/444448.00283*100)</f>
        <v>98.622593288524314</v>
      </c>
      <c r="D10" s="15">
        <f>IF(444448.00283="","-",444448.00283/7176761.18511*100)</f>
        <v>6.1928771400686902</v>
      </c>
      <c r="E10" s="15">
        <f>IF(438326.14621="","-",438326.14621/9219063.17036*100)</f>
        <v>4.7545627805138855</v>
      </c>
      <c r="F10" s="15">
        <f>IF(OR(5415988.29784="",346826.35604="",444448.00283=""),"-",(444448.00283-346826.35604)/5415988.29784*100)</f>
        <v>1.8024715235986275</v>
      </c>
      <c r="G10" s="15">
        <f>IF(OR(7176761.18511="",438326.14621="",444448.00283=""),"-",(438326.14621-444448.00283)/7176761.18511*100)</f>
        <v>-8.530110536074921E-2</v>
      </c>
    </row>
    <row r="11" spans="1:7" s="2" customFormat="1" x14ac:dyDescent="0.3">
      <c r="A11" s="28" t="s">
        <v>5</v>
      </c>
      <c r="B11" s="10">
        <v>302838.49164999998</v>
      </c>
      <c r="C11" s="15">
        <f>IF(OR(261620.91597="",302838.49165=""),"-",302838.49165/261620.91597*100)</f>
        <v>115.75469435506693</v>
      </c>
      <c r="D11" s="15">
        <f>IF(261620.91597="","-",261620.91597/7176761.18511*100)</f>
        <v>3.6453897408875542</v>
      </c>
      <c r="E11" s="15">
        <f>IF(302838.49165="","-",302838.49165/9219063.17036*100)</f>
        <v>3.2849161140759842</v>
      </c>
      <c r="F11" s="15">
        <f>IF(OR(5415988.29784="",217169.11091="",261620.91597=""),"-",(261620.91597-217169.11091)/5415988.29784*100)</f>
        <v>0.82075149751945076</v>
      </c>
      <c r="G11" s="15">
        <f>IF(OR(7176761.18511="",302838.49165="",261620.91597=""),"-",(302838.49165-261620.91597)/7176761.18511*100)</f>
        <v>0.57432001172780045</v>
      </c>
    </row>
    <row r="12" spans="1:7" s="2" customFormat="1" x14ac:dyDescent="0.3">
      <c r="A12" s="28" t="s">
        <v>40</v>
      </c>
      <c r="B12" s="10">
        <v>178622.2303</v>
      </c>
      <c r="C12" s="15">
        <f>IF(OR(121597.85518="",178622.2303=""),"-",178622.2303/121597.85518*100)</f>
        <v>146.89587249346417</v>
      </c>
      <c r="D12" s="15">
        <f>IF(121597.85518="","-",121597.85518/7176761.18511*100)</f>
        <v>1.6943277342471057</v>
      </c>
      <c r="E12" s="15">
        <f>IF(178622.2303="","-",178622.2303/9219063.17036*100)</f>
        <v>1.9375312545236076</v>
      </c>
      <c r="F12" s="15">
        <f>IF(OR(5415988.29784="",100469.76512="",121597.85518=""),"-",(121597.85518-100469.76512)/5415988.29784*100)</f>
        <v>0.39010590308007659</v>
      </c>
      <c r="G12" s="15">
        <f>IF(OR(7176761.18511="",178622.2303="",121597.85518=""),"-",(178622.2303-121597.85518)/7176761.18511*100)</f>
        <v>0.79456977387392291</v>
      </c>
    </row>
    <row r="13" spans="1:7" s="2" customFormat="1" x14ac:dyDescent="0.3">
      <c r="A13" s="28" t="s">
        <v>296</v>
      </c>
      <c r="B13" s="10">
        <v>177616.98973999999</v>
      </c>
      <c r="C13" s="15">
        <f>IF(OR(170653.82083="",177616.98974=""),"-",177616.98974/170653.82083*100)</f>
        <v>104.08028890073106</v>
      </c>
      <c r="D13" s="15">
        <f>IF(170653.82083="","-",170653.82083/7176761.18511*100)</f>
        <v>2.3778667901624537</v>
      </c>
      <c r="E13" s="15">
        <f>IF(177616.98974="","-",177616.98974/9219063.17036*100)</f>
        <v>1.9266273205617281</v>
      </c>
      <c r="F13" s="15">
        <f>IF(OR(5415988.29784="",121336.76493="",170653.82083=""),"-",(170653.82083-121336.76493)/5415988.29784*100)</f>
        <v>0.91058276325428167</v>
      </c>
      <c r="G13" s="15">
        <f>IF(OR(7176761.18511="",177616.98974="",170653.82083=""),"-",(177616.98974-170653.82083)/7176761.18511*100)</f>
        <v>9.7023834713168763E-2</v>
      </c>
    </row>
    <row r="14" spans="1:7" s="2" customFormat="1" x14ac:dyDescent="0.3">
      <c r="A14" s="28" t="s">
        <v>8</v>
      </c>
      <c r="B14" s="54">
        <v>165862.38703000001</v>
      </c>
      <c r="C14" s="15" t="s">
        <v>343</v>
      </c>
      <c r="D14" s="15">
        <f>IF(41903.51165="","-",41903.51165/7176761.18511*100)</f>
        <v>0.58387774887841326</v>
      </c>
      <c r="E14" s="15">
        <f>IF(165862.38703="","-",165862.38703/9219063.17036*100)</f>
        <v>1.7991240971562097</v>
      </c>
      <c r="F14" s="15">
        <f>IF(OR(5415988.29784="",25055.84883="",41903.51165=""),"-",(41903.51165-25055.84883)/5415988.29784*100)</f>
        <v>0.31107273305444866</v>
      </c>
      <c r="G14" s="15">
        <f>IF(OR(7176761.18511="",165862.38703="",41903.51165=""),"-",(165862.38703-41903.51165)/7176761.18511*100)</f>
        <v>1.7272258639061857</v>
      </c>
    </row>
    <row r="15" spans="1:7" s="2" customFormat="1" x14ac:dyDescent="0.3">
      <c r="A15" s="28" t="s">
        <v>6</v>
      </c>
      <c r="B15" s="10">
        <v>147522.73538999999</v>
      </c>
      <c r="C15" s="15" t="s">
        <v>101</v>
      </c>
      <c r="D15" s="15">
        <f>IF(77215.40492="","-",77215.40492/7176761.18511*100)</f>
        <v>1.0759087968567607</v>
      </c>
      <c r="E15" s="15">
        <f>IF(147522.73539="","-",147522.73539/9219063.17036*100)</f>
        <v>1.6001922610129948</v>
      </c>
      <c r="F15" s="15">
        <f>IF(OR(5415988.29784="",62709.90352="",77215.40492=""),"-",(77215.40492-62709.90352)/5415988.29784*100)</f>
        <v>0.26782741398804483</v>
      </c>
      <c r="G15" s="15">
        <f>IF(OR(7176761.18511="",147522.73539="",77215.40492=""),"-",(147522.73539-77215.40492)/7176761.18511*100)</f>
        <v>0.97965264074650094</v>
      </c>
    </row>
    <row r="16" spans="1:7" s="2" customFormat="1" x14ac:dyDescent="0.3">
      <c r="A16" s="28" t="s">
        <v>304</v>
      </c>
      <c r="B16" s="10">
        <v>138269.93614999999</v>
      </c>
      <c r="C16" s="15">
        <f>IF(OR(114945.04229="",138269.93615=""),"-",138269.93615/114945.04229*100)</f>
        <v>120.29221390962871</v>
      </c>
      <c r="D16" s="15">
        <f>IF(114945.04229="","-",114945.04229/7176761.18511*100)</f>
        <v>1.6016283574892036</v>
      </c>
      <c r="E16" s="15">
        <f>IF(138269.93615="","-",138269.93615/9219063.17036*100)</f>
        <v>1.4998263228583628</v>
      </c>
      <c r="F16" s="15">
        <f>IF(OR(5415988.29784="",96101.07506="",114945.04229=""),"-",(114945.04229-96101.07506)/5415988.29784*100)</f>
        <v>0.34793219988151247</v>
      </c>
      <c r="G16" s="15">
        <f>IF(OR(7176761.18511="",138269.93615="",114945.04229=""),"-",(138269.93615-114945.04229)/7176761.18511*100)</f>
        <v>0.32500585233898222</v>
      </c>
    </row>
    <row r="17" spans="1:7" s="2" customFormat="1" x14ac:dyDescent="0.3">
      <c r="A17" s="28" t="s">
        <v>38</v>
      </c>
      <c r="B17" s="10">
        <v>105526.62011</v>
      </c>
      <c r="C17" s="15">
        <f>IF(OR(100689.06983="",105526.62011=""),"-",105526.62011/100689.06983*100)</f>
        <v>104.80444430380335</v>
      </c>
      <c r="D17" s="15">
        <f>IF(100689.06983="","-",100689.06983/7176761.18511*100)</f>
        <v>1.4029876044768612</v>
      </c>
      <c r="E17" s="15">
        <f>IF(105526.62011="","-",105526.62011/9219063.17036*100)</f>
        <v>1.1446566550197446</v>
      </c>
      <c r="F17" s="15">
        <f>IF(OR(5415988.29784="",78278.17528="",100689.06983=""),"-",(100689.06983-78278.17528)/5415988.29784*100)</f>
        <v>0.41379141382077744</v>
      </c>
      <c r="G17" s="15">
        <f>IF(OR(7176761.18511="",105526.62011="",100689.06983=""),"-",(105526.62011-100689.06983)/7176761.18511*100)</f>
        <v>6.7405758046355624E-2</v>
      </c>
    </row>
    <row r="18" spans="1:7" s="2" customFormat="1" x14ac:dyDescent="0.3">
      <c r="A18" s="28" t="s">
        <v>326</v>
      </c>
      <c r="B18" s="10">
        <v>87954.186879999994</v>
      </c>
      <c r="C18" s="15">
        <f>IF(OR(76824.65901="",87954.18688=""),"-",87954.18688/76824.65901*100)</f>
        <v>114.48692127426338</v>
      </c>
      <c r="D18" s="15">
        <f>IF(76824.65901="","-",76824.65901/7176761.18511*100)</f>
        <v>1.0704641972675937</v>
      </c>
      <c r="E18" s="15">
        <f>IF(87954.18688="","-",87954.18688/9219063.17036*100)</f>
        <v>0.95404690535996639</v>
      </c>
      <c r="F18" s="15">
        <f>IF(OR(5415988.29784="",59683.45274="",76824.65901=""),"-",(76824.65901-59683.45274)/5415988.29784*100)</f>
        <v>0.31649267552583604</v>
      </c>
      <c r="G18" s="15">
        <f>IF(OR(7176761.18511="",87954.18688="",76824.65901=""),"-",(87954.18688-76824.65901)/7176761.18511*100)</f>
        <v>0.15507730552733176</v>
      </c>
    </row>
    <row r="19" spans="1:7" s="2" customFormat="1" ht="15.75" customHeight="1" x14ac:dyDescent="0.3">
      <c r="A19" s="28" t="s">
        <v>7</v>
      </c>
      <c r="B19" s="54">
        <v>82667.011259999999</v>
      </c>
      <c r="C19" s="15">
        <f>IF(OR(97723.13742="",82667.01126=""),"-",82667.01126/97723.13742*100)</f>
        <v>84.593079430830258</v>
      </c>
      <c r="D19" s="15">
        <f>IF(97723.13742="","-",97723.13742/7176761.18511*100)</f>
        <v>1.3616607115581787</v>
      </c>
      <c r="E19" s="15">
        <f>IF(82667.01126="","-",82667.01126/9219063.17036*100)</f>
        <v>0.89669644010880423</v>
      </c>
      <c r="F19" s="15">
        <f>IF(OR(5415988.29784="",62744.19598="",97723.13742=""),"-",(97723.13742-62744.19598)/5415988.29784*100)</f>
        <v>0.64584595675641088</v>
      </c>
      <c r="G19" s="15">
        <f>IF(OR(7176761.18511="",82667.01126="",97723.13742=""),"-",(82667.01126-97723.13742)/7176761.18511*100)</f>
        <v>-0.20978998425136017</v>
      </c>
    </row>
    <row r="20" spans="1:7" s="2" customFormat="1" x14ac:dyDescent="0.3">
      <c r="A20" s="28" t="s">
        <v>42</v>
      </c>
      <c r="B20" s="54">
        <v>63115.013079999997</v>
      </c>
      <c r="C20" s="15">
        <f>IF(OR(39586.26418="",63115.01308=""),"-",63115.01308/39586.26418*100)</f>
        <v>159.43664901798772</v>
      </c>
      <c r="D20" s="15">
        <f>IF(39586.26418="","-",39586.26418/7176761.18511*100)</f>
        <v>0.55158954239875901</v>
      </c>
      <c r="E20" s="15">
        <f>IF(63115.01308="","-",63115.01308/9219063.17036*100)</f>
        <v>0.68461417297713756</v>
      </c>
      <c r="F20" s="15">
        <f>IF(OR(5415988.29784="",30834.55221="",39586.26418=""),"-",(39586.26418-30834.55221)/5415988.29784*100)</f>
        <v>0.16159030427540524</v>
      </c>
      <c r="G20" s="15">
        <f>IF(OR(7176761.18511="",63115.01308="",39586.26418=""),"-",(63115.01308-39586.26418)/7176761.18511*100)</f>
        <v>0.32784634033547499</v>
      </c>
    </row>
    <row r="21" spans="1:7" s="2" customFormat="1" x14ac:dyDescent="0.3">
      <c r="A21" s="28" t="s">
        <v>39</v>
      </c>
      <c r="B21" s="10">
        <v>52747.388980000003</v>
      </c>
      <c r="C21" s="15">
        <f>IF(OR(52342.43611="",52747.38898=""),"-",52747.38898/52342.43611*100)</f>
        <v>100.7736607236793</v>
      </c>
      <c r="D21" s="15">
        <f>IF(52342.43611="","-",52342.43611/7176761.18511*100)</f>
        <v>0.72933228179025356</v>
      </c>
      <c r="E21" s="15">
        <f>IF(52747.38898="","-",52747.38898/9219063.17036*100)</f>
        <v>0.57215563019013604</v>
      </c>
      <c r="F21" s="15">
        <f>IF(OR(5415988.29784="",41634.63462="",52342.43611=""),"-",(52342.43611-41634.63462)/5415988.29784*100)</f>
        <v>0.19770724937257494</v>
      </c>
      <c r="G21" s="15">
        <f>IF(OR(7176761.18511="",52747.38898="",52342.43611=""),"-",(52747.38898-52342.43611)/7176761.18511*100)</f>
        <v>5.6425574093252225E-3</v>
      </c>
    </row>
    <row r="22" spans="1:7" s="2" customFormat="1" x14ac:dyDescent="0.3">
      <c r="A22" s="53" t="s">
        <v>48</v>
      </c>
      <c r="B22" s="54">
        <v>35275.085350000001</v>
      </c>
      <c r="C22" s="15">
        <f>IF(OR(26117.47425="",35275.08535=""),"-",35275.08535/26117.47425*100)</f>
        <v>135.063157380159</v>
      </c>
      <c r="D22" s="15">
        <f>IF(26117.47425="","-",26117.47425/7176761.18511*100)</f>
        <v>0.36391728213260438</v>
      </c>
      <c r="E22" s="15">
        <f>IF(35275.08535="","-",35275.08535/9219063.17036*100)</f>
        <v>0.38263199522715191</v>
      </c>
      <c r="F22" s="15">
        <f>IF(OR(5415988.29784="",22222.13031="",26117.47425=""),"-",(26117.47425-22222.13031)/5415988.29784*100)</f>
        <v>7.1923049419319041E-2</v>
      </c>
      <c r="G22" s="15">
        <f>IF(OR(7176761.18511="",35275.08535="",26117.47425=""),"-",(35275.08535-26117.47425)/7176761.18511*100)</f>
        <v>0.12760088936775232</v>
      </c>
    </row>
    <row r="23" spans="1:7" s="2" customFormat="1" x14ac:dyDescent="0.3">
      <c r="A23" s="28" t="s">
        <v>50</v>
      </c>
      <c r="B23" s="10">
        <v>29382.413809999998</v>
      </c>
      <c r="C23" s="15">
        <f>IF(OR(30607.98157="",29382.41381=""),"-",29382.41381/30607.98157*100)</f>
        <v>95.995921007737323</v>
      </c>
      <c r="D23" s="15">
        <f>IF(30607.98157="","-",30607.98157/7176761.18511*100)</f>
        <v>0.42648739146432757</v>
      </c>
      <c r="E23" s="15">
        <f>IF(29382.41381="","-",29382.41381/9219063.17036*100)</f>
        <v>0.31871366175759291</v>
      </c>
      <c r="F23" s="15">
        <f>IF(OR(5415988.29784="",26638.8069="",30607.98157=""),"-",(30607.98157-26638.8069)/5415988.29784*100)</f>
        <v>7.3286249004322679E-2</v>
      </c>
      <c r="G23" s="15">
        <f>IF(OR(7176761.18511="",29382.41381="",30607.98157=""),"-",(29382.41381-30607.98157)/7176761.18511*100)</f>
        <v>-1.7076892046272222E-2</v>
      </c>
    </row>
    <row r="24" spans="1:7" s="2" customFormat="1" x14ac:dyDescent="0.3">
      <c r="A24" s="28" t="s">
        <v>49</v>
      </c>
      <c r="B24" s="10">
        <v>26888.340789999998</v>
      </c>
      <c r="C24" s="15">
        <f>IF(OR(27060.0913="",26888.34079=""),"-",26888.34079/27060.0913*100)</f>
        <v>99.365299591579713</v>
      </c>
      <c r="D24" s="15">
        <f>IF(27060.0913="","-",27060.0913/7176761.18511*100)</f>
        <v>0.37705157803136852</v>
      </c>
      <c r="E24" s="15">
        <f>IF(26888.34079="","-",26888.34079/9219063.17036*100)</f>
        <v>0.29166022938695213</v>
      </c>
      <c r="F24" s="15">
        <f>IF(OR(5415988.29784="",20641.97702="",27060.0913=""),"-",(27060.0913-20641.97702)/5415988.29784*100)</f>
        <v>0.1185031046422251</v>
      </c>
      <c r="G24" s="15">
        <f>IF(OR(7176761.18511="",26888.34079="",27060.0913=""),"-",(26888.34079-27060.0913)/7176761.18511*100)</f>
        <v>-2.3931479057202206E-3</v>
      </c>
    </row>
    <row r="25" spans="1:7" s="2" customFormat="1" x14ac:dyDescent="0.3">
      <c r="A25" s="28" t="s">
        <v>46</v>
      </c>
      <c r="B25" s="10">
        <v>20774.682570000001</v>
      </c>
      <c r="C25" s="15">
        <f>IF(OR(17189.08875="",20774.68257=""),"-",20774.68257/17189.08875*100)</f>
        <v>120.85970857530188</v>
      </c>
      <c r="D25" s="15">
        <f>IF(17189.08875="","-",17189.08875/7176761.18511*100)</f>
        <v>0.23951039064338794</v>
      </c>
      <c r="E25" s="15">
        <f>IF(20774.68257="","-",20774.68257/9219063.17036*100)</f>
        <v>0.22534483370058911</v>
      </c>
      <c r="F25" s="15">
        <f>IF(OR(5415988.29784="",14205.87133="",17189.08875=""),"-",(17189.08875-14205.87133)/5415988.29784*100)</f>
        <v>5.5081681420725434E-2</v>
      </c>
      <c r="G25" s="15">
        <f>IF(OR(7176761.18511="",20774.68257="",17189.08875=""),"-",(20774.68257-17189.08875)/7176761.18511*100)</f>
        <v>4.9961169495777849E-2</v>
      </c>
    </row>
    <row r="26" spans="1:7" s="2" customFormat="1" x14ac:dyDescent="0.3">
      <c r="A26" s="28" t="s">
        <v>47</v>
      </c>
      <c r="B26" s="10">
        <v>20481.40597</v>
      </c>
      <c r="C26" s="15">
        <f>IF(OR(15208.58912="",20481.40597=""),"-",20481.40597/15208.58912*100)</f>
        <v>134.6699934385498</v>
      </c>
      <c r="D26" s="15">
        <f>IF(15208.58912="","-",15208.58912/7176761.18511*100)</f>
        <v>0.21191438209695554</v>
      </c>
      <c r="E26" s="15">
        <f>IF(20481.40597="","-",20481.40597/9219063.17036*100)</f>
        <v>0.22216363627759164</v>
      </c>
      <c r="F26" s="15">
        <f>IF(OR(5415988.29784="",12038.72459="",15208.58912=""),"-",(15208.58912-12038.72459)/5415988.29784*100)</f>
        <v>5.8527905816639289E-2</v>
      </c>
      <c r="G26" s="15">
        <f>IF(OR(7176761.18511="",20481.40597="",15208.58912=""),"-",(20481.40597-15208.58912)/7176761.18511*100)</f>
        <v>7.3470702368357843E-2</v>
      </c>
    </row>
    <row r="27" spans="1:7" s="2" customFormat="1" x14ac:dyDescent="0.3">
      <c r="A27" s="28" t="s">
        <v>43</v>
      </c>
      <c r="B27" s="10">
        <v>19059.662810000002</v>
      </c>
      <c r="C27" s="15">
        <f>IF(OR(15987.79942="",19059.66281=""),"-",19059.66281/15987.79942*100)</f>
        <v>119.21379740452112</v>
      </c>
      <c r="D27" s="15">
        <f>IF(15987.79942="","-",15987.79942/7176761.18511*100)</f>
        <v>0.2227717908904468</v>
      </c>
      <c r="E27" s="15">
        <f>IF(19059.66281="","-",19059.66281/9219063.17036*100)</f>
        <v>0.2067418614862982</v>
      </c>
      <c r="F27" s="15">
        <f>IF(OR(5415988.29784="",12591.14597="",15987.79942=""),"-",(15987.79942-12591.14597)/5415988.29784*100)</f>
        <v>6.2715302604229237E-2</v>
      </c>
      <c r="G27" s="15">
        <f>IF(OR(7176761.18511="",19059.66281="",15987.79942=""),"-",(19059.66281-15987.79942)/7176761.18511*100)</f>
        <v>4.280292057611388E-2</v>
      </c>
    </row>
    <row r="28" spans="1:7" s="2" customFormat="1" x14ac:dyDescent="0.3">
      <c r="A28" s="28" t="s">
        <v>41</v>
      </c>
      <c r="B28" s="10">
        <v>17600.007420000002</v>
      </c>
      <c r="C28" s="15">
        <f>IF(OR(15337.54398="",17600.00742=""),"-",17600.00742/15337.54398*100)</f>
        <v>114.75114557422121</v>
      </c>
      <c r="D28" s="15">
        <f>IF(15337.54398="","-",15337.54398/7176761.18511*100)</f>
        <v>0.21371122132113857</v>
      </c>
      <c r="E28" s="15">
        <f>IF(17600.00742="","-",17600.00742/9219063.17036*100)</f>
        <v>0.19090884935668281</v>
      </c>
      <c r="F28" s="15">
        <f>IF(OR(5415988.29784="",14900.27938="",15337.54398=""),"-",(15337.54398-14900.27938)/5415988.29784*100)</f>
        <v>8.0735883453512992E-3</v>
      </c>
      <c r="G28" s="15">
        <f>IF(OR(7176761.18511="",17600.00742="",15337.54398=""),"-",(17600.00742-15337.54398)/7176761.18511*100)</f>
        <v>3.1524853365527225E-2</v>
      </c>
    </row>
    <row r="29" spans="1:7" s="2" customFormat="1" x14ac:dyDescent="0.3">
      <c r="A29" s="28" t="s">
        <v>297</v>
      </c>
      <c r="B29" s="10">
        <v>10220.578170000001</v>
      </c>
      <c r="C29" s="15">
        <f>IF(OR(7814.2736="",10220.57817=""),"-",10220.57817/7814.2736*100)</f>
        <v>130.79370768384663</v>
      </c>
      <c r="D29" s="15">
        <f>IF(7814.2736="","-",7814.2736/7176761.18511*100)</f>
        <v>0.10888301001589241</v>
      </c>
      <c r="E29" s="15">
        <f>IF(10220.57817="","-",10220.57817/9219063.17036*100)</f>
        <v>0.11086352247655648</v>
      </c>
      <c r="F29" s="15">
        <f>IF(OR(5415988.29784="",6239.18527="",7814.2736=""),"-",(7814.2736-6239.18527)/5415988.29784*100)</f>
        <v>2.9082195960950949E-2</v>
      </c>
      <c r="G29" s="15">
        <f>IF(OR(7176761.18511="",10220.57817="",7814.2736=""),"-",(10220.57817-7814.2736)/7176761.18511*100)</f>
        <v>3.3529115821667378E-2</v>
      </c>
    </row>
    <row r="30" spans="1:7" s="2" customFormat="1" x14ac:dyDescent="0.3">
      <c r="A30" s="28" t="s">
        <v>51</v>
      </c>
      <c r="B30" s="10">
        <v>8920.4155200000005</v>
      </c>
      <c r="C30" s="15">
        <f>IF(OR(7942.59346="",8920.41552=""),"-",8920.41552/7942.59346*100)</f>
        <v>112.31111808661048</v>
      </c>
      <c r="D30" s="15">
        <f>IF(7942.59346="","-",7942.59346/7176761.18511*100)</f>
        <v>0.11067100123770195</v>
      </c>
      <c r="E30" s="15">
        <f>IF(8920.41552="","-",8920.41552/9219063.17036*100)</f>
        <v>9.6760542314969972E-2</v>
      </c>
      <c r="F30" s="15">
        <f>IF(OR(5415988.29784="",7536.73216="",7942.59346=""),"-",(7942.59346-7536.73216)/5415988.29784*100)</f>
        <v>7.4937624987459032E-3</v>
      </c>
      <c r="G30" s="15">
        <f>IF(OR(7176761.18511="",8920.41552="",7942.59346=""),"-",(8920.41552-7942.59346)/7176761.18511*100)</f>
        <v>1.3624837650007621E-2</v>
      </c>
    </row>
    <row r="31" spans="1:7" s="2" customFormat="1" x14ac:dyDescent="0.3">
      <c r="A31" s="28" t="s">
        <v>44</v>
      </c>
      <c r="B31" s="10">
        <v>5764.3485000000001</v>
      </c>
      <c r="C31" s="15">
        <f>IF(OR(5851.0648="",5764.3485=""),"-",5764.3485/5851.0648*100)</f>
        <v>98.517939845752522</v>
      </c>
      <c r="D31" s="15">
        <f>IF(5851.0648="","-",5851.0648/7176761.18511*100)</f>
        <v>8.1527929508641156E-2</v>
      </c>
      <c r="E31" s="15">
        <f>IF(5764.3485="","-",5764.3485/9219063.17036*100)</f>
        <v>6.2526402015910088E-2</v>
      </c>
      <c r="F31" s="15">
        <f>IF(OR(5415988.29784="",4304.37026="",5851.0648=""),"-",(5851.0648-4304.37026)/5415988.29784*100)</f>
        <v>2.8557937258041195E-2</v>
      </c>
      <c r="G31" s="15">
        <f>IF(OR(7176761.18511="",5764.3485="",5851.0648=""),"-",(5764.3485-5851.0648)/7176761.18511*100)</f>
        <v>-1.2082929578305444E-3</v>
      </c>
    </row>
    <row r="32" spans="1:7" s="2" customFormat="1" x14ac:dyDescent="0.3">
      <c r="A32" s="28" t="s">
        <v>52</v>
      </c>
      <c r="B32" s="10">
        <v>2896.5873900000001</v>
      </c>
      <c r="C32" s="15">
        <f>IF(OR(2480.93027="",2896.58739=""),"-",2896.58739/2480.93027*100)</f>
        <v>116.75408313672597</v>
      </c>
      <c r="D32" s="15">
        <f>IF(2480.93027="","-",2480.93027/7176761.18511*100)</f>
        <v>3.4568940027533801E-2</v>
      </c>
      <c r="E32" s="15">
        <f>IF(2896.58739="","-",2896.58739/9219063.17036*100)</f>
        <v>3.1419541622328309E-2</v>
      </c>
      <c r="F32" s="15">
        <f>IF(OR(5415988.29784="",1546.86697="",2480.93027=""),"-",(2480.93027-1546.86697)/5415988.29784*100)</f>
        <v>1.7246405432089322E-2</v>
      </c>
      <c r="G32" s="15">
        <f>IF(OR(7176761.18511="",2896.58739="",2480.93027=""),"-",(2896.58739-2480.93027)/7176761.18511*100)</f>
        <v>5.7917089516979579E-3</v>
      </c>
    </row>
    <row r="33" spans="1:7" s="2" customFormat="1" x14ac:dyDescent="0.3">
      <c r="A33" s="28" t="s">
        <v>45</v>
      </c>
      <c r="B33" s="10">
        <v>720.93204000000003</v>
      </c>
      <c r="C33" s="15">
        <f>IF(OR(1129.70087="",720.93204=""),"-",720.93204/1129.70087*100)</f>
        <v>63.816188793410419</v>
      </c>
      <c r="D33" s="15">
        <f>IF(1129.70087="","-",1129.70087/7176761.18511*100)</f>
        <v>1.5741096030112429E-2</v>
      </c>
      <c r="E33" s="15">
        <f>IF(720.93204="","-",720.93204/9219063.17036*100)</f>
        <v>7.8200141020603065E-3</v>
      </c>
      <c r="F33" s="15">
        <f>IF(OR(5415988.29784="",627.0678="",1129.70087=""),"-",(1129.70087-627.0678)/5415988.29784*100)</f>
        <v>9.2805420240745264E-3</v>
      </c>
      <c r="G33" s="15">
        <f>IF(OR(7176761.18511="",720.93204="",1129.70087=""),"-",(720.93204-1129.70087)/7176761.18511*100)</f>
        <v>-5.6957284693838475E-3</v>
      </c>
    </row>
    <row r="34" spans="1:7" s="2" customFormat="1" x14ac:dyDescent="0.3">
      <c r="A34" s="28" t="s">
        <v>53</v>
      </c>
      <c r="B34" s="10">
        <v>47.311079999999997</v>
      </c>
      <c r="C34" s="15">
        <f>IF(OR(86.1618="",47.31108=""),"-",47.31108/86.1618*100)</f>
        <v>54.909577097971486</v>
      </c>
      <c r="D34" s="15">
        <f>IF(86.1618="","-",86.1618/7176761.18511*100)</f>
        <v>1.2005666313484747E-3</v>
      </c>
      <c r="E34" s="15">
        <f>IF(47.31108="","-",47.31108/9219063.17036*100)</f>
        <v>5.1318750208924444E-4</v>
      </c>
      <c r="F34" s="15">
        <f>IF(OR(5415988.29784="",114.33051="",86.1618=""),"-",(86.1618-114.33051)/5415988.29784*100)</f>
        <v>-5.2010285936611466E-4</v>
      </c>
      <c r="G34" s="15">
        <f>IF(OR(7176761.18511="",47.31108="",86.1618=""),"-",(47.31108-86.1618)/7176761.18511*100)</f>
        <v>-5.4134057129566482E-4</v>
      </c>
    </row>
    <row r="35" spans="1:7" s="2" customFormat="1" ht="26.4" x14ac:dyDescent="0.3">
      <c r="A35" s="28" t="s">
        <v>374</v>
      </c>
      <c r="B35" s="10">
        <v>140.71395000000001</v>
      </c>
      <c r="C35" s="15" t="s">
        <v>345</v>
      </c>
      <c r="D35" s="15">
        <f>IF(42.84089="","-",42.84089/7176761.18511*100)</f>
        <v>5.9693904945428897E-4</v>
      </c>
      <c r="E35" s="15">
        <f>IF(140.71395="","-",140.71395/9219063.17036*100)</f>
        <v>1.5263367589497187E-3</v>
      </c>
      <c r="F35" s="15">
        <f>IF(OR(5415988.29784="",159.03288="",42.84089=""),"-",(42.84089-159.03288)/5415988.29784*100)</f>
        <v>-2.1453515703927866E-3</v>
      </c>
      <c r="G35" s="15">
        <f>IF(OR(7176761.18511="",140.71395="",42.84089=""),"-",(140.71395-42.84089)/7176761.18511*100)</f>
        <v>1.3637497120994125E-3</v>
      </c>
    </row>
    <row r="36" spans="1:7" s="2" customFormat="1" x14ac:dyDescent="0.3">
      <c r="A36" s="27" t="s">
        <v>198</v>
      </c>
      <c r="B36" s="9">
        <v>2185555.6105800001</v>
      </c>
      <c r="C36" s="17">
        <f>IF(1905602.03706="","-",2185555.61058/1905602.03706*100)</f>
        <v>114.69108282188436</v>
      </c>
      <c r="D36" s="17">
        <f>IF(1905602.03706="","-",1905602.03706/7176761.18511*100)</f>
        <v>26.552395821859754</v>
      </c>
      <c r="E36" s="17">
        <f>IF(2185555.61058="","-",2185555.61058/9219063.17036*100)</f>
        <v>23.706916529292585</v>
      </c>
      <c r="F36" s="17">
        <f>IF(5415988.29784="","-",(1905602.03706-1317722.25307)/5415988.29784*100)</f>
        <v>10.854524634487442</v>
      </c>
      <c r="G36" s="17">
        <f>IF(7176761.18511="","-",(2185555.61058-1905602.03706)/7176761.18511*100)</f>
        <v>3.9008344613839787</v>
      </c>
    </row>
    <row r="37" spans="1:7" s="2" customFormat="1" x14ac:dyDescent="0.3">
      <c r="A37" s="28" t="s">
        <v>298</v>
      </c>
      <c r="B37" s="10">
        <v>1145256.8039299999</v>
      </c>
      <c r="C37" s="15">
        <f>IF(OR(1053924.29245="",1145256.80393=""),"-",1145256.80393/1053924.29245*100)</f>
        <v>108.66594613429814</v>
      </c>
      <c r="D37" s="15">
        <f>IF(1053924.29245="","-",1053924.29245/7176761.18511*100)</f>
        <v>14.685235655279035</v>
      </c>
      <c r="E37" s="15">
        <f>IF(1145256.80393="","-",1145256.80393/9219063.17036*100)</f>
        <v>12.422702640894022</v>
      </c>
      <c r="F37" s="15">
        <f>IF(OR(5415988.29784="",603524.20473="",1053924.29245=""),"-",(1053924.29245-603524.20473)/5415988.29784*100)</f>
        <v>8.3161200311239281</v>
      </c>
      <c r="G37" s="15">
        <f>IF(OR(7176761.18511="",1145256.80393="",1053924.29245=""),"-",(1145256.80393-1053924.29245)/7176761.18511*100)</f>
        <v>1.2726146115812267</v>
      </c>
    </row>
    <row r="38" spans="1:7" s="2" customFormat="1" x14ac:dyDescent="0.3">
      <c r="A38" s="28" t="s">
        <v>10</v>
      </c>
      <c r="B38" s="10">
        <v>853804.58397000004</v>
      </c>
      <c r="C38" s="15">
        <f>IF(OR(667196.27678="",853804.58397=""),"-",853804.58397/667196.27678*100)</f>
        <v>127.9690270591141</v>
      </c>
      <c r="D38" s="15">
        <f>IF(667196.27678="","-",667196.27678/7176761.18511*100)</f>
        <v>9.296620851259016</v>
      </c>
      <c r="E38" s="15">
        <f>IF(853804.58397="","-",853804.58397/9219063.17036*100)</f>
        <v>9.261294430816438</v>
      </c>
      <c r="F38" s="15">
        <f>IF(OR(5415988.29784="",527417.77474="",667196.27678=""),"-",(667196.27678-527417.77474)/5415988.29784*100)</f>
        <v>2.5808494101759094</v>
      </c>
      <c r="G38" s="15">
        <f>IF(OR(7176761.18511="",853804.58397="",667196.27678=""),"-",(853804.58397-667196.27678)/7176761.18511*100)</f>
        <v>2.6001744014718793</v>
      </c>
    </row>
    <row r="39" spans="1:7" s="2" customFormat="1" x14ac:dyDescent="0.3">
      <c r="A39" s="28" t="s">
        <v>9</v>
      </c>
      <c r="B39" s="10">
        <v>95264.794179999997</v>
      </c>
      <c r="C39" s="15">
        <f>IF(OR(145292.87812="",95264.79418=""),"-",95264.79418/145292.87812*100)</f>
        <v>65.567421757120869</v>
      </c>
      <c r="D39" s="15">
        <f>IF(145292.87812="","-",145292.87812/7176761.18511*100)</f>
        <v>2.0244909141110439</v>
      </c>
      <c r="E39" s="15">
        <f>IF(95264.79418="","-",95264.79418/9219063.17036*100)</f>
        <v>1.0333457144136255</v>
      </c>
      <c r="F39" s="15">
        <f>IF(OR(5415988.29784="",113783.26144="",145292.87812=""),"-",(145292.87812-113783.26144)/5415988.29784*100)</f>
        <v>0.58178886192510137</v>
      </c>
      <c r="G39" s="15">
        <f>IF(OR(7176761.18511="",95264.79418="",145292.87812=""),"-",(95264.79418-145292.87812)/7176761.18511*100)</f>
        <v>-0.69708441802126397</v>
      </c>
    </row>
    <row r="40" spans="1:7" s="2" customFormat="1" x14ac:dyDescent="0.3">
      <c r="A40" s="28" t="s">
        <v>11</v>
      </c>
      <c r="B40" s="10">
        <v>38132.925369999997</v>
      </c>
      <c r="C40" s="15" t="s">
        <v>281</v>
      </c>
      <c r="D40" s="15">
        <f>IF(15830.11163="","-",15830.11163/7176761.18511*100)</f>
        <v>0.22057459098462906</v>
      </c>
      <c r="E40" s="15">
        <f>IF(38132.92537="","-",38132.92537/9219063.17036*100)</f>
        <v>0.41363124067313367</v>
      </c>
      <c r="F40" s="15">
        <f>IF(OR(5415988.29784="",58287.40684="",15830.11163=""),"-",(15830.11163-58287.40684)/5415988.29784*100)</f>
        <v>-0.7839251651805228</v>
      </c>
      <c r="G40" s="15">
        <f>IF(OR(7176761.18511="",38132.92537="",15830.11163=""),"-",(38132.92537-15830.11163)/7176761.18511*100)</f>
        <v>0.31076432898830192</v>
      </c>
    </row>
    <row r="41" spans="1:7" s="2" customFormat="1" x14ac:dyDescent="0.3">
      <c r="A41" s="28" t="s">
        <v>13</v>
      </c>
      <c r="B41" s="10">
        <v>19052.670999999998</v>
      </c>
      <c r="C41" s="15">
        <f>IF(OR(12602.31221="",19052.671=""),"-",19052.671/12602.31221*100)</f>
        <v>151.1839310319705</v>
      </c>
      <c r="D41" s="15">
        <f>IF(12602.31221="","-",12602.31221/7176761.18511*100)</f>
        <v>0.1755988792848043</v>
      </c>
      <c r="E41" s="15">
        <f>IF(19052.671="","-",19052.671/9219063.17036*100)</f>
        <v>0.20666602069997531</v>
      </c>
      <c r="F41" s="15">
        <f>IF(OR(5415988.29784="",7484.43598="",12602.31221=""),"-",(12602.31221-7484.43598)/5415988.29784*100)</f>
        <v>9.4495703250339499E-2</v>
      </c>
      <c r="G41" s="15">
        <f>IF(OR(7176761.18511="",19052.671="",12602.31221=""),"-",(19052.671-12602.31221)/7176761.18511*100)</f>
        <v>8.9878409266047385E-2</v>
      </c>
    </row>
    <row r="42" spans="1:7" s="2" customFormat="1" x14ac:dyDescent="0.3">
      <c r="A42" s="28" t="s">
        <v>14</v>
      </c>
      <c r="B42" s="10">
        <v>13434.872740000001</v>
      </c>
      <c r="C42" s="15" t="s">
        <v>197</v>
      </c>
      <c r="D42" s="15">
        <f>IF(7265.94864="","-",7265.94864/7176761.18511*100)</f>
        <v>0.10124272568906209</v>
      </c>
      <c r="E42" s="15">
        <f>IF(13434.87274="","-",13434.87274/9219063.17036*100)</f>
        <v>0.14572926220089427</v>
      </c>
      <c r="F42" s="15">
        <f>IF(OR(5415988.29784="",1721.14007="",7265.94864=""),"-",(7265.94864-1721.14007)/5415988.29784*100)</f>
        <v>0.10237851828836808</v>
      </c>
      <c r="G42" s="15">
        <f>IF(OR(7176761.18511="",13434.87274="",7265.94864=""),"-",(13434.87274-7265.94864)/7176761.18511*100)</f>
        <v>8.5956937132017006E-2</v>
      </c>
    </row>
    <row r="43" spans="1:7" s="2" customFormat="1" x14ac:dyDescent="0.3">
      <c r="A43" s="28" t="s">
        <v>12</v>
      </c>
      <c r="B43" s="10">
        <v>11256.022720000001</v>
      </c>
      <c r="C43" s="15" t="s">
        <v>380</v>
      </c>
      <c r="D43" s="15">
        <f>IF(1450.0648="","-",1450.0648/7176761.18511*100)</f>
        <v>2.0205002822283193E-2</v>
      </c>
      <c r="E43" s="15">
        <f>IF(11256.02272="","-",11256.02272/9219063.17036*100)</f>
        <v>0.12209508181036206</v>
      </c>
      <c r="F43" s="15">
        <f>IF(OR(5415988.29784="",4161.32777="",1450.0648=""),"-",(1450.0648-4161.32777)/5415988.29784*100)</f>
        <v>-5.0060355024793959E-2</v>
      </c>
      <c r="G43" s="15">
        <f>IF(OR(7176761.18511="",11256.02272="",1450.0648=""),"-",(11256.02272-1450.0648)/7176761.18511*100)</f>
        <v>0.13663486448935952</v>
      </c>
    </row>
    <row r="44" spans="1:7" s="2" customFormat="1" x14ac:dyDescent="0.3">
      <c r="A44" s="28" t="s">
        <v>305</v>
      </c>
      <c r="B44" s="10">
        <v>7030.6605300000001</v>
      </c>
      <c r="C44" s="15" t="s">
        <v>385</v>
      </c>
      <c r="D44" s="15">
        <f>IF(966.63843="","-",966.63843/7176761.18511*100)</f>
        <v>1.3469006492866658E-2</v>
      </c>
      <c r="E44" s="15">
        <f>IF(7030.66053="","-",7030.66053/9219063.17036*100)</f>
        <v>7.6262201484898345E-2</v>
      </c>
      <c r="F44" s="15">
        <f>IF(OR(5415988.29784="",381.89612="",966.63843=""),"-",(966.63843-381.89612)/5415988.29784*100)</f>
        <v>1.0796594782769498E-2</v>
      </c>
      <c r="G44" s="15">
        <f>IF(OR(7176761.18511="",7030.66053="",966.63843=""),"-",(7030.66053-966.63843)/7176761.18511*100)</f>
        <v>8.4495247139912397E-2</v>
      </c>
    </row>
    <row r="45" spans="1:7" s="2" customFormat="1" x14ac:dyDescent="0.3">
      <c r="A45" s="28" t="s">
        <v>15</v>
      </c>
      <c r="B45" s="10">
        <v>2320.6633900000002</v>
      </c>
      <c r="C45" s="15" t="s">
        <v>196</v>
      </c>
      <c r="D45" s="15">
        <f>IF(1058.47326="","-",1058.47326/7176761.18511*100)</f>
        <v>1.4748620341388392E-2</v>
      </c>
      <c r="E45" s="15">
        <f>IF(2320.66339="","-",2320.66339/9219063.17036*100)</f>
        <v>2.5172442656224678E-2</v>
      </c>
      <c r="F45" s="15">
        <f>IF(OR(5415988.29784="",960.03455="",1058.47326=""),"-",(1058.47326-960.03455)/5415988.29784*100)</f>
        <v>1.8175576568224725E-3</v>
      </c>
      <c r="G45" s="15">
        <f>IF(OR(7176761.18511="",2320.66339="",1058.47326=""),"-",(2320.66339-1058.47326)/7176761.18511*100)</f>
        <v>1.7587183096167833E-2</v>
      </c>
    </row>
    <row r="46" spans="1:7" s="2" customFormat="1" x14ac:dyDescent="0.3">
      <c r="A46" s="28" t="s">
        <v>16</v>
      </c>
      <c r="B46" s="10">
        <v>1.6127499999999999</v>
      </c>
      <c r="C46" s="15">
        <f>IF(OR(15.04074="",1.61275=""),"-",1.61275/15.04074*100)</f>
        <v>10.722544236520278</v>
      </c>
      <c r="D46" s="15">
        <f>IF(15.04074="","-",15.04074/7176761.18511*100)</f>
        <v>2.0957559562112511E-4</v>
      </c>
      <c r="E46" s="15">
        <f>IF(1.61275="","-",1.61275/9219063.17036*100)</f>
        <v>1.7493643011202216E-5</v>
      </c>
      <c r="F46" s="15">
        <f>IF(OR(5415988.29784="",0.77083="",15.04074=""),"-",(15.04074-0.77083)/5415988.29784*100)</f>
        <v>2.6347748952284687E-4</v>
      </c>
      <c r="G46" s="15">
        <f>IF(OR(7176761.18511="",1.61275="",15.04074=""),"-",(1.61275-15.04074)/7176761.18511*100)</f>
        <v>-1.8710375967169912E-4</v>
      </c>
    </row>
    <row r="47" spans="1:7" s="2" customFormat="1" x14ac:dyDescent="0.3">
      <c r="A47" s="27" t="s">
        <v>133</v>
      </c>
      <c r="B47" s="9">
        <v>2668654.9264699998</v>
      </c>
      <c r="C47" s="17">
        <f>IF(2122168.58837="","-",2668654.92647/2122168.58837*100)</f>
        <v>125.75131594609768</v>
      </c>
      <c r="D47" s="17">
        <f>IF(2122168.58837="","-",2122168.58837/7176761.18511*100)</f>
        <v>29.57000426282783</v>
      </c>
      <c r="E47" s="17">
        <f>IF(2668654.92647="","-",2668654.92647/9219063.17036*100)</f>
        <v>28.947137872424296</v>
      </c>
      <c r="F47" s="17">
        <f>IF(5415988.29784="","-",(2122168.58837-1627520.94005)/5415988.29784*100)</f>
        <v>9.1331003894021503</v>
      </c>
      <c r="G47" s="17">
        <f>IF(7176761.18511="","-",(2668654.92647-2122168.58837)/7176761.18511*100)</f>
        <v>7.6146652229953453</v>
      </c>
    </row>
    <row r="48" spans="1:7" s="2" customFormat="1" x14ac:dyDescent="0.3">
      <c r="A48" s="28" t="s">
        <v>57</v>
      </c>
      <c r="B48" s="10">
        <v>947202.73242999997</v>
      </c>
      <c r="C48" s="15">
        <f>IF(OR(836543.25005="",947202.73243=""),"-",947202.73243/836543.25005*100)</f>
        <v>113.22818424192482</v>
      </c>
      <c r="D48" s="15">
        <f>IF(836543.25005="","-",836543.25005/7176761.18511*100)</f>
        <v>11.656278207858161</v>
      </c>
      <c r="E48" s="15">
        <f>IF(947202.73243="","-",947202.73243/9219063.17036*100)</f>
        <v>10.27439247271165</v>
      </c>
      <c r="F48" s="15">
        <f>IF(OR(5415988.29784="",645830.3329="",836543.25005=""),"-",(836543.25005-645830.3329)/5415988.29784*100)</f>
        <v>3.5212948526136949</v>
      </c>
      <c r="G48" s="15">
        <f>IF(OR(7176761.18511="",947202.73243="",836543.25005=""),"-",(947202.73243-836543.25005)/7176761.18511*100)</f>
        <v>1.5419139570868112</v>
      </c>
    </row>
    <row r="49" spans="1:7" s="2" customFormat="1" x14ac:dyDescent="0.3">
      <c r="A49" s="28" t="s">
        <v>54</v>
      </c>
      <c r="B49" s="54">
        <v>661241.94067000004</v>
      </c>
      <c r="C49" s="15">
        <f>IF(OR(543682.92428="",661241.94067=""),"-",661241.94067/543682.92428*100)</f>
        <v>121.62271631864907</v>
      </c>
      <c r="D49" s="15">
        <f>IF(543682.92428="","-",543682.92428/7176761.18511*100)</f>
        <v>7.5756028416830601</v>
      </c>
      <c r="E49" s="15">
        <f>IF(661241.94067="","-",661241.94067/9219063.17036*100)</f>
        <v>7.1725502738276479</v>
      </c>
      <c r="F49" s="15">
        <f>IF(OR(5415988.29784="",388184.70812="",543682.92428=""),"-",(543682.92428-388184.70812)/5415988.29784*100)</f>
        <v>2.8710958666955699</v>
      </c>
      <c r="G49" s="15">
        <f>IF(OR(7176761.18511="",661241.94067="",543682.92428=""),"-",(661241.94067-543682.92428)/7176761.18511*100)</f>
        <v>1.6380511118846455</v>
      </c>
    </row>
    <row r="50" spans="1:7" s="2" customFormat="1" x14ac:dyDescent="0.3">
      <c r="A50" s="28" t="s">
        <v>67</v>
      </c>
      <c r="B50" s="54">
        <v>253489.99726999999</v>
      </c>
      <c r="C50" s="15" t="s">
        <v>370</v>
      </c>
      <c r="D50" s="15">
        <f>IF(46493.02856="","-",46493.02856/7176761.18511*100)</f>
        <v>0.64782744417442095</v>
      </c>
      <c r="E50" s="15">
        <f>IF(253489.99727="","-",253489.99727/9219063.17036*100)</f>
        <v>2.7496285965909193</v>
      </c>
      <c r="F50" s="15">
        <f>IF(OR(5415988.29784="",39552.166="",46493.02856=""),"-",(46493.02856-39552.166)/5415988.29784*100)</f>
        <v>0.12815505090304849</v>
      </c>
      <c r="G50" s="15">
        <f>IF(OR(7176761.18511="",253489.99727="",46493.02856=""),"-",(253489.99727-46493.02856)/7176761.18511*100)</f>
        <v>2.8842671975691117</v>
      </c>
    </row>
    <row r="51" spans="1:7" s="2" customFormat="1" x14ac:dyDescent="0.3">
      <c r="A51" s="28" t="s">
        <v>17</v>
      </c>
      <c r="B51" s="54">
        <v>134476.98045</v>
      </c>
      <c r="C51" s="15">
        <f>IF(OR(107396.04251="",134476.98045=""),"-",134476.98045/107396.04251*100)</f>
        <v>125.21595517588872</v>
      </c>
      <c r="D51" s="15">
        <f>IF(107396.04251="","-",107396.04251/7176761.18511*100)</f>
        <v>1.4964416362748723</v>
      </c>
      <c r="E51" s="15">
        <f>IF(134476.98045="","-",134476.98045/9219063.17036*100)</f>
        <v>1.4586837942748225</v>
      </c>
      <c r="F51" s="15">
        <f>IF(OR(5415988.29784="",68442.07101="",107396.04251=""),"-",(107396.04251-68442.07101)/5415988.29784*100)</f>
        <v>0.71924031880821437</v>
      </c>
      <c r="G51" s="15">
        <f>IF(OR(7176761.18511="",134476.98045="",107396.04251=""),"-",(134476.98045-107396.04251)/7176761.18511*100)</f>
        <v>0.37734205223640765</v>
      </c>
    </row>
    <row r="52" spans="1:7" s="2" customFormat="1" x14ac:dyDescent="0.3">
      <c r="A52" s="28" t="s">
        <v>73</v>
      </c>
      <c r="B52" s="54">
        <v>73900.190730000002</v>
      </c>
      <c r="C52" s="15">
        <f>IF(OR(67439.13881="",73900.19073=""),"-",73900.19073/67439.13881*100)</f>
        <v>109.58056706240433</v>
      </c>
      <c r="D52" s="15">
        <f>IF(67439.13881="","-",67439.13881/7176761.18511*100)</f>
        <v>0.9396876539506358</v>
      </c>
      <c r="E52" s="15">
        <f>IF(73900.19073="","-",73900.19073/9219063.17036*100)</f>
        <v>0.80160195634188525</v>
      </c>
      <c r="F52" s="15">
        <f>IF(OR(5415988.29784="",56427.57662="",67439.13881=""),"-",(67439.13881-56427.57662)/5415988.29784*100)</f>
        <v>0.20331584162380165</v>
      </c>
      <c r="G52" s="15">
        <f>IF(OR(7176761.18511="",73900.19073="",67439.13881=""),"-",(73900.19073-67439.13881)/7176761.18511*100)</f>
        <v>9.0027405863874629E-2</v>
      </c>
    </row>
    <row r="53" spans="1:7" s="2" customFormat="1" ht="26.4" x14ac:dyDescent="0.3">
      <c r="A53" s="28" t="s">
        <v>300</v>
      </c>
      <c r="B53" s="54">
        <v>70854.221909999993</v>
      </c>
      <c r="C53" s="15">
        <f>IF(OR(64776.27185="",70854.22191=""),"-",70854.22191/64776.27185*100)</f>
        <v>109.38298837894604</v>
      </c>
      <c r="D53" s="15">
        <f>IF(64776.27185="","-",64776.27185/7176761.18511*100)</f>
        <v>0.90258363319089818</v>
      </c>
      <c r="E53" s="15">
        <f>IF(70854.22191="","-",70854.22191/9219063.17036*100)</f>
        <v>0.76856206103242442</v>
      </c>
      <c r="F53" s="15">
        <f>IF(OR(5415988.29784="",50146.49962="",64776.27185=""),"-",(64776.27185-50146.49962)/5415988.29784*100)</f>
        <v>0.27012193205503471</v>
      </c>
      <c r="G53" s="15">
        <f>IF(OR(7176761.18511="",70854.22191="",64776.27185=""),"-",(70854.22191-64776.27185)/7176761.18511*100)</f>
        <v>8.4689317412570936E-2</v>
      </c>
    </row>
    <row r="54" spans="1:7" s="2" customFormat="1" x14ac:dyDescent="0.3">
      <c r="A54" s="28" t="s">
        <v>34</v>
      </c>
      <c r="B54" s="10">
        <v>61852.81525</v>
      </c>
      <c r="C54" s="15">
        <f>IF(OR(58443.87727="",61852.81525=""),"-",61852.81525/58443.87727*100)</f>
        <v>105.83284022080078</v>
      </c>
      <c r="D54" s="15">
        <f>IF(58443.87727="","-",58443.87727/7176761.18511*100)</f>
        <v>0.81434892094858269</v>
      </c>
      <c r="E54" s="15">
        <f>IF(61852.81525="","-",61852.81525/9219063.17036*100)</f>
        <v>0.67092300060229082</v>
      </c>
      <c r="F54" s="15">
        <f>IF(OR(5415988.29784="",43380.43403="",58443.87727=""),"-",(58443.87727-43380.43403)/5415988.29784*100)</f>
        <v>0.27812916889070072</v>
      </c>
      <c r="G54" s="15">
        <f>IF(OR(7176761.18511="",61852.81525="",58443.87727=""),"-",(61852.81525-58443.87727)/7176761.18511*100)</f>
        <v>4.7499671398746043E-2</v>
      </c>
    </row>
    <row r="55" spans="1:7" s="2" customFormat="1" x14ac:dyDescent="0.3">
      <c r="A55" s="28" t="s">
        <v>64</v>
      </c>
      <c r="B55" s="54">
        <v>40920.767809999998</v>
      </c>
      <c r="C55" s="15">
        <f>IF(OR(29643.61458="",40920.76781=""),"-",40920.76781/29643.61458*100)</f>
        <v>138.04243642274477</v>
      </c>
      <c r="D55" s="15">
        <f>IF(29643.61458="","-",29643.61458/7176761.18511*100)</f>
        <v>0.41305003490297476</v>
      </c>
      <c r="E55" s="15">
        <f>IF(40920.76781="","-",40920.76781/9219063.17036*100)</f>
        <v>0.44387121612924213</v>
      </c>
      <c r="F55" s="15">
        <f>IF(OR(5415988.29784="",34196.69404="",29643.61458=""),"-",(29643.61458-34196.69404)/5415988.29784*100)</f>
        <v>-8.4067379942749432E-2</v>
      </c>
      <c r="G55" s="15">
        <f>IF(OR(7176761.18511="",40920.76781="",29643.61458=""),"-",(40920.76781-29643.61458)/7176761.18511*100)</f>
        <v>0.15713429692208922</v>
      </c>
    </row>
    <row r="56" spans="1:7" s="2" customFormat="1" x14ac:dyDescent="0.3">
      <c r="A56" s="53" t="s">
        <v>69</v>
      </c>
      <c r="B56" s="54">
        <v>40650.087290000003</v>
      </c>
      <c r="C56" s="15">
        <f>IF(OR(52818.24861="",40650.08729=""),"-",40650.08729/52818.24861*100)</f>
        <v>76.962202192943934</v>
      </c>
      <c r="D56" s="15">
        <f>IF(52818.24861="","-",52818.24861/7176761.18511*100)</f>
        <v>0.73596218750576192</v>
      </c>
      <c r="E56" s="15">
        <f>IF(40650.08729="","-",40650.08729/9219063.17036*100)</f>
        <v>0.44093512040022864</v>
      </c>
      <c r="F56" s="15">
        <f>IF(OR(5415988.29784="",45229.68397="",52818.24861=""),"-",(52818.24861-45229.68397)/5415988.29784*100)</f>
        <v>0.14011412548705965</v>
      </c>
      <c r="G56" s="15">
        <f>IF(OR(7176761.18511="",40650.08729="",52818.24861=""),"-",(40650.08729-52818.24861)/7176761.18511*100)</f>
        <v>-0.16954948069396425</v>
      </c>
    </row>
    <row r="57" spans="1:7" s="2" customFormat="1" x14ac:dyDescent="0.3">
      <c r="A57" s="28" t="s">
        <v>299</v>
      </c>
      <c r="B57" s="10">
        <v>35544.959219999997</v>
      </c>
      <c r="C57" s="15">
        <f>IF(OR(37468.66383="",35544.95922=""),"-",35544.95922/37468.66383*100)</f>
        <v>94.865830768003661</v>
      </c>
      <c r="D57" s="15">
        <f>IF(37468.66383="","-",37468.66383/7176761.18511*100)</f>
        <v>0.52208319133898706</v>
      </c>
      <c r="E57" s="15">
        <f>IF(35544.95922="","-",35544.95922/9219063.17036*100)</f>
        <v>0.38555934115171037</v>
      </c>
      <c r="F57" s="15">
        <f>IF(OR(5415988.29784="",34519.93205="",37468.66383=""),"-",(37468.66383-34519.93205)/5415988.29784*100)</f>
        <v>5.4444943708168748E-2</v>
      </c>
      <c r="G57" s="15">
        <f>IF(OR(7176761.18511="",35544.95922="",37468.66383=""),"-",(35544.95922-37468.66383)/7176761.18511*100)</f>
        <v>-2.6804634575150844E-2</v>
      </c>
    </row>
    <row r="58" spans="1:7" s="2" customFormat="1" x14ac:dyDescent="0.3">
      <c r="A58" s="28" t="s">
        <v>60</v>
      </c>
      <c r="B58" s="54">
        <v>34066.5052</v>
      </c>
      <c r="C58" s="15" t="s">
        <v>302</v>
      </c>
      <c r="D58" s="15">
        <f>IF(12070.94958="","-",12070.94958/7176761.18511*100)</f>
        <v>0.16819494572348637</v>
      </c>
      <c r="E58" s="15">
        <f>IF(34066.5052="","-",34066.5052/9219063.17036*100)</f>
        <v>0.36952241860676732</v>
      </c>
      <c r="F58" s="15">
        <f>IF(OR(5415988.29784="",9893.89979="",12070.94958=""),"-",(12070.94958-9893.89979)/5415988.29784*100)</f>
        <v>4.0196722560649732E-2</v>
      </c>
      <c r="G58" s="15">
        <f>IF(OR(7176761.18511="",34066.5052="",12070.94958=""),"-",(34066.5052-12070.94958)/7176761.18511*100)</f>
        <v>0.30648303674414196</v>
      </c>
    </row>
    <row r="59" spans="1:7" s="2" customFormat="1" x14ac:dyDescent="0.3">
      <c r="A59" s="28" t="s">
        <v>307</v>
      </c>
      <c r="B59" s="54">
        <v>23911.039049999999</v>
      </c>
      <c r="C59" s="15">
        <f>IF(OR(23444.02761="",23911.03905=""),"-",23911.03905/23444.02761*100)</f>
        <v>101.99202734175587</v>
      </c>
      <c r="D59" s="15">
        <f>IF(23444.02761="","-",23444.02761/7176761.18511*100)</f>
        <v>0.32666584557168415</v>
      </c>
      <c r="E59" s="15">
        <f>IF(23911.03905="","-",23911.03905/9219063.17036*100)</f>
        <v>0.25936517201526327</v>
      </c>
      <c r="F59" s="15">
        <f>IF(OR(5415988.29784="",17671.68016="",23444.02761=""),"-",(23444.02761-17671.68016)/5415988.29784*100)</f>
        <v>0.10657976222552261</v>
      </c>
      <c r="G59" s="15">
        <f>IF(OR(7176761.18511="",23911.03905="",23444.02761=""),"-",(23911.03905-23444.02761)/7176761.18511*100)</f>
        <v>6.5072729599659988E-3</v>
      </c>
    </row>
    <row r="60" spans="1:7" s="2" customFormat="1" x14ac:dyDescent="0.3">
      <c r="A60" s="28" t="s">
        <v>76</v>
      </c>
      <c r="B60" s="10">
        <v>21753.600299999998</v>
      </c>
      <c r="C60" s="15">
        <f>IF(OR(22145.93273="",21753.6003=""),"-",21753.6003/22145.93273*100)</f>
        <v>98.228422190280881</v>
      </c>
      <c r="D60" s="15">
        <f>IF(22145.93273="","-",22145.93273/7176761.18511*100)</f>
        <v>0.30857837064367305</v>
      </c>
      <c r="E60" s="15">
        <f>IF(21753.6003="","-",21753.6003/9219063.17036*100)</f>
        <v>0.23596324157903054</v>
      </c>
      <c r="F60" s="15">
        <f>IF(OR(5415988.29784="",19582.72344="",22145.93273=""),"-",(22145.93273-19582.72344)/5415988.29784*100)</f>
        <v>4.7326713963216208E-2</v>
      </c>
      <c r="G60" s="15">
        <f>IF(OR(7176761.18511="",21753.6003="",22145.93273=""),"-",(21753.6003-22145.93273)/7176761.18511*100)</f>
        <v>-5.4667059399161107E-3</v>
      </c>
    </row>
    <row r="61" spans="1:7" s="2" customFormat="1" x14ac:dyDescent="0.3">
      <c r="A61" s="28" t="s">
        <v>75</v>
      </c>
      <c r="B61" s="54">
        <v>15999.70434</v>
      </c>
      <c r="C61" s="15">
        <f>IF(OR(13150.30072="",15999.70434=""),"-",15999.70434/13150.30072*100)</f>
        <v>121.66797308039052</v>
      </c>
      <c r="D61" s="15">
        <f>IF(13150.30072="","-",13150.30072/7176761.18511*100)</f>
        <v>0.18323447556376285</v>
      </c>
      <c r="E61" s="15">
        <f>IF(15999.70434="","-",15999.70434/9219063.17036*100)</f>
        <v>0.17355021919624419</v>
      </c>
      <c r="F61" s="15">
        <f>IF(OR(5415988.29784="",9041.49856="",13150.30072=""),"-",(13150.30072-9041.49856)/5415988.29784*100)</f>
        <v>7.5864310150719275E-2</v>
      </c>
      <c r="G61" s="15">
        <f>IF(OR(7176761.18511="",15999.70434="",13150.30072=""),"-",(15999.70434-13150.30072)/7176761.18511*100)</f>
        <v>3.9703196839150884E-2</v>
      </c>
    </row>
    <row r="62" spans="1:7" s="2" customFormat="1" x14ac:dyDescent="0.3">
      <c r="A62" s="28" t="s">
        <v>71</v>
      </c>
      <c r="B62" s="54">
        <v>15752.375669999999</v>
      </c>
      <c r="C62" s="15">
        <f>IF(OR(11302.31984="",15752.37567=""),"-",15752.37567/11302.31984*100)</f>
        <v>139.3729419534813</v>
      </c>
      <c r="D62" s="15">
        <f>IF(11302.31984="","-",11302.31984/7176761.18511*100)</f>
        <v>0.15748496499297637</v>
      </c>
      <c r="E62" s="15">
        <f>IF(15752.37567="","-",15752.37567/9219063.17036*100)</f>
        <v>0.17086742306577421</v>
      </c>
      <c r="F62" s="15">
        <f>IF(OR(5415988.29784="",9813.84944="",11302.31984=""),"-",(11302.31984-9813.84944)/5415988.29784*100)</f>
        <v>2.7482895422680852E-2</v>
      </c>
      <c r="G62" s="15">
        <f>IF(OR(7176761.18511="",15752.37567="",11302.31984=""),"-",(15752.37567-11302.31984)/7176761.18511*100)</f>
        <v>6.2006463852144915E-2</v>
      </c>
    </row>
    <row r="63" spans="1:7" s="2" customFormat="1" x14ac:dyDescent="0.3">
      <c r="A63" s="28" t="s">
        <v>79</v>
      </c>
      <c r="B63" s="54">
        <v>15075.154619999999</v>
      </c>
      <c r="C63" s="15">
        <f>IF(OR(13993.53757="",15075.15462=""),"-",15075.15462/13993.53757*100)</f>
        <v>107.72940398086914</v>
      </c>
      <c r="D63" s="15">
        <f>IF(13993.53757="","-",13993.53757/7176761.18511*100)</f>
        <v>0.19498402146964458</v>
      </c>
      <c r="E63" s="15">
        <f>IF(15075.15462="","-",15075.15462/9219063.17036*100)</f>
        <v>0.16352154596865964</v>
      </c>
      <c r="F63" s="15">
        <f>IF(OR(5415988.29784="",10215.51424="",13993.53757=""),"-",(13993.53757-10215.51424)/5415988.29784*100)</f>
        <v>6.9756859177608418E-2</v>
      </c>
      <c r="G63" s="15">
        <f>IF(OR(7176761.18511="",15075.15462="",13993.53757=""),"-",(15075.15462-13993.53757)/7176761.18511*100)</f>
        <v>1.5071102717533449E-2</v>
      </c>
    </row>
    <row r="64" spans="1:7" s="2" customFormat="1" x14ac:dyDescent="0.3">
      <c r="A64" s="28" t="s">
        <v>68</v>
      </c>
      <c r="B64" s="10">
        <v>14782.23164</v>
      </c>
      <c r="C64" s="15">
        <f>IF(OR(12478.19093="",14782.23164=""),"-",14782.23164/12478.19093*100)</f>
        <v>118.46454123778982</v>
      </c>
      <c r="D64" s="15">
        <f>IF(12478.19093="","-",12478.19093/7176761.18511*100)</f>
        <v>0.17386939049733399</v>
      </c>
      <c r="E64" s="15">
        <f>IF(14782.23164="","-",14782.23164/9219063.17036*100)</f>
        <v>0.16034418429332403</v>
      </c>
      <c r="F64" s="15">
        <f>IF(OR(5415988.29784="",10901.24278="",12478.19093=""),"-",(12478.19093-10901.24278)/5415988.29784*100)</f>
        <v>2.9116535399991858E-2</v>
      </c>
      <c r="G64" s="15">
        <f>IF(OR(7176761.18511="",14782.23164="",12478.19093=""),"-",(14782.23164-12478.19093)/7176761.18511*100)</f>
        <v>3.2104185308274052E-2</v>
      </c>
    </row>
    <row r="65" spans="1:7" s="2" customFormat="1" x14ac:dyDescent="0.3">
      <c r="A65" s="28" t="s">
        <v>59</v>
      </c>
      <c r="B65" s="54">
        <v>12642.67416</v>
      </c>
      <c r="C65" s="15">
        <f>IF(OR(14600.79931="",12642.67416=""),"-",12642.67416/14600.79931*100)</f>
        <v>86.588918124099607</v>
      </c>
      <c r="D65" s="15">
        <f>IF(14600.79931="","-",14600.79931/7176761.18511*100)</f>
        <v>0.20344552275604541</v>
      </c>
      <c r="E65" s="15">
        <f>IF(12642.67416="","-",12642.67416/9219063.17036*100)</f>
        <v>0.13713621358672509</v>
      </c>
      <c r="F65" s="15">
        <f>IF(OR(5415988.29784="",13465.45923="",14600.79931=""),"-",(14600.79931-13465.45923)/5415988.29784*100)</f>
        <v>2.0962749872498715E-2</v>
      </c>
      <c r="G65" s="15">
        <f>IF(OR(7176761.18511="",12642.67416="",14600.79931=""),"-",(12642.67416-14600.79931)/7176761.18511*100)</f>
        <v>-2.7284245629666817E-2</v>
      </c>
    </row>
    <row r="66" spans="1:7" s="2" customFormat="1" x14ac:dyDescent="0.3">
      <c r="A66" s="28" t="s">
        <v>37</v>
      </c>
      <c r="B66" s="10">
        <v>11579.695879999999</v>
      </c>
      <c r="C66" s="15" t="s">
        <v>340</v>
      </c>
      <c r="D66" s="15">
        <f>IF(4648.29818="","-",4648.29818/7176761.18511*100)</f>
        <v>6.4768745400697825E-2</v>
      </c>
      <c r="E66" s="15">
        <f>IF(11579.69588="","-",11579.69588/9219063.17036*100)</f>
        <v>0.12560599342924145</v>
      </c>
      <c r="F66" s="15">
        <f>IF(OR(5415988.29784="",3543.63533="",4648.29818=""),"-",(4648.29818-3543.63533)/5415988.29784*100)</f>
        <v>2.0396330074061653E-2</v>
      </c>
      <c r="G66" s="15">
        <f>IF(OR(7176761.18511="",11579.69588="",4648.29818=""),"-",(11579.69588-4648.29818)/7176761.18511*100)</f>
        <v>9.6581139057280191E-2</v>
      </c>
    </row>
    <row r="67" spans="1:7" s="2" customFormat="1" x14ac:dyDescent="0.3">
      <c r="A67" s="28" t="s">
        <v>61</v>
      </c>
      <c r="B67" s="10">
        <v>11178.151669999999</v>
      </c>
      <c r="C67" s="15">
        <f>IF(OR(9502.39187="",11178.15167=""),"-",11178.15167/9502.39187*100)</f>
        <v>117.63513674162967</v>
      </c>
      <c r="D67" s="15">
        <f>IF(9502.39187="","-",9502.39187/7176761.18511*100)</f>
        <v>0.13240501703909427</v>
      </c>
      <c r="E67" s="15">
        <f>IF(11178.15167="","-",11178.15167/9219063.17036*100)</f>
        <v>0.12125040758955442</v>
      </c>
      <c r="F67" s="15">
        <f>IF(OR(5415988.29784="",6770.18527="",9502.39187=""),"-",(9502.39187-6770.18527)/5415988.29784*100)</f>
        <v>5.0447055084843068E-2</v>
      </c>
      <c r="G67" s="15">
        <f>IF(OR(7176761.18511="",11178.15167="",9502.39187=""),"-",(11178.15167-9502.39187)/7176761.18511*100)</f>
        <v>2.3349805807622328E-2</v>
      </c>
    </row>
    <row r="68" spans="1:7" s="2" customFormat="1" x14ac:dyDescent="0.3">
      <c r="A68" s="28" t="s">
        <v>80</v>
      </c>
      <c r="B68" s="10">
        <v>11173.70651</v>
      </c>
      <c r="C68" s="15">
        <f>IF(OR(10253.13656="",11173.70651=""),"-",11173.70651/10253.13656*100)</f>
        <v>108.97842279397085</v>
      </c>
      <c r="D68" s="15">
        <f>IF(10253.13656="","-",10253.13656/7176761.18511*100)</f>
        <v>0.14286578995094218</v>
      </c>
      <c r="E68" s="15">
        <f>IF(11173.70651="","-",11173.70651/9219063.17036*100)</f>
        <v>0.12120219054279104</v>
      </c>
      <c r="F68" s="15">
        <f>IF(OR(5415988.29784="",9527.14418="",10253.13656=""),"-",(10253.13656-9527.14418)/5415988.29784*100)</f>
        <v>1.3404615004237385E-2</v>
      </c>
      <c r="G68" s="15">
        <f>IF(OR(7176761.18511="",11173.70651="",10253.13656=""),"-",(11173.70651-10253.13656)/7176761.18511*100)</f>
        <v>1.2827094649741914E-2</v>
      </c>
    </row>
    <row r="69" spans="1:7" s="2" customFormat="1" x14ac:dyDescent="0.3">
      <c r="A69" s="28" t="s">
        <v>81</v>
      </c>
      <c r="B69" s="54">
        <v>10658.11433</v>
      </c>
      <c r="C69" s="15">
        <f>IF(OR(8268.07746="",10658.11433=""),"-",10658.11433/8268.07746*100)</f>
        <v>128.90680308164409</v>
      </c>
      <c r="D69" s="15">
        <f>IF(8268.07746="","-",8268.07746/7176761.18511*100)</f>
        <v>0.11520625037871138</v>
      </c>
      <c r="E69" s="15">
        <f>IF(10658.11433="","-",10658.11433/9219063.17036*100)</f>
        <v>0.11560951620623081</v>
      </c>
      <c r="F69" s="15">
        <f>IF(OR(5415988.29784="",6273.3556="",8268.07746=""),"-",(8268.07746-6273.3556)/5415988.29784*100)</f>
        <v>3.6830246859941219E-2</v>
      </c>
      <c r="G69" s="15">
        <f>IF(OR(7176761.18511="",10658.11433="",8268.07746=""),"-",(10658.11433-8268.07746)/7176761.18511*100)</f>
        <v>3.3302443934719934E-2</v>
      </c>
    </row>
    <row r="70" spans="1:7" s="2" customFormat="1" x14ac:dyDescent="0.3">
      <c r="A70" s="28" t="s">
        <v>63</v>
      </c>
      <c r="B70" s="54">
        <v>10406.938770000001</v>
      </c>
      <c r="C70" s="15">
        <f>IF(OR(8423.71369="",10406.93877=""),"-",10406.93877/8423.71369*100)</f>
        <v>123.54335810765191</v>
      </c>
      <c r="D70" s="15">
        <f>IF(8423.71369="","-",8423.71369/7176761.18511*100)</f>
        <v>0.11737486413059303</v>
      </c>
      <c r="E70" s="15">
        <f>IF(10406.93877="","-",10406.93877/9219063.17036*100)</f>
        <v>0.11288499251701747</v>
      </c>
      <c r="F70" s="15">
        <f>IF(OR(5415988.29784="",6691.68223="",8423.71369=""),"-",(8423.71369-6691.68223)/5415988.29784*100)</f>
        <v>3.1979970501242912E-2</v>
      </c>
      <c r="G70" s="15">
        <f>IF(OR(7176761.18511="",10406.93877="",8423.71369=""),"-",(10406.93877-8423.71369)/7176761.18511*100)</f>
        <v>2.7633984590635402E-2</v>
      </c>
    </row>
    <row r="71" spans="1:7" s="2" customFormat="1" x14ac:dyDescent="0.3">
      <c r="A71" s="28" t="s">
        <v>56</v>
      </c>
      <c r="B71" s="10">
        <v>9570.0326999999997</v>
      </c>
      <c r="C71" s="15" t="s">
        <v>281</v>
      </c>
      <c r="D71" s="15">
        <f>IF(4057.47818="","-",4057.47818/7176761.18511*100)</f>
        <v>5.6536341050587843E-2</v>
      </c>
      <c r="E71" s="15">
        <f>IF(9570.0327="","-",9570.0327/9219063.17036*100)</f>
        <v>0.10380699777357415</v>
      </c>
      <c r="F71" s="15">
        <f>IF(OR(5415988.29784="",4834.27173="",4057.47818=""),"-",(4057.47818-4834.27173)/5415988.29784*100)</f>
        <v>-1.4342600228840976E-2</v>
      </c>
      <c r="G71" s="15">
        <f>IF(OR(7176761.18511="",9570.0327="",4057.47818=""),"-",(9570.0327-4057.47818)/7176761.18511*100)</f>
        <v>7.6811173979666261E-2</v>
      </c>
    </row>
    <row r="72" spans="1:7" s="2" customFormat="1" x14ac:dyDescent="0.3">
      <c r="A72" s="28" t="s">
        <v>66</v>
      </c>
      <c r="B72" s="10">
        <v>8801.8202899999997</v>
      </c>
      <c r="C72" s="15">
        <f>IF(OR(7591.91657="",8801.82029=""),"-",8801.82029/7591.91657*100)</f>
        <v>115.93673624893377</v>
      </c>
      <c r="D72" s="15">
        <f>IF(7591.91657="","-",7591.91657/7176761.18511*100)</f>
        <v>0.1057847178439119</v>
      </c>
      <c r="E72" s="15">
        <f>IF(8801.82029="","-",8801.82029/9219063.17036*100)</f>
        <v>9.5474129283532091E-2</v>
      </c>
      <c r="F72" s="15">
        <f>IF(OR(5415988.29784="",6260.40124="",7591.91657=""),"-",(7591.91657-6260.40124)/5415988.29784*100)</f>
        <v>2.4584900424010039E-2</v>
      </c>
      <c r="G72" s="15">
        <f>IF(OR(7176761.18511="",8801.82029="",7591.91657=""),"-",(8801.82029-7591.91657)/7176761.18511*100)</f>
        <v>1.6858631474463016E-2</v>
      </c>
    </row>
    <row r="73" spans="1:7" s="2" customFormat="1" x14ac:dyDescent="0.3">
      <c r="A73" s="28" t="s">
        <v>72</v>
      </c>
      <c r="B73" s="10">
        <v>8493.6049000000003</v>
      </c>
      <c r="C73" s="15" t="s">
        <v>99</v>
      </c>
      <c r="D73" s="15">
        <f>IF(4935.74555="","-",4935.74555/7176761.18511*100)</f>
        <v>6.8773997388131683E-2</v>
      </c>
      <c r="E73" s="15">
        <f>IF(8493.6049="","-",8493.6049/9219063.17036*100)</f>
        <v>9.2130889473754723E-2</v>
      </c>
      <c r="F73" s="15">
        <f>IF(OR(5415988.29784="",5004.23247="",4935.74555=""),"-",(4935.74555-5004.23247)/5415988.29784*100)</f>
        <v>-1.2645322743277377E-3</v>
      </c>
      <c r="G73" s="15">
        <f>IF(OR(7176761.18511="",8493.6049="",4935.74555=""),"-",(8493.6049-4935.74555)/7176761.18511*100)</f>
        <v>4.9574721218001189E-2</v>
      </c>
    </row>
    <row r="74" spans="1:7" s="2" customFormat="1" x14ac:dyDescent="0.3">
      <c r="A74" s="28" t="s">
        <v>301</v>
      </c>
      <c r="B74" s="10">
        <v>8331.9500700000008</v>
      </c>
      <c r="C74" s="15" t="s">
        <v>339</v>
      </c>
      <c r="D74" s="15">
        <f>IF(3075.72168="","-",3075.72168/7176761.18511*100)</f>
        <v>4.2856681456551179E-2</v>
      </c>
      <c r="E74" s="15">
        <f>IF(8331.95007="","-",8331.95007/9219063.17036*100)</f>
        <v>9.0377405122766305E-2</v>
      </c>
      <c r="F74" s="15">
        <f>IF(OR(5415988.29784="",2517.79333="",3075.72168=""),"-",(3075.72168-2517.79333)/5415988.29784*100)</f>
        <v>1.0301505825308239E-2</v>
      </c>
      <c r="G74" s="15">
        <f>IF(OR(7176761.18511="",8331.95007="",3075.72168=""),"-",(8331.95007-3075.72168)/7176761.18511*100)</f>
        <v>7.3239561055833527E-2</v>
      </c>
    </row>
    <row r="75" spans="1:7" s="2" customFormat="1" x14ac:dyDescent="0.3">
      <c r="A75" s="28" t="s">
        <v>35</v>
      </c>
      <c r="B75" s="10">
        <v>8245.3351399999992</v>
      </c>
      <c r="C75" s="15" t="s">
        <v>91</v>
      </c>
      <c r="D75" s="15">
        <f>IF(3852.74098="","-",3852.74098/7176761.18511*100)</f>
        <v>5.3683561158388307E-2</v>
      </c>
      <c r="E75" s="15">
        <f>IF(8245.33514="","-",8245.33514/9219063.17036*100)</f>
        <v>8.9437885256165583E-2</v>
      </c>
      <c r="F75" s="15">
        <f>IF(OR(5415988.29784="",3499.37898="",3852.74098=""),"-",(3852.74098-3499.37898)/5415988.29784*100)</f>
        <v>6.5244232551412195E-3</v>
      </c>
      <c r="G75" s="15">
        <f>IF(OR(7176761.18511="",8245.33514="",3852.74098=""),"-",(8245.33514-3852.74098)/7176761.18511*100)</f>
        <v>6.1205800871757338E-2</v>
      </c>
    </row>
    <row r="76" spans="1:7" s="2" customFormat="1" x14ac:dyDescent="0.3">
      <c r="A76" s="28" t="s">
        <v>82</v>
      </c>
      <c r="B76" s="54">
        <v>7921.5508</v>
      </c>
      <c r="C76" s="15">
        <f>IF(OR(6316.29265="",7921.5508=""),"-",7921.5508/6316.29265*100)</f>
        <v>125.41456260738646</v>
      </c>
      <c r="D76" s="15">
        <f>IF(6316.29265="","-",6316.29265/7176761.18511*100)</f>
        <v>8.8010350171672719E-2</v>
      </c>
      <c r="E76" s="15">
        <f>IF(7921.5508="","-",7921.5508/9219063.17036*100)</f>
        <v>8.5925767657915569E-2</v>
      </c>
      <c r="F76" s="15">
        <f>IF(OR(5415988.29784="",5569.76377="",6316.29265=""),"-",(6316.29265-5569.76377)/5415988.29784*100)</f>
        <v>1.378379787670019E-2</v>
      </c>
      <c r="G76" s="15">
        <f>IF(OR(7176761.18511="",7921.5508="",6316.29265=""),"-",(7921.5508-6316.29265)/7176761.18511*100)</f>
        <v>2.2367445545359823E-2</v>
      </c>
    </row>
    <row r="77" spans="1:7" s="2" customFormat="1" x14ac:dyDescent="0.3">
      <c r="A77" s="28" t="s">
        <v>78</v>
      </c>
      <c r="B77" s="10">
        <v>6876.8614799999996</v>
      </c>
      <c r="C77" s="15">
        <f>IF(OR(16695.28283="",6876.86148=""),"-",6876.86148/16695.28283*100)</f>
        <v>41.190446127949784</v>
      </c>
      <c r="D77" s="15">
        <f>IF(16695.28283="","-",16695.28283/7176761.18511*100)</f>
        <v>0.23262976709659189</v>
      </c>
      <c r="E77" s="15">
        <f>IF(6876.86148="","-",6876.86148/9219063.17036*100)</f>
        <v>7.4593929479837381E-2</v>
      </c>
      <c r="F77" s="15">
        <f>IF(OR(5415988.29784="",4107.46384="",16695.28283=""),"-",(16695.28283-4107.46384)/5415988.29784*100)</f>
        <v>0.23241961204052572</v>
      </c>
      <c r="G77" s="15">
        <f>IF(OR(7176761.18511="",6876.86148="",16695.28283=""),"-",(6876.86148-16695.28283)/7176761.18511*100)</f>
        <v>-0.13680852820309516</v>
      </c>
    </row>
    <row r="78" spans="1:7" s="2" customFormat="1" x14ac:dyDescent="0.3">
      <c r="A78" s="28" t="s">
        <v>122</v>
      </c>
      <c r="B78" s="54">
        <v>5397.5616900000005</v>
      </c>
      <c r="C78" s="15">
        <f>IF(OR(6141.23795="",5397.56169=""),"-",5397.56169/6141.23795*100)</f>
        <v>87.890450328504215</v>
      </c>
      <c r="D78" s="15">
        <f>IF(6141.23795="","-",6141.23795/7176761.18511*100)</f>
        <v>8.557116213845245E-2</v>
      </c>
      <c r="E78" s="15">
        <f>IF(5397.56169="","-",5397.56169/9219063.17036*100)</f>
        <v>5.8547832792312099E-2</v>
      </c>
      <c r="F78" s="15">
        <f>IF(OR(5415988.29784="",6221.96696="",6141.23795=""),"-",(6141.23795-6221.96696)/5415988.29784*100)</f>
        <v>-1.4905683978711014E-3</v>
      </c>
      <c r="G78" s="15">
        <f>IF(OR(7176761.18511="",5397.56169="",6141.23795=""),"-",(5397.56169-6141.23795)/7176761.18511*100)</f>
        <v>-1.0362282383632092E-2</v>
      </c>
    </row>
    <row r="79" spans="1:7" s="2" customFormat="1" x14ac:dyDescent="0.3">
      <c r="A79" s="28" t="s">
        <v>87</v>
      </c>
      <c r="B79" s="54">
        <v>5317.7083300000004</v>
      </c>
      <c r="C79" s="15">
        <f>IF(OR(3672.69724="",5317.70833=""),"-",5317.70833/3672.69724*100)</f>
        <v>144.79027217609695</v>
      </c>
      <c r="D79" s="15">
        <f>IF(3672.69724="","-",3672.69724/7176761.18511*100)</f>
        <v>5.1174856530267945E-2</v>
      </c>
      <c r="E79" s="15">
        <f>IF(5317.70833="","-",5317.70833/9219063.17036*100)</f>
        <v>5.7681656278230554E-2</v>
      </c>
      <c r="F79" s="15">
        <f>IF(OR(5415988.29784="",2536.58222="",3672.69724=""),"-",(3672.69724-2536.58222)/5415988.29784*100)</f>
        <v>2.0977058249056862E-2</v>
      </c>
      <c r="G79" s="15">
        <f>IF(OR(7176761.18511="",5317.70833="",3672.69724=""),"-",(5317.70833-3672.69724)/7176761.18511*100)</f>
        <v>2.2921357525634133E-2</v>
      </c>
    </row>
    <row r="80" spans="1:7" s="2" customFormat="1" x14ac:dyDescent="0.3">
      <c r="A80" s="28" t="s">
        <v>36</v>
      </c>
      <c r="B80" s="54">
        <v>4707.5300999999999</v>
      </c>
      <c r="C80" s="15" t="s">
        <v>344</v>
      </c>
      <c r="D80" s="15">
        <f>IF(2078.11313="","-",2078.11313/7176761.18511*100)</f>
        <v>2.8956141585309677E-2</v>
      </c>
      <c r="E80" s="15">
        <f>IF(4707.5301="","-",4707.5301/9219063.17036*100)</f>
        <v>5.1062998625880693E-2</v>
      </c>
      <c r="F80" s="15">
        <f>IF(OR(5415988.29784="",2507.14499="",2078.11313=""),"-",(2078.11313-2507.14499)/5415988.29784*100)</f>
        <v>-7.9215802621121923E-3</v>
      </c>
      <c r="G80" s="15">
        <f>IF(OR(7176761.18511="",4707.5301="",2078.11313=""),"-",(4707.5301-2078.11313)/7176761.18511*100)</f>
        <v>3.6637933214991016E-2</v>
      </c>
    </row>
    <row r="81" spans="1:7" s="2" customFormat="1" x14ac:dyDescent="0.3">
      <c r="A81" s="28" t="s">
        <v>77</v>
      </c>
      <c r="B81" s="54">
        <v>4400.1154500000002</v>
      </c>
      <c r="C81" s="15">
        <f>IF(OR(4518.27074="",4400.11545=""),"-",4400.11545/4518.27074*100)</f>
        <v>97.384944444475678</v>
      </c>
      <c r="D81" s="15">
        <f>IF(4518.27074="","-",4518.27074/7176761.18511*100)</f>
        <v>6.2956960994804897E-2</v>
      </c>
      <c r="E81" s="15">
        <f>IF(4400.11545="","-",4400.11545/9219063.17036*100)</f>
        <v>4.7728444514261607E-2</v>
      </c>
      <c r="F81" s="15">
        <f>IF(OR(5415988.29784="",4513.28372="",4518.27074=""),"-",(4518.27074-4513.28372)/5415988.29784*100)</f>
        <v>9.2079593340120292E-5</v>
      </c>
      <c r="G81" s="15">
        <f>IF(OR(7176761.18511="",4400.11545="",4518.27074=""),"-",(4400.11545-4518.27074)/7176761.18511*100)</f>
        <v>-1.646359506083923E-3</v>
      </c>
    </row>
    <row r="82" spans="1:7" s="2" customFormat="1" x14ac:dyDescent="0.3">
      <c r="A82" s="28" t="s">
        <v>70</v>
      </c>
      <c r="B82" s="54">
        <v>4388.3276800000003</v>
      </c>
      <c r="C82" s="15">
        <f>IF(OR(4740.17609="",4388.32768=""),"-",4388.32768/4740.17609*100)</f>
        <v>92.577313514950049</v>
      </c>
      <c r="D82" s="15">
        <f>IF(4740.17609="","-",4740.17609/7176761.18511*100)</f>
        <v>6.604895951999476E-2</v>
      </c>
      <c r="E82" s="15">
        <f>IF(4388.32768="","-",4388.32768/9219063.17036*100)</f>
        <v>4.7600581522304918E-2</v>
      </c>
      <c r="F82" s="15">
        <f>IF(OR(5415988.29784="",2155.80048="",4740.17609=""),"-",(4740.17609-2155.80048)/5415988.29784*100)</f>
        <v>4.77175257382055E-2</v>
      </c>
      <c r="G82" s="15">
        <f>IF(OR(7176761.18511="",4388.32768="",4740.17609=""),"-",(4388.32768-4740.17609)/7176761.18511*100)</f>
        <v>-4.9026071918067691E-3</v>
      </c>
    </row>
    <row r="83" spans="1:7" s="2" customFormat="1" x14ac:dyDescent="0.3">
      <c r="A83" s="28" t="s">
        <v>84</v>
      </c>
      <c r="B83" s="10">
        <v>3857.4550199999999</v>
      </c>
      <c r="C83" s="15">
        <f>IF(OR(3739.95869="",3857.45502=""),"-",3857.45502/3739.95869*100)</f>
        <v>103.14164780253228</v>
      </c>
      <c r="D83" s="15">
        <f>IF(3739.95869="","-",3739.95869/7176761.18511*100)</f>
        <v>5.2112068292860116E-2</v>
      </c>
      <c r="E83" s="15">
        <f>IF(3857.45502="","-",3857.45502/9219063.17036*100)</f>
        <v>4.1842158457076367E-2</v>
      </c>
      <c r="F83" s="15">
        <f>IF(OR(5415988.29784="",3496.29799="",3739.95869=""),"-",(3739.95869-3496.29799)/5415988.29784*100)</f>
        <v>4.4989148166582347E-3</v>
      </c>
      <c r="G83" s="15">
        <f>IF(OR(7176761.18511="",3857.45502="",3739.95869=""),"-",(3857.45502-3739.95869)/7176761.18511*100)</f>
        <v>1.6371776483767593E-3</v>
      </c>
    </row>
    <row r="84" spans="1:7" s="2" customFormat="1" x14ac:dyDescent="0.3">
      <c r="A84" s="28" t="s">
        <v>85</v>
      </c>
      <c r="B84" s="10">
        <v>3784.29232</v>
      </c>
      <c r="C84" s="15">
        <f>IF(OR(4065.79494="",3784.29232=""),"-",3784.29232/4065.79494*100)</f>
        <v>93.076320273053412</v>
      </c>
      <c r="D84" s="15">
        <f>IF(4065.79494="","-",4065.79494/7176761.18511*100)</f>
        <v>5.6652225636761006E-2</v>
      </c>
      <c r="E84" s="15">
        <f>IF(3784.29232="","-",3784.29232/9219063.17036*100)</f>
        <v>4.1048556128423022E-2</v>
      </c>
      <c r="F84" s="15">
        <f>IF(OR(5415988.29784="",2174.96698="",4065.79494=""),"-",(4065.79494-2174.96698)/5415988.29784*100)</f>
        <v>3.4911965388737982E-2</v>
      </c>
      <c r="G84" s="15">
        <f>IF(OR(7176761.18511="",3784.29232="",4065.79494=""),"-",(3784.29232-4065.79494)/7176761.18511*100)</f>
        <v>-3.9224186612764594E-3</v>
      </c>
    </row>
    <row r="85" spans="1:7" s="2" customFormat="1" x14ac:dyDescent="0.3">
      <c r="A85" s="28" t="s">
        <v>86</v>
      </c>
      <c r="B85" s="10">
        <v>2835.8931200000002</v>
      </c>
      <c r="C85" s="15">
        <f>IF(OR(3077.25278="",2835.89312=""),"-",2835.89312/3077.25278*100)</f>
        <v>92.156651492244336</v>
      </c>
      <c r="D85" s="15">
        <f>IF(3077.25278="","-",3077.25278/7176761.18511*100)</f>
        <v>4.2878015592667851E-2</v>
      </c>
      <c r="E85" s="15">
        <f>IF(2835.89312="","-",2835.89312/9219063.17036*100)</f>
        <v>3.0761185465325969E-2</v>
      </c>
      <c r="F85" s="15">
        <f>IF(OR(5415988.29784="",1595.40592="",3077.25278=""),"-",(3077.25278-1595.40592)/5415988.29784*100)</f>
        <v>2.7360599368188975E-2</v>
      </c>
      <c r="G85" s="15">
        <f>IF(OR(7176761.18511="",2835.89312="",3077.25278=""),"-",(2835.89312-3077.25278)/7176761.18511*100)</f>
        <v>-3.3630721961427539E-3</v>
      </c>
    </row>
    <row r="86" spans="1:7" s="2" customFormat="1" x14ac:dyDescent="0.3">
      <c r="A86" s="28" t="s">
        <v>93</v>
      </c>
      <c r="B86" s="54">
        <v>2635.88258</v>
      </c>
      <c r="C86" s="15">
        <f>IF(OR(1888.97518="",2635.88258=""),"-",2635.88258/1888.97518*100)</f>
        <v>139.54035012784024</v>
      </c>
      <c r="D86" s="15">
        <f>IF(1888.97518="","-",1888.97518/7176761.18511*100)</f>
        <v>2.6320719489999964E-2</v>
      </c>
      <c r="E86" s="15">
        <f>IF(2635.88258="","-",2635.88258/9219063.17036*100)</f>
        <v>2.8591653308923687E-2</v>
      </c>
      <c r="F86" s="15">
        <f>IF(OR(5415988.29784="",1268.79563="",1888.97518=""),"-",(1888.97518-1268.79563)/5415988.29784*100)</f>
        <v>1.1450902695770952E-2</v>
      </c>
      <c r="G86" s="15">
        <f>IF(OR(7176761.18511="",2635.88258="",1888.97518=""),"-",(2635.88258-1888.97518)/7176761.18511*100)</f>
        <v>1.0407304642512666E-2</v>
      </c>
    </row>
    <row r="87" spans="1:7" x14ac:dyDescent="0.3">
      <c r="A87" s="28" t="s">
        <v>83</v>
      </c>
      <c r="B87" s="54">
        <v>2392.8919900000001</v>
      </c>
      <c r="C87" s="15">
        <f>IF(OR(2244.91777="",2392.89199=""),"-",2392.89199/2244.91777*100)</f>
        <v>106.59152072193719</v>
      </c>
      <c r="D87" s="15">
        <f>IF(2244.91777="","-",2244.91777/7176761.18511*100)</f>
        <v>3.1280374420952557E-2</v>
      </c>
      <c r="E87" s="15">
        <f>IF(2392.89199="","-",2392.89199/9219063.17036*100)</f>
        <v>2.5955912718911966E-2</v>
      </c>
      <c r="F87" s="15">
        <f>IF(OR(5415988.29784="",3738.83927="",2244.91777=""),"-",(2244.91777-3738.83927)/5415988.29784*100)</f>
        <v>-2.7583543719911733E-2</v>
      </c>
      <c r="G87" s="15">
        <f>IF(OR(7176761.18511="",2392.89199="",2244.91777=""),"-",(2392.89199-2244.91777)/7176761.18511*100)</f>
        <v>2.0618523618566253E-3</v>
      </c>
    </row>
    <row r="88" spans="1:7" x14ac:dyDescent="0.3">
      <c r="A88" s="28" t="s">
        <v>308</v>
      </c>
      <c r="B88" s="54">
        <v>2319.2353699999999</v>
      </c>
      <c r="C88" s="15">
        <f>IF(OR(2339.19698="",2319.23537=""),"-",2319.23537/2339.19698*100)</f>
        <v>99.14664689760329</v>
      </c>
      <c r="D88" s="15">
        <f>IF(2339.19698="","-",2339.19698/7176761.18511*100)</f>
        <v>3.2594047923083382E-2</v>
      </c>
      <c r="E88" s="15">
        <f>IF(2319.23537="","-",2319.23537/9219063.17036*100)</f>
        <v>2.5156952795990381E-2</v>
      </c>
      <c r="F88" s="15">
        <f>IF(OR(5415988.29784="",2588.77588="",2339.19698=""),"-",(2339.19698-2588.77588)/5415988.29784*100)</f>
        <v>-4.6081875786093702E-3</v>
      </c>
      <c r="G88" s="15">
        <f>IF(OR(7176761.18511="",2319.23537="",2339.19698=""),"-",(2319.23537-2339.19698)/7176761.18511*100)</f>
        <v>-2.7814231914830446E-4</v>
      </c>
    </row>
    <row r="89" spans="1:7" x14ac:dyDescent="0.3">
      <c r="A89" s="28" t="s">
        <v>65</v>
      </c>
      <c r="B89" s="54">
        <v>2283.9198000000001</v>
      </c>
      <c r="C89" s="15" t="s">
        <v>197</v>
      </c>
      <c r="D89" s="15">
        <f>IF(1240.14628="","-",1240.14628/7176761.18511*100)</f>
        <v>1.7280027132197125E-2</v>
      </c>
      <c r="E89" s="15">
        <f>IF(2283.9198="","-",2283.9198/9219063.17036*100)</f>
        <v>2.4773881660155869E-2</v>
      </c>
      <c r="F89" s="15">
        <f>IF(OR(5415988.29784="",1510.51002="",1240.14628=""),"-",(1240.14628-1510.51002)/5415988.29784*100)</f>
        <v>-4.9919557637860155E-3</v>
      </c>
      <c r="G89" s="15">
        <f>IF(OR(7176761.18511="",2283.9198="",1240.14628=""),"-",(2283.9198-1240.14628)/7176761.18511*100)</f>
        <v>1.4543796192711156E-2</v>
      </c>
    </row>
    <row r="90" spans="1:7" x14ac:dyDescent="0.3">
      <c r="A90" s="28" t="s">
        <v>62</v>
      </c>
      <c r="B90" s="54">
        <v>2136.0064299999999</v>
      </c>
      <c r="C90" s="15" t="s">
        <v>18</v>
      </c>
      <c r="D90" s="15">
        <f>IF(1080.34283="","-",1080.34283/7176761.18511*100)</f>
        <v>1.5053347911888771E-2</v>
      </c>
      <c r="E90" s="15">
        <f>IF(2136.00643="","-",2136.00643/9219063.17036*100)</f>
        <v>2.3169452150706867E-2</v>
      </c>
      <c r="F90" s="15">
        <f>IF(OR(5415988.29784="",1257.2463="",1080.34283=""),"-",(1080.34283-1257.2463)/5415988.29784*100)</f>
        <v>-3.2663192804635948E-3</v>
      </c>
      <c r="G90" s="15">
        <f>IF(OR(7176761.18511="",2136.00643="",1080.34283=""),"-",(2136.00643-1080.34283)/7176761.18511*100)</f>
        <v>1.470947092666592E-2</v>
      </c>
    </row>
    <row r="91" spans="1:7" x14ac:dyDescent="0.3">
      <c r="A91" s="28" t="s">
        <v>137</v>
      </c>
      <c r="B91" s="10">
        <v>1863.91184</v>
      </c>
      <c r="C91" s="15">
        <f>IF(OR(1496.51133="",1863.91184=""),"-",1863.91184/1496.51133*100)</f>
        <v>124.5504663168838</v>
      </c>
      <c r="D91" s="15">
        <f>IF(1496.51133="","-",1496.51133/7176761.18511*100)</f>
        <v>2.0852182361939114E-2</v>
      </c>
      <c r="E91" s="15">
        <f>IF(1863.91184="","-",1863.91184/9219063.17036*100)</f>
        <v>2.0218017878352548E-2</v>
      </c>
      <c r="F91" s="15">
        <f>IF(OR(5415988.29784="",1141.70355="",1496.51133=""),"-",(1496.51133-1141.70355)/5415988.29784*100)</f>
        <v>6.5511179213866514E-3</v>
      </c>
      <c r="G91" s="15">
        <f>IF(OR(7176761.18511="",1863.91184="",1496.51133=""),"-",(1863.91184-1496.51133)/7176761.18511*100)</f>
        <v>5.1193080071030494E-3</v>
      </c>
    </row>
    <row r="92" spans="1:7" x14ac:dyDescent="0.3">
      <c r="A92" s="28" t="s">
        <v>98</v>
      </c>
      <c r="B92" s="10">
        <v>1782.8735300000001</v>
      </c>
      <c r="C92" s="15" t="s">
        <v>91</v>
      </c>
      <c r="D92" s="15">
        <f>IF(839.12883="","-",839.12883/7176761.18511*100)</f>
        <v>1.1692305322085737E-2</v>
      </c>
      <c r="E92" s="15">
        <f>IF(1782.87353="","-",1782.87353/9219063.17036*100)</f>
        <v>1.9338988105994066E-2</v>
      </c>
      <c r="F92" s="15">
        <f>IF(OR(5415988.29784="",585.96995="",839.12883=""),"-",(839.12883-585.96995)/5415988.29784*100)</f>
        <v>4.6742877952850185E-3</v>
      </c>
      <c r="G92" s="15">
        <f>IF(OR(7176761.18511="",1782.87353="",839.12883=""),"-",(1782.87353-839.12883)/7176761.18511*100)</f>
        <v>1.3150008418254689E-2</v>
      </c>
    </row>
    <row r="93" spans="1:7" x14ac:dyDescent="0.3">
      <c r="A93" s="28" t="s">
        <v>88</v>
      </c>
      <c r="B93" s="10">
        <v>1751.71255</v>
      </c>
      <c r="C93" s="15" t="s">
        <v>340</v>
      </c>
      <c r="D93" s="15">
        <f>IF(689.32079="","-",689.32079/7176761.18511*100)</f>
        <v>9.6049007654061234E-3</v>
      </c>
      <c r="E93" s="15">
        <f>IF(1751.71255="","-",1751.71255/9219063.17036*100)</f>
        <v>1.9000982178231415E-2</v>
      </c>
      <c r="F93" s="15">
        <f>IF(OR(5415988.29784="",651.75056="",689.32079=""),"-",(689.32079-651.75056)/5415988.29784*100)</f>
        <v>6.936911221721761E-4</v>
      </c>
      <c r="G93" s="15">
        <f>IF(OR(7176761.18511="",1751.71255="",689.32079=""),"-",(1751.71255-689.32079)/7176761.18511*100)</f>
        <v>1.4803220179657078E-2</v>
      </c>
    </row>
    <row r="94" spans="1:7" x14ac:dyDescent="0.3">
      <c r="A94" s="28" t="s">
        <v>303</v>
      </c>
      <c r="B94" s="54">
        <v>1635.3550299999999</v>
      </c>
      <c r="C94" s="15">
        <f>IF(OR(1584.89786="",1635.35503=""),"-",1635.35503/1584.89786*100)</f>
        <v>103.18362282349223</v>
      </c>
      <c r="D94" s="15">
        <f>IF(1584.89786="","-",1584.89786/7176761.18511*100)</f>
        <v>2.2083748074107165E-2</v>
      </c>
      <c r="E94" s="15">
        <f>IF(1635.35503="","-",1635.35503/9219063.17036*100)</f>
        <v>1.7738841786633944E-2</v>
      </c>
      <c r="F94" s="15">
        <f>IF(OR(5415988.29784="",763.49096="",1584.89786=""),"-",(1584.89786-763.49096)/5415988.29784*100)</f>
        <v>1.5166334468034077E-2</v>
      </c>
      <c r="G94" s="15">
        <f>IF(OR(7176761.18511="",1635.35503="",1584.89786=""),"-",(1635.35503-1584.89786)/7176761.18511*100)</f>
        <v>7.0306324396980104E-4</v>
      </c>
    </row>
    <row r="95" spans="1:7" x14ac:dyDescent="0.3">
      <c r="A95" s="28" t="s">
        <v>89</v>
      </c>
      <c r="B95" s="10">
        <v>1592.7714900000001</v>
      </c>
      <c r="C95" s="15">
        <f>IF(OR(2163.06736="",1592.77149=""),"-",1592.77149/2163.06736*100)</f>
        <v>73.634853886381052</v>
      </c>
      <c r="D95" s="15">
        <f>IF(2163.06736="","-",2163.06736/7176761.18511*100)</f>
        <v>3.0139882102916123E-2</v>
      </c>
      <c r="E95" s="15">
        <f>IF(1592.77149="","-",1592.77149/9219063.17036*100)</f>
        <v>1.7276934332339573E-2</v>
      </c>
      <c r="F95" s="15">
        <f>IF(OR(5415988.29784="",1201.42348="",2163.06736=""),"-",(2163.06736-1201.42348)/5415988.29784*100)</f>
        <v>1.7755649146869872E-2</v>
      </c>
      <c r="G95" s="15">
        <f>IF(OR(7176761.18511="",1592.77149="",2163.06736=""),"-",(1592.77149-2163.06736)/7176761.18511*100)</f>
        <v>-7.9464239549063235E-3</v>
      </c>
    </row>
    <row r="96" spans="1:7" x14ac:dyDescent="0.3">
      <c r="A96" s="28" t="s">
        <v>333</v>
      </c>
      <c r="B96" s="10">
        <v>1398.37798</v>
      </c>
      <c r="C96" s="15" t="s">
        <v>338</v>
      </c>
      <c r="D96" s="15">
        <f>IF(316.37399="","-",316.37399/7176761.18511*100)</f>
        <v>4.4083115188003966E-3</v>
      </c>
      <c r="E96" s="15">
        <f>IF(1398.37798="","-",1398.37798/9219063.17036*100)</f>
        <v>1.5168330601051667E-2</v>
      </c>
      <c r="F96" s="15">
        <f>IF(OR(5415988.29784="",0.1771="",316.37399=""),"-",(316.37399-0.1771)/5415988.29784*100)</f>
        <v>5.8382122082151723E-3</v>
      </c>
      <c r="G96" s="15">
        <f>IF(OR(7176761.18511="",1398.37798="",316.37399=""),"-",(1398.37798-316.37399)/7176761.18511*100)</f>
        <v>1.5076494286097884E-2</v>
      </c>
    </row>
    <row r="97" spans="1:7" x14ac:dyDescent="0.3">
      <c r="A97" s="28" t="s">
        <v>97</v>
      </c>
      <c r="B97" s="54">
        <v>1053.68633</v>
      </c>
      <c r="C97" s="15">
        <f>IF(OR(778.39427="",1053.68633=""),"-",1053.68633/778.39427*100)</f>
        <v>135.3666606512918</v>
      </c>
      <c r="D97" s="15">
        <f>IF(778.39427="","-",778.39427/7176761.18511*100)</f>
        <v>1.0846038344078874E-2</v>
      </c>
      <c r="E97" s="15">
        <f>IF(1053.68633="","-",1053.68633/9219063.17036*100)</f>
        <v>1.1429429547545382E-2</v>
      </c>
      <c r="F97" s="15">
        <f>IF(OR(5415988.29784="",608.12065="",778.39427=""),"-",(778.39427-608.12065)/5415988.29784*100)</f>
        <v>3.1439067190730161E-3</v>
      </c>
      <c r="G97" s="15">
        <f>IF(OR(7176761.18511="",1053.68633="",778.39427=""),"-",(1053.68633-778.39427)/7176761.18511*100)</f>
        <v>3.8358815752593629E-3</v>
      </c>
    </row>
    <row r="98" spans="1:7" x14ac:dyDescent="0.3">
      <c r="A98" s="28" t="s">
        <v>291</v>
      </c>
      <c r="B98" s="10">
        <v>868.53624000000002</v>
      </c>
      <c r="C98" s="15" t="s">
        <v>340</v>
      </c>
      <c r="D98" s="15">
        <f>IF(352.51699="","-",352.51699/7176761.18511*100)</f>
        <v>4.9119230932664357E-3</v>
      </c>
      <c r="E98" s="15">
        <f>IF(868.53624="","-",868.53624/9219063.17036*100)</f>
        <v>9.42109001695976E-3</v>
      </c>
      <c r="F98" s="15">
        <f>IF(OR(5415988.29784="",20.65373="",352.51699=""),"-",(352.51699-20.65373)/5415988.29784*100)</f>
        <v>6.1274737268607734E-3</v>
      </c>
      <c r="G98" s="15">
        <f>IF(OR(7176761.18511="",868.53624="",352.51699=""),"-",(868.53624-352.51699)/7176761.18511*100)</f>
        <v>7.1901410216994831E-3</v>
      </c>
    </row>
    <row r="99" spans="1:7" x14ac:dyDescent="0.3">
      <c r="A99" s="28" t="s">
        <v>55</v>
      </c>
      <c r="B99" s="54">
        <v>765.17525000000001</v>
      </c>
      <c r="C99" s="15" t="s">
        <v>369</v>
      </c>
      <c r="D99" s="15">
        <f>IF(5.7="","-",5.7/7176761.18511*100)</f>
        <v>7.9423013431547461E-5</v>
      </c>
      <c r="E99" s="15">
        <f>IF(765.17525="","-",765.17525/9219063.17036*100)</f>
        <v>8.2999241447883499E-3</v>
      </c>
      <c r="F99" s="15" t="str">
        <f>IF(OR(5415988.29784="",""="",5.7=""),"-",(5.7-"")/5415988.29784*100)</f>
        <v>-</v>
      </c>
      <c r="G99" s="15">
        <f>IF(OR(7176761.18511="",765.17525="",5.7=""),"-",(765.17525-5.7)/7176761.18511*100)</f>
        <v>1.0582423330118924E-2</v>
      </c>
    </row>
    <row r="100" spans="1:7" x14ac:dyDescent="0.3">
      <c r="A100" s="28" t="s">
        <v>90</v>
      </c>
      <c r="B100" s="54">
        <v>704.60130000000004</v>
      </c>
      <c r="C100" s="15">
        <f>IF(OR(454.9811="",704.6013=""),"-",704.6013/454.9811*100)</f>
        <v>154.86386137797811</v>
      </c>
      <c r="D100" s="15">
        <f>IF(454.9811="","-",454.9811/7176761.18511*100)</f>
        <v>6.3396438625263583E-3</v>
      </c>
      <c r="E100" s="15">
        <f>IF(704.6013="","-",704.6013/9219063.17036*100)</f>
        <v>7.6428731095513859E-3</v>
      </c>
      <c r="F100" s="15">
        <f>IF(OR(5415988.29784="",539.55737="",454.9811=""),"-",(454.9811-539.55737)/5415988.29784*100)</f>
        <v>-1.5616036325951921E-3</v>
      </c>
      <c r="G100" s="15">
        <f>IF(OR(7176761.18511="",704.6013="",454.9811=""),"-",(704.6013-454.9811)/7176761.18511*100)</f>
        <v>3.4781734205939587E-3</v>
      </c>
    </row>
    <row r="101" spans="1:7" x14ac:dyDescent="0.3">
      <c r="A101" s="28" t="s">
        <v>103</v>
      </c>
      <c r="B101" s="54">
        <v>683.68026999999995</v>
      </c>
      <c r="C101" s="15">
        <f>IF(OR(530.4064="",683.68027=""),"-",683.68027/530.4064*100)</f>
        <v>128.89743977448236</v>
      </c>
      <c r="D101" s="15">
        <f>IF(530.4064="","-",530.4064/7176761.18511*100)</f>
        <v>7.3906095844524095E-3</v>
      </c>
      <c r="E101" s="15">
        <f>IF(683.68027="","-",683.68027/9219063.17036*100)</f>
        <v>7.4159408322321168E-3</v>
      </c>
      <c r="F101" s="15">
        <f>IF(OR(5415988.29784="",281.27566="",530.4064=""),"-",(530.4064-281.27566)/5415988.29784*100)</f>
        <v>4.5999128192237429E-3</v>
      </c>
      <c r="G101" s="15">
        <f>IF(OR(7176761.18511="",683.68027="",530.4064=""),"-",(683.68027-530.4064)/7176761.18511*100)</f>
        <v>2.1356969536342556E-3</v>
      </c>
    </row>
    <row r="102" spans="1:7" x14ac:dyDescent="0.3">
      <c r="A102" s="28" t="s">
        <v>327</v>
      </c>
      <c r="B102" s="54">
        <v>668.18970000000002</v>
      </c>
      <c r="C102" s="15" t="s">
        <v>386</v>
      </c>
      <c r="D102" s="15">
        <f>IF(21.51934="","-",21.51934/7176761.18511*100)</f>
        <v>2.9984751401018186E-4</v>
      </c>
      <c r="E102" s="15">
        <f>IF(668.1897="","-",668.1897/9219063.17036*100)</f>
        <v>7.2479132386062978E-3</v>
      </c>
      <c r="F102" s="15">
        <f>IF(OR(5415988.29784="",13.01837="",21.51934=""),"-",(21.51934-13.01837)/5415988.29784*100)</f>
        <v>1.5696064194581713E-4</v>
      </c>
      <c r="G102" s="15">
        <f>IF(OR(7176761.18511="",668.1897="",21.51934=""),"-",(668.1897-21.51934)/7176761.18511*100)</f>
        <v>9.0106155593094109E-3</v>
      </c>
    </row>
    <row r="103" spans="1:7" x14ac:dyDescent="0.3">
      <c r="A103" s="28" t="s">
        <v>94</v>
      </c>
      <c r="B103" s="54">
        <v>570.30006000000003</v>
      </c>
      <c r="C103" s="15">
        <f>IF(OR(797.13986="",570.30006=""),"-",570.30006/797.13986*100)</f>
        <v>71.543287272072945</v>
      </c>
      <c r="D103" s="15">
        <f>IF(797.13986="","-",797.13986/7176761.18511*100)</f>
        <v>1.1107236808351205E-2</v>
      </c>
      <c r="E103" s="15">
        <f>IF(570.30006="","-",570.30006/9219063.17036*100)</f>
        <v>6.1860955876032898E-3</v>
      </c>
      <c r="F103" s="15">
        <f>IF(OR(5415988.29784="",437.69983="",797.13986=""),"-",(797.13986-437.69983)/5415988.29784*100)</f>
        <v>6.6366470943696751E-3</v>
      </c>
      <c r="G103" s="15">
        <f>IF(OR(7176761.18511="",570.30006="",797.13986=""),"-",(570.30006-797.13986)/7176761.18511*100)</f>
        <v>-3.1607544705630772E-3</v>
      </c>
    </row>
    <row r="104" spans="1:7" x14ac:dyDescent="0.3">
      <c r="A104" s="28" t="s">
        <v>123</v>
      </c>
      <c r="B104" s="10">
        <v>541.64692000000002</v>
      </c>
      <c r="C104" s="15">
        <f>IF(OR(955.2889="",541.64692=""),"-",541.64692/955.2889*100)</f>
        <v>56.699802541409206</v>
      </c>
      <c r="D104" s="15">
        <f>IF(955.2889="","-",955.2889/7176761.18511*100)</f>
        <v>1.3310863708018981E-2</v>
      </c>
      <c r="E104" s="15">
        <f>IF(541.64692="","-",541.64692/9219063.17036*100)</f>
        <v>5.8752924238705366E-3</v>
      </c>
      <c r="F104" s="15">
        <f>IF(OR(5415988.29784="",1660.57034="",955.2889=""),"-",(955.2889-1660.57034)/5415988.29784*100)</f>
        <v>-1.3022211297636661E-2</v>
      </c>
      <c r="G104" s="15">
        <f>IF(OR(7176761.18511="",541.64692="",955.2889=""),"-",(541.64692-955.2889)/7176761.18511*100)</f>
        <v>-5.7636302690161198E-3</v>
      </c>
    </row>
    <row r="105" spans="1:7" x14ac:dyDescent="0.3">
      <c r="A105" s="53" t="s">
        <v>125</v>
      </c>
      <c r="B105" s="54">
        <v>480.34296000000001</v>
      </c>
      <c r="C105" s="15" t="s">
        <v>340</v>
      </c>
      <c r="D105" s="15">
        <f>IF(193.52343="","-",193.52343/7176761.18511*100)</f>
        <v>2.6965287684577429E-3</v>
      </c>
      <c r="E105" s="15">
        <f>IF(480.34296="","-",480.34296/9219063.17036*100)</f>
        <v>5.2103229050901798E-3</v>
      </c>
      <c r="F105" s="15">
        <f>IF(OR(5415988.29784="",214.02949="",193.52343=""),"-",(193.52343-214.02949)/5415988.29784*100)</f>
        <v>-3.7862083284371628E-4</v>
      </c>
      <c r="G105" s="15">
        <f>IF(OR(7176761.18511="",480.34296="",193.52343=""),"-",(480.34296-193.52343)/7176761.18511*100)</f>
        <v>3.9965037515123031E-3</v>
      </c>
    </row>
    <row r="106" spans="1:7" x14ac:dyDescent="0.3">
      <c r="A106" s="28" t="s">
        <v>118</v>
      </c>
      <c r="B106" s="10">
        <v>418.85109</v>
      </c>
      <c r="C106" s="15">
        <f>IF(OR(651.74366="",418.85109=""),"-",418.85109/651.74366*100)</f>
        <v>64.266231604002101</v>
      </c>
      <c r="D106" s="15">
        <f>IF(651.74366="","-",651.74366/7176761.18511*100)</f>
        <v>9.0813062214220881E-3</v>
      </c>
      <c r="E106" s="15">
        <f>IF(418.85109="","-",418.85109/9219063.17036*100)</f>
        <v>4.5433151097894475E-3</v>
      </c>
      <c r="F106" s="15">
        <f>IF(OR(5415988.29784="",281.36217="",651.74366=""),"-",(651.74366-281.36217)/5415988.29784*100)</f>
        <v>6.8386685796148266E-3</v>
      </c>
      <c r="G106" s="15">
        <f>IF(OR(7176761.18511="",418.85109="",651.74366=""),"-",(418.85109-651.74366)/7176761.18511*100)</f>
        <v>-3.2450929324943168E-3</v>
      </c>
    </row>
    <row r="107" spans="1:7" x14ac:dyDescent="0.3">
      <c r="A107" s="28" t="s">
        <v>58</v>
      </c>
      <c r="B107" s="54">
        <v>343.55594000000002</v>
      </c>
      <c r="C107" s="15" t="s">
        <v>100</v>
      </c>
      <c r="D107" s="15">
        <f>IF(211.28432="","-",211.28432/7176761.18511*100)</f>
        <v>2.944006558813223E-3</v>
      </c>
      <c r="E107" s="15">
        <f>IF(343.55594="","-",343.55594/9219063.17036*100)</f>
        <v>3.7265819058986262E-3</v>
      </c>
      <c r="F107" s="15">
        <f>IF(OR(5415988.29784="",246.5155="",211.28432=""),"-",(211.28432-246.5155)/5415988.29784*100)</f>
        <v>-6.5050325190050477E-4</v>
      </c>
      <c r="G107" s="15">
        <f>IF(OR(7176761.18511="",343.55594="",211.28432=""),"-",(343.55594-211.28432)/7176761.18511*100)</f>
        <v>1.8430545003285163E-3</v>
      </c>
    </row>
    <row r="108" spans="1:7" x14ac:dyDescent="0.3">
      <c r="A108" s="28" t="s">
        <v>204</v>
      </c>
      <c r="B108" s="54">
        <v>286.25635</v>
      </c>
      <c r="C108" s="15">
        <f>IF(OR(557.14332="",286.25635=""),"-",286.25635/557.14332*100)</f>
        <v>51.379302187451515</v>
      </c>
      <c r="D108" s="15">
        <f>IF(557.14332="","-",557.14332/7176761.18511*100)</f>
        <v>7.7631581381854293E-3</v>
      </c>
      <c r="E108" s="15">
        <f>IF(286.25635="","-",286.25635/9219063.17036*100)</f>
        <v>3.1050481454594674E-3</v>
      </c>
      <c r="F108" s="15">
        <f>IF(OR(5415988.29784="",141.91721="",557.14332=""),"-",(557.14332-141.91721)/5415988.29784*100)</f>
        <v>7.6666729535881783E-3</v>
      </c>
      <c r="G108" s="15">
        <f>IF(OR(7176761.18511="",286.25635="",557.14332=""),"-",(286.25635-557.14332)/7176761.18511*100)</f>
        <v>-3.7745016590774029E-3</v>
      </c>
    </row>
    <row r="109" spans="1:7" x14ac:dyDescent="0.3">
      <c r="A109" s="28" t="s">
        <v>203</v>
      </c>
      <c r="B109" s="10">
        <v>267.68907000000002</v>
      </c>
      <c r="C109" s="15" t="s">
        <v>196</v>
      </c>
      <c r="D109" s="15">
        <f>IF(119.20581="","-",119.20581/7176761.18511*100)</f>
        <v>1.6609973067979815E-3</v>
      </c>
      <c r="E109" s="15">
        <f>IF(267.68907="","-",267.68907/9219063.17036*100)</f>
        <v>2.9036472042044468E-3</v>
      </c>
      <c r="F109" s="15">
        <f>IF(OR(5415988.29784="",1.12235="",119.20581=""),"-",(119.20581-1.12235)/5415988.29784*100)</f>
        <v>2.1802753903123083E-3</v>
      </c>
      <c r="G109" s="15">
        <f>IF(OR(7176761.18511="",267.68907="",119.20581=""),"-",(267.68907-119.20581)/7176761.18511*100)</f>
        <v>2.068945254971922E-3</v>
      </c>
    </row>
    <row r="110" spans="1:7" x14ac:dyDescent="0.3">
      <c r="A110" s="28" t="s">
        <v>321</v>
      </c>
      <c r="B110" s="54">
        <v>245.91457</v>
      </c>
      <c r="C110" s="15">
        <f>IF(OR(171.05193="",245.91457=""),"-",245.91457/171.05193*100)</f>
        <v>143.76603058498083</v>
      </c>
      <c r="D110" s="15">
        <f>IF(171.05193="","-",171.05193/7176761.18511*100)</f>
        <v>2.3834139884003711E-3</v>
      </c>
      <c r="E110" s="15">
        <f>IF(245.91457="","-",245.91457/9219063.17036*100)</f>
        <v>2.6674572617165081E-3</v>
      </c>
      <c r="F110" s="15">
        <f>IF(OR(5415988.29784="",424.9628="",171.05193=""),"-",(171.05193-424.9628)/5415988.29784*100)</f>
        <v>-4.6881724264667361E-3</v>
      </c>
      <c r="G110" s="15">
        <f>IF(OR(7176761.18511="",245.91457="",171.05193=""),"-",(245.91457-171.05193)/7176761.18511*100)</f>
        <v>1.043125695130018E-3</v>
      </c>
    </row>
    <row r="111" spans="1:7" x14ac:dyDescent="0.3">
      <c r="A111" s="28" t="s">
        <v>322</v>
      </c>
      <c r="B111" s="54">
        <v>240.75444999999999</v>
      </c>
      <c r="C111" s="15" t="s">
        <v>340</v>
      </c>
      <c r="D111" s="15">
        <f>IF(95.87884="","-",95.87884/7176761.18511*100)</f>
        <v>1.335962525810735E-3</v>
      </c>
      <c r="E111" s="15">
        <f>IF(240.75445="","-",240.75445/9219063.17036*100)</f>
        <v>2.6114849801012765E-3</v>
      </c>
      <c r="F111" s="15">
        <f>IF(OR(5415988.29784="",132.25442="",95.87884=""),"-",(95.87884-132.25442)/5415988.29784*100)</f>
        <v>-6.7163328278436812E-4</v>
      </c>
      <c r="G111" s="15">
        <f>IF(OR(7176761.18511="",240.75445="",95.87884=""),"-",(240.75445-95.87884)/7176761.18511*100)</f>
        <v>2.0186767577076545E-3</v>
      </c>
    </row>
    <row r="112" spans="1:7" x14ac:dyDescent="0.3">
      <c r="A112" s="28" t="s">
        <v>335</v>
      </c>
      <c r="B112" s="10">
        <v>203.37371999999999</v>
      </c>
      <c r="C112" s="15" t="s">
        <v>18</v>
      </c>
      <c r="D112" s="15">
        <f>IF(100.32587="","-",100.32587/7176761.18511*100)</f>
        <v>1.3979268281652077E-3</v>
      </c>
      <c r="E112" s="15">
        <f>IF(203.37372="","-",203.37372/9219063.17036*100)</f>
        <v>2.2060128696575394E-3</v>
      </c>
      <c r="F112" s="15">
        <f>IF(OR(5415988.29784="",75.03436="",100.32587=""),"-",(100.32587-75.03436)/5415988.29784*100)</f>
        <v>4.6697866777309561E-4</v>
      </c>
      <c r="G112" s="15">
        <f>IF(OR(7176761.18511="",203.37372="",100.32587=""),"-",(203.37372-100.32587)/7176761.18511*100)</f>
        <v>1.435854521867033E-3</v>
      </c>
    </row>
    <row r="113" spans="1:7" x14ac:dyDescent="0.3">
      <c r="A113" s="28" t="s">
        <v>290</v>
      </c>
      <c r="B113" s="54">
        <v>202.18371999999999</v>
      </c>
      <c r="C113" s="15" t="s">
        <v>337</v>
      </c>
      <c r="D113" s="15">
        <f>IF(78.3887="","-",78.3887/7176761.18511*100)</f>
        <v>1.0922573285932534E-3</v>
      </c>
      <c r="E113" s="15">
        <f>IF(202.18372="","-",202.18372/9219063.17036*100)</f>
        <v>2.1931048335804473E-3</v>
      </c>
      <c r="F113" s="15">
        <f>IF(OR(5415988.29784="",1.91844="",78.3887=""),"-",(78.3887-1.91844)/5415988.29784*100)</f>
        <v>1.4119354731711256E-3</v>
      </c>
      <c r="G113" s="15">
        <f>IF(OR(7176761.18511="",202.18372="",78.3887=""),"-",(202.18372-78.3887)/7176761.18511*100)</f>
        <v>1.7249427256524012E-3</v>
      </c>
    </row>
    <row r="114" spans="1:7" x14ac:dyDescent="0.3">
      <c r="A114" s="28" t="s">
        <v>316</v>
      </c>
      <c r="B114" s="54">
        <v>201.19441</v>
      </c>
      <c r="C114" s="15">
        <f>IF(OR(182.97601="",201.19441=""),"-",201.19441/182.97601*100)</f>
        <v>109.9567150906832</v>
      </c>
      <c r="D114" s="15">
        <f>IF(182.97601="","-",182.97601/7176761.18511*100)</f>
        <v>2.5495624736633269E-3</v>
      </c>
      <c r="E114" s="15">
        <f>IF(201.19441="","-",201.19441/9219063.17036*100)</f>
        <v>2.1823736998229449E-3</v>
      </c>
      <c r="F114" s="15">
        <f>IF(OR(5415988.29784="",129.56076="",182.97601=""),"-",(182.97601-129.56076)/5415988.29784*100)</f>
        <v>9.8625120776762087E-4</v>
      </c>
      <c r="G114" s="15">
        <f>IF(OR(7176761.18511="",201.19441="",182.97601=""),"-",(201.19441-182.97601)/7176761.18511*100)</f>
        <v>2.5385267156163236E-4</v>
      </c>
    </row>
    <row r="115" spans="1:7" x14ac:dyDescent="0.3">
      <c r="A115" s="53" t="s">
        <v>323</v>
      </c>
      <c r="B115" s="54">
        <v>192.48799</v>
      </c>
      <c r="C115" s="15" t="s">
        <v>387</v>
      </c>
      <c r="D115" s="15">
        <f>IF(19.63405="","-",19.63405/7176761.18511*100)</f>
        <v>2.7357814330976744E-4</v>
      </c>
      <c r="E115" s="15">
        <f>IF(192.48799="","-",192.48799/9219063.17036*100)</f>
        <v>2.0879343859890637E-3</v>
      </c>
      <c r="F115" s="15">
        <f>IF(OR(5415988.29784="",0.81966="",19.63405=""),"-",(19.63405-0.81966)/5415988.29784*100)</f>
        <v>3.4738609031898275E-4</v>
      </c>
      <c r="G115" s="15">
        <f>IF(OR(7176761.18511="",192.48799="",19.63405=""),"-",(192.48799-19.63405)/7176761.18511*100)</f>
        <v>2.4085229470729645E-3</v>
      </c>
    </row>
    <row r="116" spans="1:7" x14ac:dyDescent="0.3">
      <c r="A116" s="28" t="s">
        <v>334</v>
      </c>
      <c r="B116" s="54">
        <v>175.30394999999999</v>
      </c>
      <c r="C116" s="15" t="s">
        <v>341</v>
      </c>
      <c r="D116" s="15">
        <f>IF(4.89148="","-",4.89148/7176761.18511*100)</f>
        <v>6.8157207322832585E-5</v>
      </c>
      <c r="E116" s="15">
        <f>IF(175.30395="","-",175.30395/9219063.17036*100)</f>
        <v>1.9015375723166288E-3</v>
      </c>
      <c r="F116" s="15">
        <f>IF(OR(5415988.29784="",4.58433="",4.89148=""),"-",(4.89148-4.58433)/5415988.29784*100)</f>
        <v>5.6711717808270986E-6</v>
      </c>
      <c r="G116" s="15">
        <f>IF(OR(7176761.18511="",175.30395="",4.89148=""),"-",(175.30395-4.89148)/7176761.18511*100)</f>
        <v>2.3745038410023117E-3</v>
      </c>
    </row>
    <row r="117" spans="1:7" x14ac:dyDescent="0.3">
      <c r="A117" s="28" t="s">
        <v>349</v>
      </c>
      <c r="B117" s="54">
        <v>147.16243</v>
      </c>
      <c r="C117" s="15">
        <f>IF(OR(169.41571="",147.16243=""),"-",147.16243/169.41571*100)</f>
        <v>86.864689231004604</v>
      </c>
      <c r="D117" s="15">
        <f>IF(169.41571="","-",169.41571/7176761.18511*100)</f>
        <v>2.3606151247096752E-3</v>
      </c>
      <c r="E117" s="15">
        <f>IF(147.16243="","-",147.16243/9219063.17036*100)</f>
        <v>1.5962839963298936E-3</v>
      </c>
      <c r="F117" s="15">
        <f>IF(OR(5415988.29784="",85.12834="",169.41571=""),"-",(169.41571-85.12834)/5415988.29784*100)</f>
        <v>1.5562694260919177E-3</v>
      </c>
      <c r="G117" s="15">
        <f>IF(OR(7176761.18511="",147.16243="",169.41571=""),"-",(147.16243-169.41571)/7176761.18511*100)</f>
        <v>-3.100741326905238E-4</v>
      </c>
    </row>
    <row r="118" spans="1:7" x14ac:dyDescent="0.3">
      <c r="A118" s="28" t="s">
        <v>313</v>
      </c>
      <c r="B118" s="54">
        <v>135.96743000000001</v>
      </c>
      <c r="C118" s="15" t="s">
        <v>382</v>
      </c>
      <c r="D118" s="15">
        <f>IF(37.09021="","-",37.09021/7176761.18511*100)</f>
        <v>5.1680986789630107E-4</v>
      </c>
      <c r="E118" s="15">
        <f>IF(135.96743="","-",135.96743/9219063.17036*100)</f>
        <v>1.4748508334029621E-3</v>
      </c>
      <c r="F118" s="15">
        <f>IF(OR(5415988.29784="",144.63517="",37.09021=""),"-",(37.09021-144.63517)/5415988.29784*100)</f>
        <v>-1.9856940983955041E-3</v>
      </c>
      <c r="G118" s="15">
        <f>IF(OR(7176761.18511="",135.96743="",37.09021=""),"-",(135.96743-37.09021)/7176761.18511*100)</f>
        <v>1.3777415389708901E-3</v>
      </c>
    </row>
    <row r="119" spans="1:7" x14ac:dyDescent="0.3">
      <c r="A119" s="28" t="s">
        <v>289</v>
      </c>
      <c r="B119" s="54">
        <v>132.21549999999999</v>
      </c>
      <c r="C119" s="15" t="s">
        <v>388</v>
      </c>
      <c r="D119" s="15">
        <f>IF(20.76743="","-",20.76743/7176761.18511*100)</f>
        <v>2.8937050382960033E-4</v>
      </c>
      <c r="E119" s="15">
        <f>IF(132.2155="","-",132.2155/9219063.17036*100)</f>
        <v>1.4341533142443695E-3</v>
      </c>
      <c r="F119" s="15">
        <f>IF(OR(5415988.29784="",132.44779="",20.76743=""),"-",(20.76743-132.44779)/5415988.29784*100)</f>
        <v>-2.0620495070962442E-3</v>
      </c>
      <c r="G119" s="15">
        <f>IF(OR(7176761.18511="",132.2155="",20.76743=""),"-",(132.2155-20.76743)/7176761.18511*100)</f>
        <v>1.552902028163165E-3</v>
      </c>
    </row>
    <row r="120" spans="1:7" x14ac:dyDescent="0.3">
      <c r="A120" s="28" t="s">
        <v>324</v>
      </c>
      <c r="B120" s="10">
        <v>130.85771</v>
      </c>
      <c r="C120" s="15" t="s">
        <v>197</v>
      </c>
      <c r="D120" s="15">
        <f>IF(73.45733="","-",73.45733/7176761.18511*100)</f>
        <v>1.0235442995150201E-3</v>
      </c>
      <c r="E120" s="15">
        <f>IF(130.85771="","-",130.85771/9219063.17036*100)</f>
        <v>1.4194252450804071E-3</v>
      </c>
      <c r="F120" s="15">
        <f>IF(OR(5415988.29784="",68.53244="",73.45733=""),"-",(73.45733-68.53244)/5415988.29784*100)</f>
        <v>9.0932434288385462E-5</v>
      </c>
      <c r="G120" s="15">
        <f>IF(OR(7176761.18511="",130.85771="",73.45733=""),"-",(130.85771-73.45733)/7176761.18511*100)</f>
        <v>7.9980897398525058E-4</v>
      </c>
    </row>
    <row r="121" spans="1:7" x14ac:dyDescent="0.3">
      <c r="A121" s="28" t="s">
        <v>126</v>
      </c>
      <c r="B121" s="10">
        <v>123.73526</v>
      </c>
      <c r="C121" s="15">
        <f>IF(OR(306.52122="",123.73526=""),"-",123.73526/306.52122*100)</f>
        <v>40.367599998460136</v>
      </c>
      <c r="D121" s="15">
        <f>IF(306.52122="","-",306.52122/7176761.18511*100)</f>
        <v>4.2710243812481251E-3</v>
      </c>
      <c r="E121" s="15">
        <f>IF(123.73526="","-",123.73526/9219063.17036*100)</f>
        <v>1.3421673950322675E-3</v>
      </c>
      <c r="F121" s="15">
        <f>IF(OR(5415988.29784="",140.77517="",306.52122=""),"-",(306.52122-140.77517)/5415988.29784*100)</f>
        <v>3.0603103419943271E-3</v>
      </c>
      <c r="G121" s="15">
        <f>IF(OR(7176761.18511="",123.73526="",306.52122=""),"-",(123.73526-306.52122)/7176761.18511*100)</f>
        <v>-2.5469143431891758E-3</v>
      </c>
    </row>
    <row r="122" spans="1:7" x14ac:dyDescent="0.3">
      <c r="A122" s="28" t="s">
        <v>328</v>
      </c>
      <c r="B122" s="54">
        <v>118.41704</v>
      </c>
      <c r="C122" s="15">
        <f>IF(OR(75.00848="",118.41704=""),"-",118.41704/75.00848*100)</f>
        <v>157.87153665825514</v>
      </c>
      <c r="D122" s="15">
        <f>IF(75.00848="","-",75.00848/7176761.18511*100)</f>
        <v>1.0451578095649052E-3</v>
      </c>
      <c r="E122" s="15">
        <f>IF(118.41704="","-",118.41704/9219063.17036*100)</f>
        <v>1.2844801886239365E-3</v>
      </c>
      <c r="F122" s="15">
        <f>IF(OR(5415988.29784="",34.11219="",75.00848=""),"-",(75.00848-34.11219)/5415988.29784*100)</f>
        <v>7.5510299784639916E-4</v>
      </c>
      <c r="G122" s="15">
        <f>IF(OR(7176761.18511="",118.41704="",75.00848=""),"-",(118.41704-75.00848)/7176761.18511*100)</f>
        <v>6.0484888489897078E-4</v>
      </c>
    </row>
    <row r="123" spans="1:7" x14ac:dyDescent="0.3">
      <c r="A123" s="28" t="s">
        <v>368</v>
      </c>
      <c r="B123" s="10">
        <v>88.652240000000006</v>
      </c>
      <c r="C123" s="15">
        <f>IF(OR(163.99921="",88.65224=""),"-",88.65224/163.99921*100)</f>
        <v>54.056504296575582</v>
      </c>
      <c r="D123" s="15">
        <f>IF(163.99921="","-",163.99921/7176761.18511*100)</f>
        <v>2.285142361156697E-3</v>
      </c>
      <c r="E123" s="15">
        <f>IF(88.65224="","-",88.65224/9219063.17036*100)</f>
        <v>9.6161874977735047E-4</v>
      </c>
      <c r="F123" s="15">
        <f>IF(OR(5415988.29784="",24.27074="",163.99921=""),"-",(163.99921-24.27074)/5415988.29784*100)</f>
        <v>2.5799256260528925E-3</v>
      </c>
      <c r="G123" s="15">
        <f>IF(OR(7176761.18511="",88.65224="",163.99921=""),"-",(88.65224-163.99921)/7176761.18511*100)</f>
        <v>-1.0498742825151585E-3</v>
      </c>
    </row>
    <row r="124" spans="1:7" x14ac:dyDescent="0.3">
      <c r="A124" s="28" t="s">
        <v>354</v>
      </c>
      <c r="B124" s="10">
        <v>78.417270000000002</v>
      </c>
      <c r="C124" s="15">
        <f>IF(OR(62.37122="",78.41727=""),"-",78.41727/62.37122*100)</f>
        <v>125.72668932882827</v>
      </c>
      <c r="D124" s="15">
        <f>IF(62.37122="","-",62.37122/7176761.18511*100)</f>
        <v>8.6907197259684238E-4</v>
      </c>
      <c r="E124" s="15">
        <f>IF(78.41727="","-",78.41727/9219063.17036*100)</f>
        <v>8.5059911783789033E-4</v>
      </c>
      <c r="F124" s="15">
        <f>IF(OR(5415988.29784="",18.30526="",62.37122=""),"-",(62.37122-18.30526)/5415988.29784*100)</f>
        <v>8.1362731189013734E-4</v>
      </c>
      <c r="G124" s="15">
        <f>IF(OR(7176761.18511="",78.41727="",62.37122=""),"-",(78.41727-62.37122)/7176761.18511*100)</f>
        <v>2.2358344643390917E-4</v>
      </c>
    </row>
    <row r="125" spans="1:7" x14ac:dyDescent="0.3">
      <c r="A125" s="28" t="s">
        <v>384</v>
      </c>
      <c r="B125" s="10">
        <v>72.179320000000004</v>
      </c>
      <c r="C125" s="15">
        <f>IF(OR(224.34121="",72.17932=""),"-",72.17932/224.34121*100)</f>
        <v>32.173901531510865</v>
      </c>
      <c r="D125" s="15">
        <f>IF(224.34121="","-",224.34121/7176761.18511*100)</f>
        <v>3.1259394622946677E-3</v>
      </c>
      <c r="E125" s="15">
        <f>IF(72.17932="","-",72.17932/9219063.17036*100)</f>
        <v>7.8293551813444649E-4</v>
      </c>
      <c r="F125" s="15">
        <f>IF(OR(5415988.29784="",510.06298="",224.34121=""),"-",(224.34121-510.06298)/5415988.29784*100)</f>
        <v>-5.2755241386683071E-3</v>
      </c>
      <c r="G125" s="15">
        <f>IF(OR(7176761.18511="",72.17932="",224.34121=""),"-",(72.17932-224.34121)/7176761.18511*100)</f>
        <v>-2.1202027777613413E-3</v>
      </c>
    </row>
    <row r="126" spans="1:7" x14ac:dyDescent="0.3">
      <c r="A126" s="29" t="s">
        <v>336</v>
      </c>
      <c r="B126" s="55">
        <v>72.083359999999999</v>
      </c>
      <c r="C126" s="19">
        <f>IF(OR(51.24886="",72.08336=""),"-",72.08336/51.24886*100)</f>
        <v>140.6535872212572</v>
      </c>
      <c r="D126" s="19">
        <f>IF(51.24886="","-",51.24886/7176761.18511*100)</f>
        <v>7.1409454318096415E-4</v>
      </c>
      <c r="E126" s="19">
        <f>IF(72.08336="","-",72.08336/9219063.17036*100)</f>
        <v>7.818946314605324E-4</v>
      </c>
      <c r="F126" s="19">
        <f>IF(OR(5415988.29784="",40.42869="",51.24886=""),"-",(51.24886-40.42869)/5415988.29784*100)</f>
        <v>1.9978200477861611E-4</v>
      </c>
      <c r="G126" s="19">
        <f>IF(OR(7176761.18511="",72.08336="",51.24886=""),"-",(72.08336-51.24886)/7176761.18511*100)</f>
        <v>2.9030504795431145E-4</v>
      </c>
    </row>
    <row r="127" spans="1:7" x14ac:dyDescent="0.3">
      <c r="A127" s="20" t="s">
        <v>280</v>
      </c>
      <c r="B127" s="21"/>
      <c r="C127" s="21"/>
      <c r="D127" s="21"/>
      <c r="E127" s="21"/>
      <c r="F127" s="2"/>
      <c r="G127" s="2"/>
    </row>
    <row r="128" spans="1:7" x14ac:dyDescent="0.3">
      <c r="A128" s="72" t="s">
        <v>410</v>
      </c>
      <c r="B128" s="72"/>
      <c r="C128" s="72"/>
      <c r="D128" s="72"/>
      <c r="E128" s="72"/>
      <c r="F128" s="2"/>
      <c r="G128" s="2"/>
    </row>
  </sheetData>
  <mergeCells count="7">
    <mergeCell ref="A128:E128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5"/>
  <sheetViews>
    <sheetView workbookViewId="0">
      <selection sqref="A1:D1"/>
    </sheetView>
  </sheetViews>
  <sheetFormatPr defaultRowHeight="15.6" x14ac:dyDescent="0.3"/>
  <cols>
    <col min="1" max="1" width="45.3984375" customWidth="1"/>
    <col min="2" max="2" width="15.59765625" customWidth="1"/>
    <col min="3" max="3" width="15.3984375" customWidth="1"/>
    <col min="4" max="4" width="12.8984375" customWidth="1"/>
  </cols>
  <sheetData>
    <row r="1" spans="1:4" ht="16.2" x14ac:dyDescent="0.35">
      <c r="A1" s="83" t="s">
        <v>295</v>
      </c>
      <c r="B1" s="83"/>
      <c r="C1" s="83"/>
      <c r="D1" s="83"/>
    </row>
    <row r="2" spans="1:4" ht="16.2" x14ac:dyDescent="0.35">
      <c r="A2" s="84"/>
      <c r="B2" s="84"/>
      <c r="C2" s="84"/>
      <c r="D2" s="84"/>
    </row>
    <row r="3" spans="1:4" ht="38.25" customHeight="1" x14ac:dyDescent="0.3">
      <c r="A3" s="50"/>
      <c r="B3" s="50">
        <v>2021</v>
      </c>
      <c r="C3" s="51">
        <v>2022</v>
      </c>
      <c r="D3" s="51" t="s">
        <v>418</v>
      </c>
    </row>
    <row r="4" spans="1:4" ht="16.5" customHeight="1" x14ac:dyDescent="0.3">
      <c r="A4" s="64" t="s">
        <v>285</v>
      </c>
      <c r="B4" s="61">
        <f>IF(-4032256.64644="","-",-4032256.64644)</f>
        <v>-4032256.6464399998</v>
      </c>
      <c r="C4" s="61">
        <v>-4883986.9730200004</v>
      </c>
      <c r="D4" s="61">
        <f>IF(-4032256.64644="","-",-4883986.97302/-4032256.64644*100)</f>
        <v>121.12291952775318</v>
      </c>
    </row>
    <row r="5" spans="1:4" x14ac:dyDescent="0.3">
      <c r="A5" s="18" t="s">
        <v>124</v>
      </c>
      <c r="B5" s="35"/>
      <c r="C5" s="35"/>
      <c r="D5" s="35"/>
    </row>
    <row r="6" spans="1:4" x14ac:dyDescent="0.3">
      <c r="A6" s="27" t="s">
        <v>329</v>
      </c>
      <c r="B6" s="17">
        <v>-1229458.5862700001</v>
      </c>
      <c r="C6" s="17">
        <v>-1824431.07825</v>
      </c>
      <c r="D6" s="17">
        <f>IF(-1229458.58627="","-",-1824431.07825/-1229458.58627*100)</f>
        <v>148.39304866584084</v>
      </c>
    </row>
    <row r="7" spans="1:4" x14ac:dyDescent="0.3">
      <c r="A7" s="28" t="s">
        <v>2</v>
      </c>
      <c r="B7" s="15">
        <v>3538.3581199999999</v>
      </c>
      <c r="C7" s="15">
        <v>-406622.41415000003</v>
      </c>
      <c r="D7" s="15" t="s">
        <v>20</v>
      </c>
    </row>
    <row r="8" spans="1:4" x14ac:dyDescent="0.3">
      <c r="A8" s="28" t="s">
        <v>4</v>
      </c>
      <c r="B8" s="15">
        <v>-301199.84551000001</v>
      </c>
      <c r="C8" s="15">
        <v>-347321.16292999999</v>
      </c>
      <c r="D8" s="15">
        <f>IF(OR(-301199.84551="",-347321.16293="",-301199.84551=0),"-",-347321.16293/-301199.84551*100)</f>
        <v>115.31253023782469</v>
      </c>
    </row>
    <row r="9" spans="1:4" x14ac:dyDescent="0.3">
      <c r="A9" s="28" t="s">
        <v>5</v>
      </c>
      <c r="B9" s="15">
        <v>-153112.76027999999</v>
      </c>
      <c r="C9" s="15">
        <v>-180311.18732</v>
      </c>
      <c r="D9" s="15">
        <f>IF(OR(-153112.76028="",-180311.18732="",-153112.76028=0),"-",-180311.18732/-153112.76028*100)</f>
        <v>117.7636579670184</v>
      </c>
    </row>
    <row r="10" spans="1:4" x14ac:dyDescent="0.3">
      <c r="A10" s="28" t="s">
        <v>296</v>
      </c>
      <c r="B10" s="15">
        <v>-138179.92251999999</v>
      </c>
      <c r="C10" s="15">
        <v>-139666.03435</v>
      </c>
      <c r="D10" s="15">
        <f>IF(OR(-138179.92252="",-139666.03435="",-138179.92252=0),"-",-139666.03435/-138179.92252*100)</f>
        <v>101.07549042067592</v>
      </c>
    </row>
    <row r="11" spans="1:4" x14ac:dyDescent="0.3">
      <c r="A11" s="28" t="s">
        <v>8</v>
      </c>
      <c r="B11" s="15">
        <v>2598.13472</v>
      </c>
      <c r="C11" s="15">
        <v>-132820.69996999999</v>
      </c>
      <c r="D11" s="15" t="s">
        <v>20</v>
      </c>
    </row>
    <row r="12" spans="1:4" x14ac:dyDescent="0.3">
      <c r="A12" s="28" t="s">
        <v>40</v>
      </c>
      <c r="B12" s="15">
        <v>-79796.649579999998</v>
      </c>
      <c r="C12" s="15">
        <v>-125806.83593</v>
      </c>
      <c r="D12" s="15">
        <f>IF(OR(-79796.64958="",-125806.83593="",-79796.64958=0),"-",-125806.83593/-79796.64958*100)</f>
        <v>157.65929596313762</v>
      </c>
    </row>
    <row r="13" spans="1:4" x14ac:dyDescent="0.3">
      <c r="A13" s="28" t="s">
        <v>3</v>
      </c>
      <c r="B13" s="15">
        <v>-204388.91915</v>
      </c>
      <c r="C13" s="15">
        <v>-107022.15724</v>
      </c>
      <c r="D13" s="15">
        <f>IF(OR(-204388.91915="",-107022.15724="",-204388.91915=0),"-",-107022.15724/-204388.91915*100)</f>
        <v>52.362015360263726</v>
      </c>
    </row>
    <row r="14" spans="1:4" x14ac:dyDescent="0.3">
      <c r="A14" s="28" t="s">
        <v>38</v>
      </c>
      <c r="B14" s="15">
        <v>-37891.169540000003</v>
      </c>
      <c r="C14" s="15">
        <v>-62601.142050000002</v>
      </c>
      <c r="D14" s="15" t="s">
        <v>99</v>
      </c>
    </row>
    <row r="15" spans="1:4" x14ac:dyDescent="0.3">
      <c r="A15" s="28" t="s">
        <v>7</v>
      </c>
      <c r="B15" s="15">
        <v>-75717.323929999999</v>
      </c>
      <c r="C15" s="15">
        <v>-61382.682000000001</v>
      </c>
      <c r="D15" s="15">
        <f>IF(OR(-75717.32393="",-61382.682="",-75717.32393=0),"-",-61382.682/-75717.32393*100)</f>
        <v>81.068213737648392</v>
      </c>
    </row>
    <row r="16" spans="1:4" x14ac:dyDescent="0.3">
      <c r="A16" s="28" t="s">
        <v>42</v>
      </c>
      <c r="B16" s="15">
        <v>-23194.610390000002</v>
      </c>
      <c r="C16" s="15">
        <v>-44263.992149999998</v>
      </c>
      <c r="D16" s="15" t="s">
        <v>101</v>
      </c>
    </row>
    <row r="17" spans="1:4" x14ac:dyDescent="0.3">
      <c r="A17" s="28" t="s">
        <v>39</v>
      </c>
      <c r="B17" s="15">
        <v>-31474.176619999998</v>
      </c>
      <c r="C17" s="15">
        <v>-34896.121780000001</v>
      </c>
      <c r="D17" s="15">
        <f>IF(OR(-31474.17662="",-34896.12178="",-31474.17662=0),"-",-34896.12178/-31474.17662*100)</f>
        <v>110.87223091270815</v>
      </c>
    </row>
    <row r="18" spans="1:4" x14ac:dyDescent="0.3">
      <c r="A18" s="28" t="s">
        <v>304</v>
      </c>
      <c r="B18" s="15">
        <v>-35944.302459999999</v>
      </c>
      <c r="C18" s="15">
        <v>-34010.596949999999</v>
      </c>
      <c r="D18" s="15">
        <f>IF(OR(-35944.30246="",-34010.59695="",-35944.30246=0),"-",-34010.59695/-35944.30246*100)</f>
        <v>94.620272539293566</v>
      </c>
    </row>
    <row r="19" spans="1:4" x14ac:dyDescent="0.3">
      <c r="A19" s="28" t="s">
        <v>48</v>
      </c>
      <c r="B19" s="15">
        <v>-25021.42367</v>
      </c>
      <c r="C19" s="15">
        <v>-33690.857839999997</v>
      </c>
      <c r="D19" s="15">
        <f>IF(OR(-25021.42367="",-33690.85784="",-25021.42367=0),"-",-33690.85784/-25021.42367*100)</f>
        <v>134.64804514858366</v>
      </c>
    </row>
    <row r="20" spans="1:4" x14ac:dyDescent="0.3">
      <c r="A20" s="28" t="s">
        <v>50</v>
      </c>
      <c r="B20" s="15">
        <v>-29944.042280000001</v>
      </c>
      <c r="C20" s="15">
        <v>-29210.80789</v>
      </c>
      <c r="D20" s="15">
        <f>IF(OR(-29944.04228="",-29210.80789="",-29944.04228=0),"-",-29210.80789/-29944.04228*100)</f>
        <v>97.551317944505641</v>
      </c>
    </row>
    <row r="21" spans="1:4" x14ac:dyDescent="0.3">
      <c r="A21" s="28" t="s">
        <v>326</v>
      </c>
      <c r="B21" s="15">
        <v>-40995.128320000003</v>
      </c>
      <c r="C21" s="15">
        <v>-21347.94369</v>
      </c>
      <c r="D21" s="15">
        <f>IF(OR(-40995.12832="",-21347.94369="",-40995.12832=0),"-",-21347.94369/-40995.12832*100)</f>
        <v>52.074342891092087</v>
      </c>
    </row>
    <row r="22" spans="1:4" x14ac:dyDescent="0.3">
      <c r="A22" s="28" t="s">
        <v>47</v>
      </c>
      <c r="B22" s="15">
        <v>-13476.752839999999</v>
      </c>
      <c r="C22" s="15">
        <v>-20035.095529999999</v>
      </c>
      <c r="D22" s="15">
        <f>IF(OR(-13476.75284="",-20035.09553="",-13476.75284=0),"-",-20035.09553/-13476.75284*100)</f>
        <v>148.66411640743573</v>
      </c>
    </row>
    <row r="23" spans="1:4" x14ac:dyDescent="0.3">
      <c r="A23" s="28" t="s">
        <v>46</v>
      </c>
      <c r="B23" s="15">
        <v>-15767.968720000001</v>
      </c>
      <c r="C23" s="15">
        <v>-19324.571100000001</v>
      </c>
      <c r="D23" s="15">
        <f>IF(OR(-15767.96872="",-19324.5711="",-15767.96872=0),"-",-19324.5711/-15767.96872*100)</f>
        <v>122.5558690732867</v>
      </c>
    </row>
    <row r="24" spans="1:4" x14ac:dyDescent="0.3">
      <c r="A24" s="28" t="s">
        <v>43</v>
      </c>
      <c r="B24" s="15">
        <v>-8773.8070000000007</v>
      </c>
      <c r="C24" s="15">
        <v>-12174.114600000001</v>
      </c>
      <c r="D24" s="15">
        <f>IF(OR(-8773.807="",-12174.1146="",-8773.807=0),"-",-12174.1146/-8773.807*100)</f>
        <v>138.75521310190661</v>
      </c>
    </row>
    <row r="25" spans="1:4" x14ac:dyDescent="0.3">
      <c r="A25" s="28" t="s">
        <v>51</v>
      </c>
      <c r="B25" s="15">
        <v>-7066.3446400000003</v>
      </c>
      <c r="C25" s="15">
        <v>-8063.2384000000002</v>
      </c>
      <c r="D25" s="15">
        <f>IF(OR(-7066.34464="",-8063.2384="",-7066.34464=0),"-",-8063.2384/-7066.34464*100)</f>
        <v>114.10763005185096</v>
      </c>
    </row>
    <row r="26" spans="1:4" x14ac:dyDescent="0.3">
      <c r="A26" s="28" t="s">
        <v>297</v>
      </c>
      <c r="B26" s="15">
        <v>-5676.4809599999999</v>
      </c>
      <c r="C26" s="15">
        <v>-6421.4772499999999</v>
      </c>
      <c r="D26" s="15">
        <f>IF(OR(-5676.48096="",-6421.47725="",-5676.48096=0),"-",-6421.47725/-5676.48096*100)</f>
        <v>113.12426299409273</v>
      </c>
    </row>
    <row r="27" spans="1:4" x14ac:dyDescent="0.3">
      <c r="A27" s="28" t="s">
        <v>6</v>
      </c>
      <c r="B27" s="15">
        <v>550.63939000000005</v>
      </c>
      <c r="C27" s="15">
        <v>-5391.9032900000002</v>
      </c>
      <c r="D27" s="15" t="s">
        <v>20</v>
      </c>
    </row>
    <row r="28" spans="1:4" x14ac:dyDescent="0.3">
      <c r="A28" s="28" t="s">
        <v>49</v>
      </c>
      <c r="B28" s="15">
        <v>-10755.914769999999</v>
      </c>
      <c r="C28" s="15">
        <v>-4498.4943999999996</v>
      </c>
      <c r="D28" s="15">
        <f>IF(OR(-10755.91477="",-4498.4944="",-10755.91477=0),"-",-4498.4944/-10755.91477*100)</f>
        <v>41.823447807033901</v>
      </c>
    </row>
    <row r="29" spans="1:4" x14ac:dyDescent="0.3">
      <c r="A29" s="28" t="s">
        <v>52</v>
      </c>
      <c r="B29" s="15">
        <v>-2471.1452399999998</v>
      </c>
      <c r="C29" s="15">
        <v>-2806.0814</v>
      </c>
      <c r="D29" s="15">
        <f>IF(OR(-2471.14524="",-2806.0814="",-2471.14524=0),"-",-2806.0814/-2471.14524*100)</f>
        <v>113.55388402828157</v>
      </c>
    </row>
    <row r="30" spans="1:4" x14ac:dyDescent="0.3">
      <c r="A30" s="28" t="s">
        <v>44</v>
      </c>
      <c r="B30" s="15">
        <v>-837.29269999999997</v>
      </c>
      <c r="C30" s="15">
        <v>-1793.2179100000001</v>
      </c>
      <c r="D30" s="15" t="s">
        <v>91</v>
      </c>
    </row>
    <row r="31" spans="1:4" x14ac:dyDescent="0.3">
      <c r="A31" s="28" t="s">
        <v>41</v>
      </c>
      <c r="B31" s="15">
        <v>-6901.8121700000002</v>
      </c>
      <c r="C31" s="15">
        <v>-954.07789000000002</v>
      </c>
      <c r="D31" s="15">
        <f>IF(OR(-6901.81217="",-954.07789="",-6901.81217=0),"-",-954.07789/-6901.81217*100)</f>
        <v>13.823585262825254</v>
      </c>
    </row>
    <row r="32" spans="1:4" x14ac:dyDescent="0.3">
      <c r="A32" s="28" t="s">
        <v>53</v>
      </c>
      <c r="B32" s="15">
        <v>6.3196099999999999</v>
      </c>
      <c r="C32" s="15">
        <v>-34.119610000000002</v>
      </c>
      <c r="D32" s="15" t="s">
        <v>20</v>
      </c>
    </row>
    <row r="33" spans="1:4" x14ac:dyDescent="0.3">
      <c r="A33" s="28" t="s">
        <v>45</v>
      </c>
      <c r="B33" s="15">
        <v>12478.59607</v>
      </c>
      <c r="C33" s="15">
        <v>18180.66332</v>
      </c>
      <c r="D33" s="15">
        <f>IF(OR(12478.59607="",18180.66332="",12478.59607=0),"-",18180.66332/12478.59607*100)</f>
        <v>145.69478183293739</v>
      </c>
    </row>
    <row r="34" spans="1:4" ht="26.4" x14ac:dyDescent="0.3">
      <c r="A34" s="28" t="s">
        <v>389</v>
      </c>
      <c r="B34" s="15">
        <v>-42.840890000000002</v>
      </c>
      <c r="C34" s="15">
        <v>-140.71395000000001</v>
      </c>
      <c r="D34" s="15" t="s">
        <v>345</v>
      </c>
    </row>
    <row r="35" spans="1:4" x14ac:dyDescent="0.3">
      <c r="A35" s="27" t="s">
        <v>198</v>
      </c>
      <c r="B35" s="17">
        <v>-1439394.5635899999</v>
      </c>
      <c r="C35" s="17">
        <v>-1142495.43667</v>
      </c>
      <c r="D35" s="17">
        <f>IF(-1439394.56359="","-",-1142495.43667/-1439394.56359*100)</f>
        <v>79.373332758774453</v>
      </c>
    </row>
    <row r="36" spans="1:4" x14ac:dyDescent="0.3">
      <c r="A36" s="28" t="s">
        <v>298</v>
      </c>
      <c r="B36" s="15">
        <v>-777857.21109999996</v>
      </c>
      <c r="C36" s="15">
        <v>-955399.31880000001</v>
      </c>
      <c r="D36" s="15">
        <f>IF(OR(-777857.2111="",-955399.3188="",-777857.2111=0),"-",-955399.3188/-777857.2111*100)</f>
        <v>122.82451138415628</v>
      </c>
    </row>
    <row r="37" spans="1:4" x14ac:dyDescent="0.3">
      <c r="A37" s="28" t="s">
        <v>10</v>
      </c>
      <c r="B37" s="15">
        <v>-574429.69502999994</v>
      </c>
      <c r="C37" s="15">
        <v>-133711.82801999999</v>
      </c>
      <c r="D37" s="15">
        <f>IF(OR(-574429.69503="",-133711.82802="",-574429.69503=0),"-",-133711.82802/-574429.69503*100)</f>
        <v>23.277318212634672</v>
      </c>
    </row>
    <row r="38" spans="1:4" x14ac:dyDescent="0.3">
      <c r="A38" s="28" t="s">
        <v>9</v>
      </c>
      <c r="B38" s="15">
        <v>-77481.555919999999</v>
      </c>
      <c r="C38" s="15">
        <v>-14104.126480000001</v>
      </c>
      <c r="D38" s="15">
        <f>IF(OR(-77481.55592="",-14104.12648="",-77481.55592=0),"-",-14104.12648/-77481.55592*100)</f>
        <v>18.203205024125438</v>
      </c>
    </row>
    <row r="39" spans="1:4" x14ac:dyDescent="0.3">
      <c r="A39" s="28" t="s">
        <v>14</v>
      </c>
      <c r="B39" s="15">
        <v>-6642.2025700000004</v>
      </c>
      <c r="C39" s="15">
        <v>-12031.19231</v>
      </c>
      <c r="D39" s="15" t="s">
        <v>197</v>
      </c>
    </row>
    <row r="40" spans="1:4" x14ac:dyDescent="0.3">
      <c r="A40" s="28" t="s">
        <v>13</v>
      </c>
      <c r="B40" s="15">
        <v>-5091.6612999999998</v>
      </c>
      <c r="C40" s="15">
        <v>-10576.40177</v>
      </c>
      <c r="D40" s="15" t="s">
        <v>91</v>
      </c>
    </row>
    <row r="41" spans="1:4" x14ac:dyDescent="0.3">
      <c r="A41" s="28" t="s">
        <v>11</v>
      </c>
      <c r="B41" s="15">
        <v>-1851.94823</v>
      </c>
      <c r="C41" s="15">
        <v>-9398.3814999999995</v>
      </c>
      <c r="D41" s="15" t="s">
        <v>361</v>
      </c>
    </row>
    <row r="42" spans="1:4" x14ac:dyDescent="0.3">
      <c r="A42" s="28" t="s">
        <v>12</v>
      </c>
      <c r="B42" s="15">
        <v>2883.5311299999998</v>
      </c>
      <c r="C42" s="15">
        <v>-6393.8647899999996</v>
      </c>
      <c r="D42" s="15" t="s">
        <v>20</v>
      </c>
    </row>
    <row r="43" spans="1:4" x14ac:dyDescent="0.3">
      <c r="A43" s="28" t="s">
        <v>305</v>
      </c>
      <c r="B43" s="15">
        <v>773.76507000000004</v>
      </c>
      <c r="C43" s="15">
        <v>-2113.4540299999999</v>
      </c>
      <c r="D43" s="15" t="s">
        <v>20</v>
      </c>
    </row>
    <row r="44" spans="1:4" x14ac:dyDescent="0.3">
      <c r="A44" s="28" t="s">
        <v>16</v>
      </c>
      <c r="B44" s="15">
        <v>255.13069999999999</v>
      </c>
      <c r="C44" s="15">
        <v>242.37189000000001</v>
      </c>
      <c r="D44" s="15">
        <f>IF(OR(255.1307="",242.37189="",255.1307=0),"-",242.37189/255.1307*100)</f>
        <v>94.999108300177127</v>
      </c>
    </row>
    <row r="45" spans="1:4" x14ac:dyDescent="0.3">
      <c r="A45" s="28" t="s">
        <v>15</v>
      </c>
      <c r="B45" s="15">
        <v>47.283659999999998</v>
      </c>
      <c r="C45" s="15">
        <v>990.75914</v>
      </c>
      <c r="D45" s="15" t="s">
        <v>391</v>
      </c>
    </row>
    <row r="46" spans="1:4" x14ac:dyDescent="0.3">
      <c r="A46" s="27" t="s">
        <v>133</v>
      </c>
      <c r="B46" s="17">
        <v>-1363403.49658</v>
      </c>
      <c r="C46" s="17">
        <v>-1917060.4580999999</v>
      </c>
      <c r="D46" s="17">
        <f>IF(-1363403.49658="","-",-1917060.4581/-1363403.49658*100)</f>
        <v>140.60844518213491</v>
      </c>
    </row>
    <row r="47" spans="1:4" x14ac:dyDescent="0.3">
      <c r="A47" s="28" t="s">
        <v>57</v>
      </c>
      <c r="B47" s="15">
        <v>-824143.26777999999</v>
      </c>
      <c r="C47" s="15">
        <v>-937429.40156000003</v>
      </c>
      <c r="D47" s="15">
        <f>IF(OR(-824143.26778="",-937429.40156="",-824143.26778=0),"-",-937429.40156/-824143.26778*100)</f>
        <v>113.74592722029504</v>
      </c>
    </row>
    <row r="48" spans="1:4" x14ac:dyDescent="0.3">
      <c r="A48" s="28" t="s">
        <v>54</v>
      </c>
      <c r="B48" s="24">
        <v>-229723.33137</v>
      </c>
      <c r="C48" s="24">
        <v>-356316.78078999999</v>
      </c>
      <c r="D48" s="15">
        <f>IF(OR(-229723.33137="",-356316.78079="",-229723.33137=0),"-",-356316.78079/-229723.33137*100)</f>
        <v>155.10691868563597</v>
      </c>
    </row>
    <row r="49" spans="1:4" x14ac:dyDescent="0.3">
      <c r="A49" s="28" t="s">
        <v>67</v>
      </c>
      <c r="B49" s="15">
        <v>-46292.1086</v>
      </c>
      <c r="C49" s="15">
        <v>-253071.3542</v>
      </c>
      <c r="D49" s="15" t="s">
        <v>370</v>
      </c>
    </row>
    <row r="50" spans="1:4" x14ac:dyDescent="0.3">
      <c r="A50" s="28" t="s">
        <v>17</v>
      </c>
      <c r="B50" s="15">
        <v>-75663.714699999997</v>
      </c>
      <c r="C50" s="15">
        <v>-82984.073350000006</v>
      </c>
      <c r="D50" s="15">
        <f>IF(OR(-75663.7147="",-82984.07335="",-75663.7147=0),"-",-82984.07335/-75663.7147*100)</f>
        <v>109.67486024050577</v>
      </c>
    </row>
    <row r="51" spans="1:4" x14ac:dyDescent="0.3">
      <c r="A51" s="28" t="s">
        <v>73</v>
      </c>
      <c r="B51" s="15">
        <v>-64233.762159999998</v>
      </c>
      <c r="C51" s="15">
        <v>-71026.640899999999</v>
      </c>
      <c r="D51" s="15">
        <f>IF(OR(-64233.76216="",-71026.6409="",-64233.76216=0),"-",-71026.6409/-64233.76216*100)</f>
        <v>110.5752465861794</v>
      </c>
    </row>
    <row r="52" spans="1:4" x14ac:dyDescent="0.3">
      <c r="A52" s="28" t="s">
        <v>34</v>
      </c>
      <c r="B52" s="15">
        <v>-56673.628420000001</v>
      </c>
      <c r="C52" s="15">
        <v>-59286.768060000002</v>
      </c>
      <c r="D52" s="15">
        <f>IF(OR(-56673.62842="",-59286.76806="",-56673.62842=0),"-",-59286.76806/-56673.62842*100)</f>
        <v>104.61085642979199</v>
      </c>
    </row>
    <row r="53" spans="1:4" x14ac:dyDescent="0.3">
      <c r="A53" s="56" t="s">
        <v>69</v>
      </c>
      <c r="B53" s="24">
        <v>-52073.981030000003</v>
      </c>
      <c r="C53" s="24">
        <v>-38858.670420000002</v>
      </c>
      <c r="D53" s="15">
        <f>IF(OR(-52073.98103="",-38858.67042="",-52073.98103=0),"-",-38858.67042/-52073.98103*100)</f>
        <v>74.622046656301137</v>
      </c>
    </row>
    <row r="54" spans="1:4" x14ac:dyDescent="0.3">
      <c r="A54" s="28" t="s">
        <v>60</v>
      </c>
      <c r="B54" s="15">
        <v>644.82592999999997</v>
      </c>
      <c r="C54" s="15">
        <v>-26061.418539999999</v>
      </c>
      <c r="D54" s="15" t="s">
        <v>20</v>
      </c>
    </row>
    <row r="55" spans="1:4" x14ac:dyDescent="0.3">
      <c r="A55" s="28" t="s">
        <v>64</v>
      </c>
      <c r="B55" s="15">
        <v>-5601.6286200000004</v>
      </c>
      <c r="C55" s="15">
        <v>-23782.39747</v>
      </c>
      <c r="D55" s="15" t="s">
        <v>392</v>
      </c>
    </row>
    <row r="56" spans="1:4" x14ac:dyDescent="0.3">
      <c r="A56" s="28" t="s">
        <v>307</v>
      </c>
      <c r="B56" s="24">
        <v>-22397.409800000001</v>
      </c>
      <c r="C56" s="24">
        <v>-23566.432850000001</v>
      </c>
      <c r="D56" s="15">
        <f>IF(OR(-22397.4098="",-23566.43285="",-22397.4098=0),"-",-23566.43285/-22397.4098*100)</f>
        <v>105.21945644803981</v>
      </c>
    </row>
    <row r="57" spans="1:4" x14ac:dyDescent="0.3">
      <c r="A57" s="28" t="s">
        <v>76</v>
      </c>
      <c r="B57" s="15">
        <v>-22089.678500000002</v>
      </c>
      <c r="C57" s="15">
        <v>-21533.711060000001</v>
      </c>
      <c r="D57" s="15">
        <f>IF(OR(-22089.6785="",-21533.71106="",-22089.6785=0),"-",-21533.71106/-22089.6785*100)</f>
        <v>97.483134759068577</v>
      </c>
    </row>
    <row r="58" spans="1:4" x14ac:dyDescent="0.3">
      <c r="A58" s="28" t="s">
        <v>71</v>
      </c>
      <c r="B58" s="15">
        <v>-11151.13565</v>
      </c>
      <c r="C58" s="15">
        <v>-15688.81043</v>
      </c>
      <c r="D58" s="15">
        <f>IF(OR(-11151.13565="",-15688.81043="",-11151.13565=0),"-",-15688.81043/-11151.13565*100)</f>
        <v>140.69249018596594</v>
      </c>
    </row>
    <row r="59" spans="1:4" x14ac:dyDescent="0.3">
      <c r="A59" s="28" t="s">
        <v>79</v>
      </c>
      <c r="B59" s="24">
        <v>-13938.696309999999</v>
      </c>
      <c r="C59" s="24">
        <v>-14855.59108</v>
      </c>
      <c r="D59" s="15">
        <f>IF(OR(-13938.69631="",-14855.59108="",-13938.69631=0),"-",-14855.59108/-13938.69631*100)</f>
        <v>106.57805256394168</v>
      </c>
    </row>
    <row r="60" spans="1:4" x14ac:dyDescent="0.3">
      <c r="A60" s="28" t="s">
        <v>75</v>
      </c>
      <c r="B60" s="15">
        <v>-12226.293449999999</v>
      </c>
      <c r="C60" s="15">
        <v>-13833.270500000001</v>
      </c>
      <c r="D60" s="15">
        <f>IF(OR(-12226.29345="",-13833.2705="",-12226.29345=0),"-",-13833.2705/-12226.29345*100)</f>
        <v>113.14361590102355</v>
      </c>
    </row>
    <row r="61" spans="1:4" x14ac:dyDescent="0.3">
      <c r="A61" s="28" t="s">
        <v>68</v>
      </c>
      <c r="B61" s="15">
        <v>-9123.6221700000006</v>
      </c>
      <c r="C61" s="15">
        <v>-13299.6765</v>
      </c>
      <c r="D61" s="15">
        <f>IF(OR(-9123.62217="",-13299.6765="",-9123.62217=0),"-",-13299.6765/-9123.62217*100)</f>
        <v>145.77189028861329</v>
      </c>
    </row>
    <row r="62" spans="1:4" x14ac:dyDescent="0.3">
      <c r="A62" s="28" t="s">
        <v>59</v>
      </c>
      <c r="B62" s="15">
        <v>-10556.936680000001</v>
      </c>
      <c r="C62" s="15">
        <v>-12264.88682</v>
      </c>
      <c r="D62" s="15">
        <f>IF(OR(-10556.93668="",-12264.88682="",-10556.93668=0),"-",-12264.88682/-10556.93668*100)</f>
        <v>116.17846342903326</v>
      </c>
    </row>
    <row r="63" spans="1:4" x14ac:dyDescent="0.3">
      <c r="A63" s="28" t="s">
        <v>80</v>
      </c>
      <c r="B63" s="15">
        <v>-9729.4483400000008</v>
      </c>
      <c r="C63" s="15">
        <v>-10679.79233</v>
      </c>
      <c r="D63" s="15">
        <f>IF(OR(-9729.44834="",-10679.79233="",-9729.44834=0),"-",-10679.79233/-9729.44834*100)</f>
        <v>109.76770682971733</v>
      </c>
    </row>
    <row r="64" spans="1:4" x14ac:dyDescent="0.3">
      <c r="A64" s="28" t="s">
        <v>37</v>
      </c>
      <c r="B64" s="15">
        <v>-3873.8501000000001</v>
      </c>
      <c r="C64" s="15">
        <v>-10419.961929999999</v>
      </c>
      <c r="D64" s="15" t="s">
        <v>339</v>
      </c>
    </row>
    <row r="65" spans="1:4" x14ac:dyDescent="0.3">
      <c r="A65" s="28" t="s">
        <v>63</v>
      </c>
      <c r="B65" s="24">
        <v>-822.06137999999999</v>
      </c>
      <c r="C65" s="15">
        <v>-10073.980530000001</v>
      </c>
      <c r="D65" s="15" t="s">
        <v>393</v>
      </c>
    </row>
    <row r="66" spans="1:4" x14ac:dyDescent="0.3">
      <c r="A66" s="28" t="s">
        <v>81</v>
      </c>
      <c r="B66" s="15">
        <v>-7792.4092000000001</v>
      </c>
      <c r="C66" s="15">
        <v>-8892.6688799999993</v>
      </c>
      <c r="D66" s="15">
        <f>IF(OR(-7792.4092="",-8892.66888="",-7792.4092=0),"-",-8892.66888/-7792.4092*100)</f>
        <v>114.11963427177309</v>
      </c>
    </row>
    <row r="67" spans="1:4" x14ac:dyDescent="0.3">
      <c r="A67" s="28" t="s">
        <v>300</v>
      </c>
      <c r="B67" s="15">
        <v>601.56082000000004</v>
      </c>
      <c r="C67" s="15">
        <v>-8848.4599300000009</v>
      </c>
      <c r="D67" s="15" t="s">
        <v>20</v>
      </c>
    </row>
    <row r="68" spans="1:4" x14ac:dyDescent="0.3">
      <c r="A68" s="28" t="s">
        <v>301</v>
      </c>
      <c r="B68" s="15">
        <v>-1551.09926</v>
      </c>
      <c r="C68" s="15">
        <v>-6271.2872100000004</v>
      </c>
      <c r="D68" s="15" t="s">
        <v>343</v>
      </c>
    </row>
    <row r="69" spans="1:4" x14ac:dyDescent="0.3">
      <c r="A69" s="28" t="s">
        <v>82</v>
      </c>
      <c r="B69" s="15">
        <v>-6198.4472900000001</v>
      </c>
      <c r="C69" s="15">
        <v>-6021.8888800000004</v>
      </c>
      <c r="D69" s="15">
        <f>IF(OR(-6198.44729="",-6021.88888="",-6198.44729=0),"-",-6021.88888/-6198.44729*100)</f>
        <v>97.151570357227328</v>
      </c>
    </row>
    <row r="70" spans="1:4" x14ac:dyDescent="0.3">
      <c r="A70" s="28" t="s">
        <v>78</v>
      </c>
      <c r="B70" s="15">
        <v>-16038.588400000001</v>
      </c>
      <c r="C70" s="15">
        <v>-5783.3663399999996</v>
      </c>
      <c r="D70" s="15">
        <f>IF(OR(-16038.5884="",-5783.36634="",-16038.5884=0),"-",-5783.36634/-16038.5884*100)</f>
        <v>36.059073253603785</v>
      </c>
    </row>
    <row r="71" spans="1:4" x14ac:dyDescent="0.3">
      <c r="A71" s="28" t="s">
        <v>77</v>
      </c>
      <c r="B71" s="15">
        <v>-4412.9279900000001</v>
      </c>
      <c r="C71" s="15">
        <v>-4366.3778599999996</v>
      </c>
      <c r="D71" s="15">
        <f>IF(OR(-4412.92799="",-4366.37786="",-4412.92799=0),"-",-4366.37786/-4412.92799*100)</f>
        <v>98.945141862602654</v>
      </c>
    </row>
    <row r="72" spans="1:4" x14ac:dyDescent="0.3">
      <c r="A72" s="28" t="s">
        <v>36</v>
      </c>
      <c r="B72" s="15">
        <v>-852.92026999999996</v>
      </c>
      <c r="C72" s="15">
        <v>-3677.7584299999999</v>
      </c>
      <c r="D72" s="15" t="s">
        <v>315</v>
      </c>
    </row>
    <row r="73" spans="1:4" x14ac:dyDescent="0.3">
      <c r="A73" s="28" t="s">
        <v>87</v>
      </c>
      <c r="B73" s="24">
        <v>-1082.0156500000001</v>
      </c>
      <c r="C73" s="24">
        <v>-3653.9795300000001</v>
      </c>
      <c r="D73" s="15" t="s">
        <v>358</v>
      </c>
    </row>
    <row r="74" spans="1:4" x14ac:dyDescent="0.3">
      <c r="A74" s="28" t="s">
        <v>85</v>
      </c>
      <c r="B74" s="15">
        <v>-2921.3006300000002</v>
      </c>
      <c r="C74" s="15">
        <v>-3535.0980199999999</v>
      </c>
      <c r="D74" s="15">
        <f>IF(OR(-2921.30063="",-3535.09802="",-2921.30063=0),"-",-3535.09802/-2921.30063*100)</f>
        <v>121.01109977167943</v>
      </c>
    </row>
    <row r="75" spans="1:4" x14ac:dyDescent="0.3">
      <c r="A75" s="28" t="s">
        <v>61</v>
      </c>
      <c r="B75" s="15">
        <v>-5088.5010400000001</v>
      </c>
      <c r="C75" s="15">
        <v>-3277.51064</v>
      </c>
      <c r="D75" s="15">
        <f>IF(OR(-5088.50104="",-3277.51064="",-5088.50104=0),"-",-3277.51064/-5088.50104*100)</f>
        <v>64.410139926000681</v>
      </c>
    </row>
    <row r="76" spans="1:4" x14ac:dyDescent="0.3">
      <c r="A76" s="28" t="s">
        <v>84</v>
      </c>
      <c r="B76" s="15">
        <v>-2838.2875600000002</v>
      </c>
      <c r="C76" s="15">
        <v>-3008.4745600000001</v>
      </c>
      <c r="D76" s="15">
        <f>IF(OR(-2838.28756="",-3008.47456="",-2838.28756=0),"-",-3008.47456/-2838.28756*100)</f>
        <v>105.99611548873504</v>
      </c>
    </row>
    <row r="77" spans="1:4" x14ac:dyDescent="0.3">
      <c r="A77" s="28" t="s">
        <v>86</v>
      </c>
      <c r="B77" s="15">
        <v>-3077.2527799999998</v>
      </c>
      <c r="C77" s="15">
        <v>-2835.8931200000002</v>
      </c>
      <c r="D77" s="15">
        <f>IF(OR(-3077.25278="",-2835.89312="",-3077.25278=0),"-",-2835.89312/-3077.25278*100)</f>
        <v>92.156651492244336</v>
      </c>
    </row>
    <row r="78" spans="1:4" x14ac:dyDescent="0.3">
      <c r="A78" s="28" t="s">
        <v>93</v>
      </c>
      <c r="B78" s="15">
        <v>-1858.8624500000001</v>
      </c>
      <c r="C78" s="15">
        <v>-2476.4701</v>
      </c>
      <c r="D78" s="15">
        <f>IF(OR(-1858.86245="",-2476.4701="",-1858.86245=0),"-",-2476.4701/-1858.86245*100)</f>
        <v>133.22503233092905</v>
      </c>
    </row>
    <row r="79" spans="1:4" x14ac:dyDescent="0.3">
      <c r="A79" s="28" t="s">
        <v>308</v>
      </c>
      <c r="B79" s="15">
        <v>-2339.1969800000002</v>
      </c>
      <c r="C79" s="15">
        <v>-2319.2353699999999</v>
      </c>
      <c r="D79" s="15">
        <f>IF(OR(-2339.19698="",-2319.23537="",-2339.19698=0),"-",-2319.23537/-2339.19698*100)</f>
        <v>99.14664689760329</v>
      </c>
    </row>
    <row r="80" spans="1:4" x14ac:dyDescent="0.3">
      <c r="A80" s="28" t="s">
        <v>122</v>
      </c>
      <c r="B80" s="15">
        <v>-2458.3653399999998</v>
      </c>
      <c r="C80" s="15">
        <v>-2278.8123099999998</v>
      </c>
      <c r="D80" s="15">
        <f>IF(OR(-2458.36534="",-2278.81231="",-2458.36534=0),"-",-2278.81231/-2458.36534*100)</f>
        <v>92.696243024643351</v>
      </c>
    </row>
    <row r="81" spans="1:4" x14ac:dyDescent="0.3">
      <c r="A81" s="28" t="s">
        <v>62</v>
      </c>
      <c r="B81" s="15">
        <v>308.69736999999998</v>
      </c>
      <c r="C81" s="15">
        <v>-2115.1224299999999</v>
      </c>
      <c r="D81" s="15" t="s">
        <v>20</v>
      </c>
    </row>
    <row r="82" spans="1:4" x14ac:dyDescent="0.3">
      <c r="A82" s="28" t="s">
        <v>137</v>
      </c>
      <c r="B82" s="15">
        <v>-1496.51133</v>
      </c>
      <c r="C82" s="15">
        <v>-1863.91184</v>
      </c>
      <c r="D82" s="15">
        <f>IF(OR(-1496.51133="",-1863.91184="",-1496.51133=0),"-",-1863.91184/-1496.51133*100)</f>
        <v>124.5504663168838</v>
      </c>
    </row>
    <row r="83" spans="1:4" x14ac:dyDescent="0.3">
      <c r="A83" s="28" t="s">
        <v>88</v>
      </c>
      <c r="B83" s="15">
        <v>-627.43295000000001</v>
      </c>
      <c r="C83" s="15">
        <v>-1696.8083099999999</v>
      </c>
      <c r="D83" s="15" t="s">
        <v>339</v>
      </c>
    </row>
    <row r="84" spans="1:4" x14ac:dyDescent="0.3">
      <c r="A84" s="28" t="s">
        <v>72</v>
      </c>
      <c r="B84" s="15">
        <v>9468.0722100000003</v>
      </c>
      <c r="C84" s="15">
        <v>-1642.6971900000001</v>
      </c>
      <c r="D84" s="15" t="s">
        <v>20</v>
      </c>
    </row>
    <row r="85" spans="1:4" x14ac:dyDescent="0.3">
      <c r="A85" s="28" t="s">
        <v>303</v>
      </c>
      <c r="B85" s="15">
        <v>-1584.89786</v>
      </c>
      <c r="C85" s="15">
        <v>-1600.00503</v>
      </c>
      <c r="D85" s="15">
        <f>IF(OR(-1584.89786="",-1600.00503="",-1584.89786=0),"-",-1600.00503/-1584.89786*100)</f>
        <v>100.95319517940418</v>
      </c>
    </row>
    <row r="86" spans="1:4" x14ac:dyDescent="0.3">
      <c r="A86" s="28" t="s">
        <v>83</v>
      </c>
      <c r="B86" s="15">
        <v>-1901.6678999999999</v>
      </c>
      <c r="C86" s="15">
        <v>-1517.3987</v>
      </c>
      <c r="D86" s="15">
        <f>IF(OR(-1901.6679="",-1517.3987="",-1901.6679=0),"-",-1517.3987/-1901.6679*100)</f>
        <v>79.793043780146888</v>
      </c>
    </row>
    <row r="87" spans="1:4" x14ac:dyDescent="0.3">
      <c r="A87" s="28" t="s">
        <v>333</v>
      </c>
      <c r="B87" s="15">
        <v>-316.37398999999999</v>
      </c>
      <c r="C87" s="15">
        <v>-1397.2245499999999</v>
      </c>
      <c r="D87" s="15" t="s">
        <v>338</v>
      </c>
    </row>
    <row r="88" spans="1:4" x14ac:dyDescent="0.3">
      <c r="A88" s="28" t="s">
        <v>291</v>
      </c>
      <c r="B88" s="15">
        <v>-352.51699000000002</v>
      </c>
      <c r="C88" s="15">
        <v>-868.53624000000002</v>
      </c>
      <c r="D88" s="15" t="s">
        <v>340</v>
      </c>
    </row>
    <row r="89" spans="1:4" x14ac:dyDescent="0.3">
      <c r="A89" s="28" t="s">
        <v>97</v>
      </c>
      <c r="B89" s="15">
        <v>92.687139999999999</v>
      </c>
      <c r="C89" s="15">
        <v>-860.24963000000002</v>
      </c>
      <c r="D89" s="15" t="s">
        <v>20</v>
      </c>
    </row>
    <row r="90" spans="1:4" x14ac:dyDescent="0.3">
      <c r="A90" s="28" t="s">
        <v>90</v>
      </c>
      <c r="B90" s="15">
        <v>-404.58166</v>
      </c>
      <c r="C90" s="15">
        <v>-628.78543999999999</v>
      </c>
      <c r="D90" s="15">
        <f>IF(OR(-404.58166="",-628.78544="",-404.58166=0),"-",-628.78544/-404.58166*100)</f>
        <v>155.41619953806111</v>
      </c>
    </row>
    <row r="91" spans="1:4" x14ac:dyDescent="0.3">
      <c r="A91" s="28" t="s">
        <v>327</v>
      </c>
      <c r="B91" s="15">
        <v>341.61083000000002</v>
      </c>
      <c r="C91" s="15">
        <v>-525.77530000000002</v>
      </c>
      <c r="D91" s="15" t="s">
        <v>20</v>
      </c>
    </row>
    <row r="92" spans="1:4" x14ac:dyDescent="0.3">
      <c r="A92" s="56" t="s">
        <v>125</v>
      </c>
      <c r="B92" s="24">
        <v>-192.24930000000001</v>
      </c>
      <c r="C92" s="24">
        <v>-480.34296000000001</v>
      </c>
      <c r="D92" s="15" t="s">
        <v>340</v>
      </c>
    </row>
    <row r="93" spans="1:4" x14ac:dyDescent="0.3">
      <c r="A93" s="28" t="s">
        <v>35</v>
      </c>
      <c r="B93" s="15">
        <v>928.78245000000004</v>
      </c>
      <c r="C93" s="15">
        <v>-442.99721</v>
      </c>
      <c r="D93" s="15" t="s">
        <v>20</v>
      </c>
    </row>
    <row r="94" spans="1:4" x14ac:dyDescent="0.3">
      <c r="A94" s="28" t="s">
        <v>118</v>
      </c>
      <c r="B94" s="15">
        <v>-651.74365999999998</v>
      </c>
      <c r="C94" s="15">
        <v>-418.85109</v>
      </c>
      <c r="D94" s="15">
        <f>IF(OR(-651.74366="",-418.85109="",-651.74366=0),"-",-418.85109/-651.74366*100)</f>
        <v>64.266231604002101</v>
      </c>
    </row>
    <row r="95" spans="1:4" x14ac:dyDescent="0.3">
      <c r="A95" s="28" t="s">
        <v>94</v>
      </c>
      <c r="B95" s="15">
        <v>-666.78141000000005</v>
      </c>
      <c r="C95" s="15">
        <v>-341.93488000000002</v>
      </c>
      <c r="D95" s="15">
        <f>IF(OR(-666.78141="",-341.93488="",-666.78141=0),"-",-341.93488/-666.78141*100)</f>
        <v>51.281405700857796</v>
      </c>
    </row>
    <row r="96" spans="1:4" x14ac:dyDescent="0.3">
      <c r="A96" s="28" t="s">
        <v>204</v>
      </c>
      <c r="B96" s="24">
        <v>-524.04486999999995</v>
      </c>
      <c r="C96" s="24">
        <v>-283.20289000000002</v>
      </c>
      <c r="D96" s="15">
        <f>IF(OR(-524.04487="",-283.20289="",-524.04487=0),"-",-283.20289/-524.04487*100)</f>
        <v>54.04172547285885</v>
      </c>
    </row>
    <row r="97" spans="1:4" x14ac:dyDescent="0.3">
      <c r="A97" s="28" t="s">
        <v>89</v>
      </c>
      <c r="B97" s="15">
        <v>-1246.9903200000001</v>
      </c>
      <c r="C97" s="15">
        <v>-282.02656000000002</v>
      </c>
      <c r="D97" s="15">
        <f>IF(OR(-1246.99032="",-282.02656="",-1246.99032=0),"-",-282.02656/-1246.99032*100)</f>
        <v>22.616579734155433</v>
      </c>
    </row>
    <row r="98" spans="1:4" x14ac:dyDescent="0.3">
      <c r="A98" s="28" t="s">
        <v>321</v>
      </c>
      <c r="B98" s="24">
        <v>-171.05193</v>
      </c>
      <c r="C98" s="15">
        <v>-245.91457</v>
      </c>
      <c r="D98" s="15">
        <f>IF(OR(-171.05193="",-245.91457="",-171.05193=0),"-",-245.91457/-171.05193*100)</f>
        <v>143.76603058498083</v>
      </c>
    </row>
    <row r="99" spans="1:4" x14ac:dyDescent="0.3">
      <c r="A99" s="28" t="s">
        <v>322</v>
      </c>
      <c r="B99" s="15">
        <v>-95.878839999999997</v>
      </c>
      <c r="C99" s="15">
        <v>-240.44147000000001</v>
      </c>
      <c r="D99" s="15" t="s">
        <v>340</v>
      </c>
    </row>
    <row r="100" spans="1:4" x14ac:dyDescent="0.3">
      <c r="A100" s="28" t="s">
        <v>335</v>
      </c>
      <c r="B100" s="15">
        <v>-100.32586999999999</v>
      </c>
      <c r="C100" s="15">
        <v>-203.37371999999999</v>
      </c>
      <c r="D100" s="15" t="s">
        <v>18</v>
      </c>
    </row>
    <row r="101" spans="1:4" x14ac:dyDescent="0.3">
      <c r="A101" s="28" t="s">
        <v>290</v>
      </c>
      <c r="B101" s="15">
        <v>-78.3887</v>
      </c>
      <c r="C101" s="15">
        <v>-202.18371999999999</v>
      </c>
      <c r="D101" s="15" t="s">
        <v>337</v>
      </c>
    </row>
    <row r="102" spans="1:4" x14ac:dyDescent="0.3">
      <c r="A102" s="28" t="s">
        <v>316</v>
      </c>
      <c r="B102" s="15">
        <v>-182.97601</v>
      </c>
      <c r="C102" s="15">
        <v>-201.19441</v>
      </c>
      <c r="D102" s="15">
        <f>IF(OR(-182.97601="",-201.19441="",-182.97601=0),"-",-201.19441/-182.97601*100)</f>
        <v>109.9567150906832</v>
      </c>
    </row>
    <row r="103" spans="1:4" x14ac:dyDescent="0.3">
      <c r="A103" s="28" t="s">
        <v>323</v>
      </c>
      <c r="B103" s="24">
        <v>-19.634049999999998</v>
      </c>
      <c r="C103" s="24">
        <v>-192.48799</v>
      </c>
      <c r="D103" s="15" t="s">
        <v>387</v>
      </c>
    </row>
    <row r="104" spans="1:4" x14ac:dyDescent="0.3">
      <c r="A104" s="28" t="s">
        <v>334</v>
      </c>
      <c r="B104" s="15">
        <v>-4.8914799999999996</v>
      </c>
      <c r="C104" s="15">
        <v>-175.30394999999999</v>
      </c>
      <c r="D104" s="15" t="s">
        <v>341</v>
      </c>
    </row>
    <row r="105" spans="1:4" x14ac:dyDescent="0.3">
      <c r="A105" s="28" t="s">
        <v>289</v>
      </c>
      <c r="B105" s="15">
        <v>152.63958</v>
      </c>
      <c r="C105" s="15">
        <v>-132.21549999999999</v>
      </c>
      <c r="D105" s="15" t="s">
        <v>20</v>
      </c>
    </row>
    <row r="106" spans="1:4" x14ac:dyDescent="0.3">
      <c r="A106" s="28" t="s">
        <v>324</v>
      </c>
      <c r="B106" s="15">
        <v>-73.457329999999999</v>
      </c>
      <c r="C106" s="15">
        <v>-130.85771</v>
      </c>
      <c r="D106" s="15" t="s">
        <v>197</v>
      </c>
    </row>
    <row r="107" spans="1:4" x14ac:dyDescent="0.3">
      <c r="A107" s="28" t="s">
        <v>328</v>
      </c>
      <c r="B107" s="24">
        <v>-75.008480000000006</v>
      </c>
      <c r="C107" s="24">
        <v>-118.41704</v>
      </c>
      <c r="D107" s="15">
        <f>IF(OR(-75.00848="",-118.41704="",-75.00848=0),"-",-118.41704/-75.00848*100)</f>
        <v>157.87153665825514</v>
      </c>
    </row>
    <row r="108" spans="1:4" x14ac:dyDescent="0.3">
      <c r="A108" s="28" t="s">
        <v>349</v>
      </c>
      <c r="B108" s="15">
        <v>-158.08321000000001</v>
      </c>
      <c r="C108" s="15">
        <v>-84.529150000000001</v>
      </c>
      <c r="D108" s="15">
        <f>IF(OR(-158.08321="",-84.52915="",-158.08321=0),"-",-84.52915/-158.08321*100)</f>
        <v>53.471301601226337</v>
      </c>
    </row>
    <row r="109" spans="1:4" x14ac:dyDescent="0.3">
      <c r="A109" s="28" t="s">
        <v>354</v>
      </c>
      <c r="B109" s="15">
        <v>-62.371220000000001</v>
      </c>
      <c r="C109" s="15">
        <v>-78.417270000000002</v>
      </c>
      <c r="D109" s="15">
        <f>IF(OR(-62.37122="",-78.41727="",-62.37122=0),"-",-78.41727/-62.37122*100)</f>
        <v>125.72668932882827</v>
      </c>
    </row>
    <row r="110" spans="1:4" x14ac:dyDescent="0.3">
      <c r="A110" s="28" t="s">
        <v>384</v>
      </c>
      <c r="B110" s="15">
        <v>-224.34120999999999</v>
      </c>
      <c r="C110" s="15">
        <v>-72.179320000000004</v>
      </c>
      <c r="D110" s="15">
        <f>IF(OR(-224.34121="",-72.17932="",-224.34121=0),"-",-72.17932/-224.34121*100)</f>
        <v>32.173901531510865</v>
      </c>
    </row>
    <row r="111" spans="1:4" x14ac:dyDescent="0.3">
      <c r="A111" s="28" t="s">
        <v>336</v>
      </c>
      <c r="B111" s="15">
        <v>-51.248860000000001</v>
      </c>
      <c r="C111" s="15">
        <v>-72.083359999999999</v>
      </c>
      <c r="D111" s="15">
        <f>IF(OR(-51.24886="",-72.08336="",-51.24886=0),"-",-72.08336/-51.24886*100)</f>
        <v>140.6535872212572</v>
      </c>
    </row>
    <row r="112" spans="1:4" x14ac:dyDescent="0.3">
      <c r="A112" s="28" t="s">
        <v>353</v>
      </c>
      <c r="B112" s="15">
        <v>-27.307790000000001</v>
      </c>
      <c r="C112" s="15">
        <v>-66.060450000000003</v>
      </c>
      <c r="D112" s="15" t="s">
        <v>281</v>
      </c>
    </row>
    <row r="113" spans="1:4" x14ac:dyDescent="0.3">
      <c r="A113" s="28" t="s">
        <v>390</v>
      </c>
      <c r="B113" s="15">
        <v>-40.399430000000002</v>
      </c>
      <c r="C113" s="15">
        <v>-62.54777</v>
      </c>
      <c r="D113" s="15">
        <f>IF(OR(-40.39943="",-62.54777="",-40.39943=0),"-",-62.54777/-40.39943*100)</f>
        <v>154.82339726080292</v>
      </c>
    </row>
    <row r="114" spans="1:4" x14ac:dyDescent="0.3">
      <c r="A114" s="28" t="s">
        <v>123</v>
      </c>
      <c r="B114" s="15">
        <v>-349.22469999999998</v>
      </c>
      <c r="C114" s="15">
        <v>65.221140000000005</v>
      </c>
      <c r="D114" s="15" t="s">
        <v>20</v>
      </c>
    </row>
    <row r="115" spans="1:4" x14ac:dyDescent="0.3">
      <c r="A115" s="28" t="s">
        <v>306</v>
      </c>
      <c r="B115" s="15">
        <v>23.839130000000001</v>
      </c>
      <c r="C115" s="15">
        <v>70.731480000000005</v>
      </c>
      <c r="D115" s="15" t="s">
        <v>342</v>
      </c>
    </row>
    <row r="116" spans="1:4" x14ac:dyDescent="0.3">
      <c r="A116" s="28" t="s">
        <v>376</v>
      </c>
      <c r="B116" s="15">
        <v>36.26829</v>
      </c>
      <c r="C116" s="15">
        <v>71.788899999999998</v>
      </c>
      <c r="D116" s="15" t="s">
        <v>18</v>
      </c>
    </row>
    <row r="117" spans="1:4" x14ac:dyDescent="0.3">
      <c r="A117" s="28" t="s">
        <v>320</v>
      </c>
      <c r="B117" s="15">
        <v>39.34469</v>
      </c>
      <c r="C117" s="15">
        <v>72.69</v>
      </c>
      <c r="D117" s="15" t="s">
        <v>197</v>
      </c>
    </row>
    <row r="118" spans="1:4" x14ac:dyDescent="0.3">
      <c r="A118" s="28" t="s">
        <v>98</v>
      </c>
      <c r="B118" s="15">
        <v>16.553100000000001</v>
      </c>
      <c r="C118" s="15">
        <v>75.478939999999994</v>
      </c>
      <c r="D118" s="15" t="s">
        <v>371</v>
      </c>
    </row>
    <row r="119" spans="1:4" x14ac:dyDescent="0.3">
      <c r="A119" s="28" t="s">
        <v>202</v>
      </c>
      <c r="B119" s="15">
        <v>1566.74233</v>
      </c>
      <c r="C119" s="15">
        <v>84.655280000000005</v>
      </c>
      <c r="D119" s="15">
        <f>IF(OR(1566.74233="",84.65528="",1566.74233=0),"-",84.65528/1566.74233*100)</f>
        <v>5.4032675558079806</v>
      </c>
    </row>
    <row r="120" spans="1:4" x14ac:dyDescent="0.3">
      <c r="A120" s="28" t="s">
        <v>313</v>
      </c>
      <c r="B120" s="15">
        <v>-9.3570799999999998</v>
      </c>
      <c r="C120" s="15">
        <v>89.193029999999993</v>
      </c>
      <c r="D120" s="15" t="s">
        <v>20</v>
      </c>
    </row>
    <row r="121" spans="1:4" x14ac:dyDescent="0.3">
      <c r="A121" s="28" t="s">
        <v>375</v>
      </c>
      <c r="B121" s="15" t="s">
        <v>365</v>
      </c>
      <c r="C121" s="15">
        <v>102.60799</v>
      </c>
      <c r="D121" s="15" t="str">
        <f>IF(OR(0="",102.60799="",0=0),"-",102.60799/0*100)</f>
        <v>-</v>
      </c>
    </row>
    <row r="122" spans="1:4" x14ac:dyDescent="0.3">
      <c r="A122" s="28" t="s">
        <v>351</v>
      </c>
      <c r="B122" s="15">
        <v>96.795190000000005</v>
      </c>
      <c r="C122" s="15">
        <v>118.28167000000001</v>
      </c>
      <c r="D122" s="15">
        <f>IF(OR(96.79519="",118.28167="",96.79519=0),"-",118.28167/96.79519*100)</f>
        <v>122.19787987398961</v>
      </c>
    </row>
    <row r="123" spans="1:4" x14ac:dyDescent="0.3">
      <c r="A123" s="28" t="s">
        <v>312</v>
      </c>
      <c r="B123" s="15">
        <v>49.647939999999998</v>
      </c>
      <c r="C123" s="15">
        <v>123.35785</v>
      </c>
      <c r="D123" s="15" t="s">
        <v>340</v>
      </c>
    </row>
    <row r="124" spans="1:4" x14ac:dyDescent="0.3">
      <c r="A124" s="28" t="s">
        <v>332</v>
      </c>
      <c r="B124" s="15">
        <v>25.53256</v>
      </c>
      <c r="C124" s="15">
        <v>144.29552000000001</v>
      </c>
      <c r="D124" s="15" t="s">
        <v>364</v>
      </c>
    </row>
    <row r="125" spans="1:4" x14ac:dyDescent="0.3">
      <c r="A125" s="28" t="s">
        <v>352</v>
      </c>
      <c r="B125" s="24">
        <v>192.04275999999999</v>
      </c>
      <c r="C125" s="24">
        <v>159.32383999999999</v>
      </c>
      <c r="D125" s="15">
        <f>IF(OR(192.04276="",159.32384="",192.04276=0),"-",159.32384/192.04276*100)</f>
        <v>82.962690184206892</v>
      </c>
    </row>
    <row r="126" spans="1:4" x14ac:dyDescent="0.3">
      <c r="A126" s="28" t="s">
        <v>292</v>
      </c>
      <c r="B126" s="15">
        <v>211.45376999999999</v>
      </c>
      <c r="C126" s="15">
        <v>176.90536</v>
      </c>
      <c r="D126" s="15">
        <f>IF(OR(211.45377="",176.90536="",211.45377=0),"-",176.90536/211.45377*100)</f>
        <v>83.661483075000277</v>
      </c>
    </row>
    <row r="127" spans="1:4" x14ac:dyDescent="0.3">
      <c r="A127" s="28" t="s">
        <v>362</v>
      </c>
      <c r="B127" s="24">
        <v>-3.526E-2</v>
      </c>
      <c r="C127" s="24">
        <v>263.26969000000003</v>
      </c>
      <c r="D127" s="15" t="s">
        <v>20</v>
      </c>
    </row>
    <row r="128" spans="1:4" x14ac:dyDescent="0.3">
      <c r="A128" s="28" t="s">
        <v>203</v>
      </c>
      <c r="B128" s="15">
        <v>691.26265999999998</v>
      </c>
      <c r="C128" s="15">
        <v>264.99056000000002</v>
      </c>
      <c r="D128" s="15">
        <f>IF(OR(691.26266="",264.99056="",691.26266=0),"-",264.99056/691.26266*100)</f>
        <v>38.334279476342616</v>
      </c>
    </row>
    <row r="129" spans="1:4" x14ac:dyDescent="0.3">
      <c r="A129" s="28" t="s">
        <v>350</v>
      </c>
      <c r="B129" s="15">
        <v>132.14837</v>
      </c>
      <c r="C129" s="15">
        <v>297.41559999999998</v>
      </c>
      <c r="D129" s="15" t="s">
        <v>344</v>
      </c>
    </row>
    <row r="130" spans="1:4" x14ac:dyDescent="0.3">
      <c r="A130" s="28" t="s">
        <v>119</v>
      </c>
      <c r="B130" s="15">
        <v>648.77143999999998</v>
      </c>
      <c r="C130" s="15">
        <v>366.93045000000001</v>
      </c>
      <c r="D130" s="15">
        <f>IF(OR(648.77144="",366.93045="",648.77144=0),"-",366.93045/648.77144*100)</f>
        <v>56.557737806707401</v>
      </c>
    </row>
    <row r="131" spans="1:4" x14ac:dyDescent="0.3">
      <c r="A131" s="28" t="s">
        <v>136</v>
      </c>
      <c r="B131" s="15">
        <v>332.14800000000002</v>
      </c>
      <c r="C131" s="15">
        <v>488.18279000000001</v>
      </c>
      <c r="D131" s="15">
        <f>IF(OR(332.148="",488.18279="",332.148=0),"-",488.18279/332.148*100)</f>
        <v>146.97748895070873</v>
      </c>
    </row>
    <row r="132" spans="1:4" x14ac:dyDescent="0.3">
      <c r="A132" s="28" t="s">
        <v>131</v>
      </c>
      <c r="B132" s="15">
        <v>722.07482000000005</v>
      </c>
      <c r="C132" s="15">
        <v>773.62537999999995</v>
      </c>
      <c r="D132" s="15">
        <f>IF(OR(722.07482="",773.62538="",722.07482=0),"-",773.62538/722.07482*100)</f>
        <v>107.13922692941983</v>
      </c>
    </row>
    <row r="133" spans="1:4" x14ac:dyDescent="0.3">
      <c r="A133" s="28" t="s">
        <v>314</v>
      </c>
      <c r="B133" s="15">
        <v>1051.38384</v>
      </c>
      <c r="C133" s="15">
        <v>1077.5953400000001</v>
      </c>
      <c r="D133" s="15">
        <f>IF(OR(1051.38384="",1077.59534="",1051.38384=0),"-",1077.59534/1051.38384*100)</f>
        <v>102.493047639005</v>
      </c>
    </row>
    <row r="134" spans="1:4" x14ac:dyDescent="0.3">
      <c r="A134" s="28" t="s">
        <v>138</v>
      </c>
      <c r="B134" s="15">
        <v>1164.05276</v>
      </c>
      <c r="C134" s="15">
        <v>1388.4671800000001</v>
      </c>
      <c r="D134" s="15">
        <f>IF(OR(1164.05276="",1388.46718="",1164.05276=0),"-",1388.46718/1164.05276*100)</f>
        <v>119.27871551114231</v>
      </c>
    </row>
    <row r="135" spans="1:4" x14ac:dyDescent="0.3">
      <c r="A135" s="28" t="s">
        <v>65</v>
      </c>
      <c r="B135" s="15">
        <v>-93.175470000000004</v>
      </c>
      <c r="C135" s="15">
        <v>1431.3783900000001</v>
      </c>
      <c r="D135" s="15" t="s">
        <v>20</v>
      </c>
    </row>
    <row r="136" spans="1:4" x14ac:dyDescent="0.3">
      <c r="A136" s="28" t="s">
        <v>92</v>
      </c>
      <c r="B136" s="15">
        <v>1218.5847699999999</v>
      </c>
      <c r="C136" s="15">
        <v>1777.6987200000001</v>
      </c>
      <c r="D136" s="15">
        <f>IF(OR(1218.58477="",1777.69872="",1218.58477=0),"-",1777.69872/1218.58477*100)</f>
        <v>145.88223681804266</v>
      </c>
    </row>
    <row r="137" spans="1:4" x14ac:dyDescent="0.3">
      <c r="A137" s="28" t="s">
        <v>74</v>
      </c>
      <c r="B137" s="15">
        <v>2222.3231099999998</v>
      </c>
      <c r="C137" s="15">
        <v>2284.8811300000002</v>
      </c>
      <c r="D137" s="15">
        <f>IF(OR(2222.32311="",2284.88113="",2222.32311=0),"-",2284.88113/2222.32311*100)</f>
        <v>102.81498310117472</v>
      </c>
    </row>
    <row r="138" spans="1:4" x14ac:dyDescent="0.3">
      <c r="A138" s="28" t="s">
        <v>116</v>
      </c>
      <c r="B138" s="15">
        <v>4217.4600499999997</v>
      </c>
      <c r="C138" s="15">
        <v>4061.8679099999999</v>
      </c>
      <c r="D138" s="15">
        <f>IF(OR(4217.46005="",4061.86791="",4217.46005=0),"-",4061.86791/4217.46005*100)</f>
        <v>96.310761971533083</v>
      </c>
    </row>
    <row r="139" spans="1:4" x14ac:dyDescent="0.3">
      <c r="A139" s="28" t="s">
        <v>66</v>
      </c>
      <c r="B139" s="15">
        <v>234.53048000000001</v>
      </c>
      <c r="C139" s="15">
        <v>4477.2555499999999</v>
      </c>
      <c r="D139" s="15" t="s">
        <v>394</v>
      </c>
    </row>
    <row r="140" spans="1:4" x14ac:dyDescent="0.3">
      <c r="A140" s="28" t="s">
        <v>56</v>
      </c>
      <c r="B140" s="15">
        <v>15427.604369999999</v>
      </c>
      <c r="C140" s="15">
        <v>7932.5236999999997</v>
      </c>
      <c r="D140" s="15">
        <f>IF(OR(15427.60437="",7932.5237="",15427.60437=0),"-",7932.5237/15427.60437*100)</f>
        <v>51.417728311890855</v>
      </c>
    </row>
    <row r="141" spans="1:4" x14ac:dyDescent="0.3">
      <c r="A141" s="28" t="s">
        <v>55</v>
      </c>
      <c r="B141" s="15">
        <v>5697.8285500000002</v>
      </c>
      <c r="C141" s="15">
        <v>16689.835129999999</v>
      </c>
      <c r="D141" s="15" t="s">
        <v>348</v>
      </c>
    </row>
    <row r="142" spans="1:4" x14ac:dyDescent="0.3">
      <c r="A142" s="28" t="s">
        <v>58</v>
      </c>
      <c r="B142" s="15">
        <v>24619.909159999999</v>
      </c>
      <c r="C142" s="15">
        <v>17718.814009999998</v>
      </c>
      <c r="D142" s="15">
        <f>IF(OR(24619.90916="",17718.81401="",24619.90916=0),"-",17718.81401/24619.90916*100)</f>
        <v>71.969453237413973</v>
      </c>
    </row>
    <row r="143" spans="1:4" x14ac:dyDescent="0.3">
      <c r="A143" s="28" t="s">
        <v>299</v>
      </c>
      <c r="B143" s="15">
        <v>81386.543820000006</v>
      </c>
      <c r="C143" s="15">
        <v>28945.651430000002</v>
      </c>
      <c r="D143" s="15">
        <f>IF(OR(81386.54382="",28945.65143="",81386.54382=0),"-",28945.65143/81386.54382*100)</f>
        <v>35.5656476751466</v>
      </c>
    </row>
    <row r="144" spans="1:4" x14ac:dyDescent="0.3">
      <c r="A144" s="29" t="s">
        <v>70</v>
      </c>
      <c r="B144" s="19">
        <v>-4722.3595800000003</v>
      </c>
      <c r="C144" s="19">
        <v>47460.181210000002</v>
      </c>
      <c r="D144" s="19" t="s">
        <v>20</v>
      </c>
    </row>
    <row r="145" spans="1:7" x14ac:dyDescent="0.3">
      <c r="A145" s="20" t="s">
        <v>280</v>
      </c>
      <c r="B145" s="21"/>
      <c r="C145" s="21"/>
      <c r="D145" s="21"/>
      <c r="E145" s="21"/>
      <c r="F145" s="2"/>
      <c r="G145" s="2"/>
    </row>
  </sheetData>
  <sortState xmlns:xlrd2="http://schemas.microsoft.com/office/spreadsheetml/2017/richdata2" ref="A47:G112">
    <sortCondition ref="C47:C112"/>
  </sortState>
  <mergeCells count="2">
    <mergeCell ref="A1:D1"/>
    <mergeCell ref="A2:D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0"/>
  <sheetViews>
    <sheetView workbookViewId="0">
      <selection sqref="A1:E1"/>
    </sheetView>
  </sheetViews>
  <sheetFormatPr defaultRowHeight="15.6" x14ac:dyDescent="0.3"/>
  <cols>
    <col min="1" max="1" width="31" customWidth="1"/>
    <col min="2" max="2" width="14.19921875" customWidth="1"/>
    <col min="3" max="3" width="13.8984375" customWidth="1"/>
    <col min="4" max="5" width="11.59765625" customWidth="1"/>
  </cols>
  <sheetData>
    <row r="1" spans="1:5" ht="16.2" x14ac:dyDescent="0.35">
      <c r="A1" s="73" t="s">
        <v>287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416</v>
      </c>
      <c r="C3" s="77"/>
      <c r="D3" s="78" t="s">
        <v>104</v>
      </c>
      <c r="E3" s="85"/>
    </row>
    <row r="4" spans="1:5" ht="28.5" customHeight="1" x14ac:dyDescent="0.3">
      <c r="A4" s="75"/>
      <c r="B4" s="49" t="s">
        <v>115</v>
      </c>
      <c r="C4" s="48" t="s">
        <v>379</v>
      </c>
      <c r="D4" s="49">
        <v>2021</v>
      </c>
      <c r="E4" s="47">
        <v>2022</v>
      </c>
    </row>
    <row r="5" spans="1:5" ht="15.75" customHeight="1" x14ac:dyDescent="0.3">
      <c r="A5" s="64" t="s">
        <v>127</v>
      </c>
      <c r="B5" s="63">
        <v>4335076.1973400004</v>
      </c>
      <c r="C5" s="61">
        <v>137.86197933661003</v>
      </c>
      <c r="D5" s="66">
        <v>100</v>
      </c>
      <c r="E5" s="66">
        <v>100</v>
      </c>
    </row>
    <row r="6" spans="1:5" ht="15.75" customHeight="1" x14ac:dyDescent="0.3">
      <c r="A6" s="34" t="s">
        <v>411</v>
      </c>
      <c r="B6" s="57"/>
      <c r="C6" s="16"/>
      <c r="D6" s="30"/>
      <c r="E6" s="30"/>
    </row>
    <row r="7" spans="1:5" x14ac:dyDescent="0.3">
      <c r="A7" s="18" t="s">
        <v>106</v>
      </c>
      <c r="B7" s="15">
        <v>580329.37283000001</v>
      </c>
      <c r="C7" s="15" t="s">
        <v>101</v>
      </c>
      <c r="D7" s="15">
        <f>IF(297772.0632="","-",297772.0632/3144504.53867*100)</f>
        <v>9.4696019528070288</v>
      </c>
      <c r="E7" s="15">
        <f>IF(580329.37283="","-",580329.37283/4335076.19734*100)</f>
        <v>13.386832120415546</v>
      </c>
    </row>
    <row r="8" spans="1:5" x14ac:dyDescent="0.3">
      <c r="A8" s="18" t="s">
        <v>107</v>
      </c>
      <c r="B8" s="15">
        <v>340295.53788999998</v>
      </c>
      <c r="C8" s="15" t="s">
        <v>101</v>
      </c>
      <c r="D8" s="15">
        <f>IF(176635.32405="","-",176635.32405/3144504.53867*100)</f>
        <v>5.6172704436518224</v>
      </c>
      <c r="E8" s="15">
        <f>IF(340295.53789="","-",340295.53789/4335076.19734*100)</f>
        <v>7.8498167598254689</v>
      </c>
    </row>
    <row r="9" spans="1:5" x14ac:dyDescent="0.3">
      <c r="A9" s="18" t="s">
        <v>108</v>
      </c>
      <c r="B9" s="15">
        <v>3343616.2279500002</v>
      </c>
      <c r="C9" s="15">
        <v>127.01038880176216</v>
      </c>
      <c r="D9" s="15">
        <f>IF(2632553.33638="","-",2632553.33638/3144504.53867*100)</f>
        <v>83.719177504938997</v>
      </c>
      <c r="E9" s="15">
        <f>IF(3343616.22795="","-",3343616.22795/4335076.19734*100)</f>
        <v>77.129353112677478</v>
      </c>
    </row>
    <row r="10" spans="1:5" x14ac:dyDescent="0.3">
      <c r="A10" s="18" t="s">
        <v>109</v>
      </c>
      <c r="B10" s="15">
        <v>47152.815949999997</v>
      </c>
      <c r="C10" s="15">
        <v>130.25316240805392</v>
      </c>
      <c r="D10" s="15">
        <f>IF(36200.89914="","-",36200.89914/3144504.53867*100)</f>
        <v>1.1512433419896266</v>
      </c>
      <c r="E10" s="15">
        <f>IF(47152.81595="","-",47152.81595/4335076.19734*100)</f>
        <v>1.0877044324833998</v>
      </c>
    </row>
    <row r="11" spans="1:5" x14ac:dyDescent="0.3">
      <c r="A11" s="18" t="s">
        <v>355</v>
      </c>
      <c r="B11" s="15">
        <v>1309.26647</v>
      </c>
      <c r="C11" s="15">
        <v>114.79755997600563</v>
      </c>
      <c r="D11" s="15">
        <f>IF(1140.50026="","-",1140.50026/3144504.53867*100)</f>
        <v>3.6269633132168612E-2</v>
      </c>
      <c r="E11" s="15">
        <f>IF(1309.26647="","-",1309.26647/4335076.19734*100)</f>
        <v>3.0201694512390926E-2</v>
      </c>
    </row>
    <row r="12" spans="1:5" x14ac:dyDescent="0.3">
      <c r="A12" s="18" t="s">
        <v>356</v>
      </c>
      <c r="B12" s="15">
        <v>21947.580379999999</v>
      </c>
      <c r="C12" s="15" t="s">
        <v>395</v>
      </c>
      <c r="D12" s="15">
        <f>IF(6.19387="","-",6.19387/3144504.53867*100)</f>
        <v>1.9697443345461859E-4</v>
      </c>
      <c r="E12" s="15">
        <f>IF(21947.58038="","-",21947.58038/4335076.19734*100)</f>
        <v>0.5062789990512051</v>
      </c>
    </row>
    <row r="13" spans="1:5" x14ac:dyDescent="0.3">
      <c r="A13" s="18" t="s">
        <v>112</v>
      </c>
      <c r="B13" s="15">
        <v>425.39587</v>
      </c>
      <c r="C13" s="15" t="s">
        <v>196</v>
      </c>
      <c r="D13" s="15">
        <f>IF(196.22177="","-",196.22177/3144504.53867*100)</f>
        <v>6.2401490469145256E-3</v>
      </c>
      <c r="E13" s="15">
        <f>IF(425.39587="","-",425.39587/4335076.19734*100)</f>
        <v>9.8128810345022906E-3</v>
      </c>
    </row>
    <row r="14" spans="1:5" x14ac:dyDescent="0.3">
      <c r="A14" s="27" t="s">
        <v>199</v>
      </c>
      <c r="B14" s="17">
        <v>2540421.5550600002</v>
      </c>
      <c r="C14" s="17">
        <v>132.34588380140423</v>
      </c>
      <c r="D14" s="17">
        <f>IF(1919531.97341="","-",1919531.97341/3144504.53867*100)</f>
        <v>61.044019806754214</v>
      </c>
      <c r="E14" s="17">
        <f>IF(2540421.55506="","-",2540421.55506/4335076.19734*100)</f>
        <v>58.601543304332246</v>
      </c>
    </row>
    <row r="15" spans="1:5" x14ac:dyDescent="0.3">
      <c r="A15" s="18" t="s">
        <v>120</v>
      </c>
      <c r="B15" s="17"/>
      <c r="C15" s="17"/>
      <c r="D15" s="17"/>
      <c r="E15" s="17"/>
    </row>
    <row r="16" spans="1:5" x14ac:dyDescent="0.3">
      <c r="A16" s="18" t="s">
        <v>106</v>
      </c>
      <c r="B16" s="15">
        <v>399678.09935999999</v>
      </c>
      <c r="C16" s="15" t="s">
        <v>302</v>
      </c>
      <c r="D16" s="15">
        <f>IF(141729.57845="","-",141729.57845/3144504.53867*100)</f>
        <v>4.5072149429921309</v>
      </c>
      <c r="E16" s="15">
        <f>IF(399678.09936="","-",399678.09936/4335076.19734*100)</f>
        <v>9.2196326238796491</v>
      </c>
    </row>
    <row r="17" spans="1:6" x14ac:dyDescent="0.3">
      <c r="A17" s="18" t="s">
        <v>107</v>
      </c>
      <c r="B17" s="15">
        <v>53683.498379999997</v>
      </c>
      <c r="C17" s="15">
        <v>142.60984159075187</v>
      </c>
      <c r="D17" s="15">
        <f>IF(37643.61406="","-",37643.61406/3144504.53867*100)</f>
        <v>1.197123858371715</v>
      </c>
      <c r="E17" s="15">
        <f>IF(53683.49838="","-",53683.49838/4335076.19734*100)</f>
        <v>1.2383518982420689</v>
      </c>
    </row>
    <row r="18" spans="1:6" x14ac:dyDescent="0.3">
      <c r="A18" s="18" t="s">
        <v>108</v>
      </c>
      <c r="B18" s="15">
        <v>2078834.98875</v>
      </c>
      <c r="C18" s="15">
        <v>119.87880406345626</v>
      </c>
      <c r="D18" s="15">
        <f>IF(1734113.88693="","-",1734113.88693/3144504.53867*100)</f>
        <v>55.14744423499738</v>
      </c>
      <c r="E18" s="15">
        <f>IF(2078834.98875="","-",2078834.98875/4335076.19734*100)</f>
        <v>47.953828124764485</v>
      </c>
    </row>
    <row r="19" spans="1:6" x14ac:dyDescent="0.3">
      <c r="A19" s="18" t="s">
        <v>109</v>
      </c>
      <c r="B19" s="15">
        <v>7416.8756400000002</v>
      </c>
      <c r="C19" s="15">
        <v>149.67613683954033</v>
      </c>
      <c r="D19" s="15">
        <f>IF(4955.28265="","-",4955.28265/3144504.53867*100)</f>
        <v>0.15758548251597967</v>
      </c>
      <c r="E19" s="15">
        <f>IF(7416.87564="","-",7416.87564/4335076.19734*100)</f>
        <v>0.17108985638017135</v>
      </c>
    </row>
    <row r="20" spans="1:6" x14ac:dyDescent="0.3">
      <c r="A20" s="18" t="s">
        <v>110</v>
      </c>
      <c r="B20" s="15">
        <v>602.01034000000004</v>
      </c>
      <c r="C20" s="15">
        <v>62.392463849447957</v>
      </c>
      <c r="D20" s="15">
        <f>IF(964.87669="","-",964.87669/3144504.53867*100)</f>
        <v>3.0684537997458395E-2</v>
      </c>
      <c r="E20" s="15">
        <f>IF(602.01034="","-",602.01034/4335076.19734*100)</f>
        <v>1.3886960980510402E-2</v>
      </c>
    </row>
    <row r="21" spans="1:6" x14ac:dyDescent="0.3">
      <c r="A21" s="18" t="s">
        <v>356</v>
      </c>
      <c r="B21" s="15">
        <v>25.98704</v>
      </c>
      <c r="C21" s="15" t="s">
        <v>365</v>
      </c>
      <c r="D21" s="15" t="s">
        <v>365</v>
      </c>
      <c r="E21" s="15">
        <f>IF(25.98704="","-",25.98704/4335076.19734*100)</f>
        <v>5.9945982070501154E-4</v>
      </c>
    </row>
    <row r="22" spans="1:6" x14ac:dyDescent="0.3">
      <c r="A22" s="18" t="s">
        <v>112</v>
      </c>
      <c r="B22" s="15">
        <v>180.09555</v>
      </c>
      <c r="C22" s="15">
        <v>144.38295924716334</v>
      </c>
      <c r="D22" s="15">
        <f>IF(124.73463="","-",124.73463/3144504.53867*100)</f>
        <v>3.966749879545658E-3</v>
      </c>
      <c r="E22" s="15">
        <f>IF(180.09555="","-",180.09555/4335076.19734*100)</f>
        <v>4.1543802646538605E-3</v>
      </c>
    </row>
    <row r="23" spans="1:6" x14ac:dyDescent="0.3">
      <c r="A23" s="27" t="s">
        <v>200</v>
      </c>
      <c r="B23" s="17">
        <v>1043060.17391</v>
      </c>
      <c r="C23" s="17" t="s">
        <v>196</v>
      </c>
      <c r="D23" s="17">
        <f>IF(466207.47347="","-",466207.47347/3144504.53867*100)</f>
        <v>14.826102736909617</v>
      </c>
      <c r="E23" s="17">
        <f>IF(1043060.17391="","-",1043060.17391/4335076.19734*100)</f>
        <v>24.060942101779457</v>
      </c>
    </row>
    <row r="24" spans="1:6" x14ac:dyDescent="0.3">
      <c r="A24" s="18" t="s">
        <v>120</v>
      </c>
      <c r="B24" s="17"/>
      <c r="C24" s="17"/>
      <c r="D24" s="17"/>
      <c r="E24" s="17"/>
    </row>
    <row r="25" spans="1:6" x14ac:dyDescent="0.3">
      <c r="A25" s="18" t="s">
        <v>106</v>
      </c>
      <c r="B25" s="15">
        <v>441.99698000000001</v>
      </c>
      <c r="C25" s="15">
        <v>4.2840973809902811</v>
      </c>
      <c r="D25" s="15">
        <f>IF(10317.1553="","-",10317.1553/3144504.53867*100)</f>
        <v>0.3281011419485419</v>
      </c>
      <c r="E25" s="15">
        <f>IF(441.99698="","-",441.99698/4335076.19734*100)</f>
        <v>1.0195829551305442E-2</v>
      </c>
    </row>
    <row r="26" spans="1:6" x14ac:dyDescent="0.3">
      <c r="A26" s="18" t="s">
        <v>107</v>
      </c>
      <c r="B26" s="15">
        <v>185232.73785</v>
      </c>
      <c r="C26" s="15" t="s">
        <v>396</v>
      </c>
      <c r="D26" s="15">
        <f>IF(12524.79505="","-",12524.79505/3144504.53867*100)</f>
        <v>0.39830742477787895</v>
      </c>
      <c r="E26" s="15">
        <f>IF(185232.73785="","-",185232.73785/4335076.19734*100)</f>
        <v>4.2728830917357037</v>
      </c>
    </row>
    <row r="27" spans="1:6" x14ac:dyDescent="0.3">
      <c r="A27" s="18" t="s">
        <v>108</v>
      </c>
      <c r="B27" s="15">
        <v>824341.96287000005</v>
      </c>
      <c r="C27" s="15" t="s">
        <v>101</v>
      </c>
      <c r="D27" s="15">
        <f>IF(433140.74559="","-",433140.74559/3144504.53867*100)</f>
        <v>13.774530781030492</v>
      </c>
      <c r="E27" s="15">
        <f>IF(824341.96287="","-",824341.96287/4335076.19734*100)</f>
        <v>19.015627992324927</v>
      </c>
      <c r="F27" s="3"/>
    </row>
    <row r="28" spans="1:6" x14ac:dyDescent="0.3">
      <c r="A28" s="18" t="s">
        <v>109</v>
      </c>
      <c r="B28" s="15">
        <v>10840.61269</v>
      </c>
      <c r="C28" s="15">
        <v>107.29916349152997</v>
      </c>
      <c r="D28" s="15">
        <f>IF(10103.16608="","-",10103.16608/3144504.53867*100)</f>
        <v>0.32129596112057884</v>
      </c>
      <c r="E28" s="15">
        <f>IF(10840.61269="","-",10840.61269/4335076.19734*100)</f>
        <v>0.25006740819577272</v>
      </c>
    </row>
    <row r="29" spans="1:6" x14ac:dyDescent="0.3">
      <c r="A29" s="18" t="s">
        <v>110</v>
      </c>
      <c r="B29" s="15">
        <v>65.404730000000001</v>
      </c>
      <c r="C29" s="15">
        <v>132.00324454234314</v>
      </c>
      <c r="D29" s="15">
        <f>IF(49.54782="","-",49.54782/3144504.53867*100)</f>
        <v>1.575695610888091E-3</v>
      </c>
      <c r="E29" s="15">
        <f>IF(65.40473="","-",65.40473/4335076.19734*100)</f>
        <v>1.5087331115455893E-3</v>
      </c>
    </row>
    <row r="30" spans="1:6" x14ac:dyDescent="0.3">
      <c r="A30" s="18" t="s">
        <v>111</v>
      </c>
      <c r="B30" s="15">
        <v>21921.593339999999</v>
      </c>
      <c r="C30" s="15" t="s">
        <v>397</v>
      </c>
      <c r="D30" s="15">
        <f>IF(6.19387="","-",6.19387/3144504.53867*100)</f>
        <v>1.9697443345461859E-4</v>
      </c>
      <c r="E30" s="15">
        <f>IF(21921.59334="","-",21921.59334/4335076.19734*100)</f>
        <v>0.50567953923050013</v>
      </c>
    </row>
    <row r="31" spans="1:6" x14ac:dyDescent="0.3">
      <c r="A31" s="18" t="s">
        <v>112</v>
      </c>
      <c r="B31" s="15">
        <v>215.86545000000001</v>
      </c>
      <c r="C31" s="15" t="s">
        <v>345</v>
      </c>
      <c r="D31" s="15">
        <f>IF(65.86976="","-",65.86976/3144504.53867*100)</f>
        <v>2.094757987783356E-3</v>
      </c>
      <c r="E31" s="15">
        <f>IF(215.86545="","-",215.86545/4335076.19734*100)</f>
        <v>4.9795076297033695E-3</v>
      </c>
    </row>
    <row r="32" spans="1:6" x14ac:dyDescent="0.3">
      <c r="A32" s="27" t="s">
        <v>288</v>
      </c>
      <c r="B32" s="17">
        <v>751594.46837000002</v>
      </c>
      <c r="C32" s="17">
        <v>99.054961344744555</v>
      </c>
      <c r="D32" s="17">
        <f>IF(758765.09179="","-",758765.09179/3144504.53867*100)</f>
        <v>24.129877456336168</v>
      </c>
      <c r="E32" s="17">
        <f>IF(751594.46837="","-",751594.46837/4335076.19734*100)</f>
        <v>17.337514593888287</v>
      </c>
    </row>
    <row r="33" spans="1:5" x14ac:dyDescent="0.3">
      <c r="A33" s="18" t="s">
        <v>120</v>
      </c>
      <c r="B33" s="17"/>
      <c r="C33" s="17"/>
      <c r="D33" s="17"/>
      <c r="E33" s="17"/>
    </row>
    <row r="34" spans="1:5" x14ac:dyDescent="0.3">
      <c r="A34" s="18" t="s">
        <v>106</v>
      </c>
      <c r="B34" s="15">
        <v>180209.27648999999</v>
      </c>
      <c r="C34" s="15">
        <v>123.66366037404075</v>
      </c>
      <c r="D34" s="15">
        <f>IF(145725.32945="","-",145725.32945/3144504.53867*100)</f>
        <v>4.6342858678663568</v>
      </c>
      <c r="E34" s="15">
        <f>IF(180209.27649="","-",180209.27649/4335076.19734*100)</f>
        <v>4.1570036669845916</v>
      </c>
    </row>
    <row r="35" spans="1:5" x14ac:dyDescent="0.3">
      <c r="A35" s="18" t="s">
        <v>107</v>
      </c>
      <c r="B35" s="15">
        <v>101379.30166</v>
      </c>
      <c r="C35" s="15">
        <v>80.162706355332233</v>
      </c>
      <c r="D35" s="15">
        <f>IF(126466.91494="","-",126466.91494/3144504.53867*100)</f>
        <v>4.0218391605022283</v>
      </c>
      <c r="E35" s="15">
        <f>IF(101379.30166="","-",101379.30166/4335076.19734*100)</f>
        <v>2.3385817698476963</v>
      </c>
    </row>
    <row r="36" spans="1:5" x14ac:dyDescent="0.3">
      <c r="A36" s="18" t="s">
        <v>108</v>
      </c>
      <c r="B36" s="15">
        <v>440439.27633000002</v>
      </c>
      <c r="C36" s="15">
        <v>94.657318551766323</v>
      </c>
      <c r="D36" s="15">
        <f>IF(465298.70386="","-",465298.70386/3144504.53867*100)</f>
        <v>14.797202488911108</v>
      </c>
      <c r="E36" s="15">
        <f>IF(440439.27633="","-",440439.27633/4335076.19734*100)</f>
        <v>10.159896995588065</v>
      </c>
    </row>
    <row r="37" spans="1:5" x14ac:dyDescent="0.3">
      <c r="A37" s="18" t="s">
        <v>109</v>
      </c>
      <c r="B37" s="15">
        <v>28895.32762</v>
      </c>
      <c r="C37" s="15">
        <v>136.66971925984996</v>
      </c>
      <c r="D37" s="15">
        <f>IF(21142.45041="","-",21142.45041/3144504.53867*100)</f>
        <v>0.67236189835306814</v>
      </c>
      <c r="E37" s="15">
        <f>IF(28895.32762="","-",28895.32762/4335076.19734*100)</f>
        <v>0.66654716790745572</v>
      </c>
    </row>
    <row r="38" spans="1:5" x14ac:dyDescent="0.3">
      <c r="A38" s="18" t="s">
        <v>110</v>
      </c>
      <c r="B38" s="15">
        <v>641.85140000000001</v>
      </c>
      <c r="C38" s="15" t="s">
        <v>361</v>
      </c>
      <c r="D38" s="15">
        <f>IF(126.07575="","-",126.07575/3144504.53867*100)</f>
        <v>4.0093995238221223E-3</v>
      </c>
      <c r="E38" s="15">
        <f>IF(641.8514="","-",641.8514/4335076.19734*100)</f>
        <v>1.480600042033493E-2</v>
      </c>
    </row>
    <row r="39" spans="1:5" x14ac:dyDescent="0.3">
      <c r="A39" s="40" t="s">
        <v>112</v>
      </c>
      <c r="B39" s="58">
        <v>29.43487</v>
      </c>
      <c r="C39" s="19" t="s">
        <v>398</v>
      </c>
      <c r="D39" s="19">
        <f>IF(5.61738="","-",5.61738/3144504.53867*100)</f>
        <v>1.7864117958551039E-4</v>
      </c>
      <c r="E39" s="19">
        <f>IF(29.43487="","-",29.43487/4335076.19734*100)</f>
        <v>6.789931401450617E-4</v>
      </c>
    </row>
    <row r="40" spans="1:5" x14ac:dyDescent="0.3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workbookViewId="0">
      <selection sqref="A1:E1"/>
    </sheetView>
  </sheetViews>
  <sheetFormatPr defaultRowHeight="15.6" x14ac:dyDescent="0.3"/>
  <cols>
    <col min="1" max="1" width="32.5" customWidth="1"/>
    <col min="2" max="2" width="13.8984375" customWidth="1"/>
    <col min="3" max="3" width="13.3984375" customWidth="1"/>
    <col min="4" max="4" width="11.3984375" customWidth="1"/>
    <col min="5" max="5" width="11.09765625" customWidth="1"/>
  </cols>
  <sheetData>
    <row r="1" spans="1:5" ht="16.2" x14ac:dyDescent="0.35">
      <c r="A1" s="73" t="s">
        <v>286</v>
      </c>
      <c r="B1" s="73"/>
      <c r="C1" s="73"/>
      <c r="D1" s="73"/>
      <c r="E1" s="73"/>
    </row>
    <row r="2" spans="1:5" ht="16.2" x14ac:dyDescent="0.35">
      <c r="A2" s="86"/>
      <c r="B2" s="86"/>
      <c r="C2" s="86"/>
      <c r="D2" s="86"/>
      <c r="E2" s="86"/>
    </row>
    <row r="3" spans="1:5" ht="18.75" customHeight="1" x14ac:dyDescent="0.3">
      <c r="A3" s="74"/>
      <c r="B3" s="76" t="s">
        <v>416</v>
      </c>
      <c r="C3" s="77"/>
      <c r="D3" s="78" t="s">
        <v>104</v>
      </c>
      <c r="E3" s="85"/>
    </row>
    <row r="4" spans="1:5" ht="28.5" customHeight="1" x14ac:dyDescent="0.3">
      <c r="A4" s="75"/>
      <c r="B4" s="49" t="s">
        <v>115</v>
      </c>
      <c r="C4" s="48" t="s">
        <v>417</v>
      </c>
      <c r="D4" s="49">
        <v>2021</v>
      </c>
      <c r="E4" s="47">
        <v>2022</v>
      </c>
    </row>
    <row r="5" spans="1:5" ht="15.75" customHeight="1" x14ac:dyDescent="0.3">
      <c r="A5" s="64" t="s">
        <v>121</v>
      </c>
      <c r="B5" s="63">
        <v>9219063.1703600008</v>
      </c>
      <c r="C5" s="63">
        <v>128.45715403610296</v>
      </c>
      <c r="D5" s="65">
        <v>100</v>
      </c>
      <c r="E5" s="65">
        <v>100</v>
      </c>
    </row>
    <row r="6" spans="1:5" ht="15.75" customHeight="1" x14ac:dyDescent="0.3">
      <c r="A6" s="18" t="s">
        <v>120</v>
      </c>
      <c r="B6" s="31"/>
      <c r="C6" s="17"/>
      <c r="D6" s="31"/>
      <c r="E6" s="31"/>
    </row>
    <row r="7" spans="1:5" x14ac:dyDescent="0.3">
      <c r="A7" s="18" t="s">
        <v>106</v>
      </c>
      <c r="B7" s="15">
        <v>662917.70851000003</v>
      </c>
      <c r="C7" s="15" t="s">
        <v>348</v>
      </c>
      <c r="D7" s="15">
        <f>IF(229367.36595="","-",229367.36595/7176761.18511*100)</f>
        <v>3.1959732257202651</v>
      </c>
      <c r="E7" s="15">
        <f>IF(662917.70851="","-",662917.70851/9219063.17036*100)</f>
        <v>7.1907274769667655</v>
      </c>
    </row>
    <row r="8" spans="1:5" x14ac:dyDescent="0.3">
      <c r="A8" s="18" t="s">
        <v>107</v>
      </c>
      <c r="B8" s="15">
        <v>474490.94368999999</v>
      </c>
      <c r="C8" s="15">
        <v>150.52611615408972</v>
      </c>
      <c r="D8" s="15">
        <f>IF(315221.67436="","-",315221.67436/7176761.18511*100)</f>
        <v>4.3922553116858181</v>
      </c>
      <c r="E8" s="15">
        <f>IF(474490.94369="","-",474490.94369/9219063.17036*100)</f>
        <v>5.1468455625244545</v>
      </c>
    </row>
    <row r="9" spans="1:5" x14ac:dyDescent="0.3">
      <c r="A9" s="18" t="s">
        <v>108</v>
      </c>
      <c r="B9" s="15">
        <v>6913625.0474800002</v>
      </c>
      <c r="C9" s="15">
        <v>115.01677769682001</v>
      </c>
      <c r="D9" s="15">
        <f>IF(6010970.9087="","-",6010970.9087/7176761.18511*100)</f>
        <v>83.756039161108959</v>
      </c>
      <c r="E9" s="15">
        <f>IF(6913625.04748="","-",6913625.04748/9219063.17036*100)</f>
        <v>74.992707173412569</v>
      </c>
    </row>
    <row r="10" spans="1:5" x14ac:dyDescent="0.3">
      <c r="A10" s="18" t="s">
        <v>109</v>
      </c>
      <c r="B10" s="15">
        <v>153226.41808999999</v>
      </c>
      <c r="C10" s="15">
        <v>85.194246507034933</v>
      </c>
      <c r="D10" s="15">
        <f>IF(179855.35922="","-",179855.35922/7176761.18511*100)</f>
        <v>2.5060797563273431</v>
      </c>
      <c r="E10" s="15">
        <f>IF(153226.41809="","-",153226.41809/9219063.17036*100)</f>
        <v>1.6620606156885307</v>
      </c>
    </row>
    <row r="11" spans="1:5" x14ac:dyDescent="0.3">
      <c r="A11" s="18" t="s">
        <v>110</v>
      </c>
      <c r="B11" s="15">
        <v>9799.5989499999996</v>
      </c>
      <c r="C11" s="15">
        <v>84.403801946738284</v>
      </c>
      <c r="D11" s="15">
        <f>IF(11610.37622="","-",11610.37622/7176761.18511*100)</f>
        <v>0.16177738008182091</v>
      </c>
      <c r="E11" s="15">
        <f>IF(9799.59895="","-",9799.59895/9219063.17036*100)</f>
        <v>0.10629712335095463</v>
      </c>
    </row>
    <row r="12" spans="1:5" x14ac:dyDescent="0.3">
      <c r="A12" s="18" t="s">
        <v>111</v>
      </c>
      <c r="B12" s="15">
        <v>950557.49734999996</v>
      </c>
      <c r="C12" s="15" t="s">
        <v>340</v>
      </c>
      <c r="D12" s="15">
        <f>IF(384327.12151="","-",384327.12151/7176761.18511*100)</f>
        <v>5.3551610761046851</v>
      </c>
      <c r="E12" s="15">
        <f>IF(950557.49735="","-",950557.49735/9219063.17036*100)</f>
        <v>10.310781906844023</v>
      </c>
    </row>
    <row r="13" spans="1:5" x14ac:dyDescent="0.3">
      <c r="A13" s="18" t="s">
        <v>112</v>
      </c>
      <c r="B13" s="15">
        <v>54445.956290000002</v>
      </c>
      <c r="C13" s="15">
        <v>119.90288424553907</v>
      </c>
      <c r="D13" s="15">
        <f>IF(45408.37915="","-",45408.37915/7176761.18511*100)</f>
        <v>0.63271408897109649</v>
      </c>
      <c r="E13" s="15">
        <f>IF(54445.95629="","-",54445.95629/9219063.17036*100)</f>
        <v>0.59058014121269886</v>
      </c>
    </row>
    <row r="14" spans="1:5" x14ac:dyDescent="0.3">
      <c r="A14" s="27" t="s">
        <v>199</v>
      </c>
      <c r="B14" s="30">
        <v>4364852.6333100004</v>
      </c>
      <c r="C14" s="17">
        <v>138.61116921714608</v>
      </c>
      <c r="D14" s="17">
        <f>IF(3148990.55968="","-",3148990.55968/7176761.18511*100)</f>
        <v>43.877599915312423</v>
      </c>
      <c r="E14" s="17">
        <f>IF(4364852.63331="","-",4364852.63331/9219063.17036*100)</f>
        <v>47.345945598283109</v>
      </c>
    </row>
    <row r="15" spans="1:5" x14ac:dyDescent="0.3">
      <c r="A15" s="18" t="s">
        <v>120</v>
      </c>
      <c r="B15" s="24"/>
      <c r="C15" s="17"/>
      <c r="D15" s="17"/>
      <c r="E15" s="17"/>
    </row>
    <row r="16" spans="1:5" x14ac:dyDescent="0.3">
      <c r="A16" s="18" t="s">
        <v>106</v>
      </c>
      <c r="B16" s="15">
        <v>209616.02591999999</v>
      </c>
      <c r="C16" s="15" t="s">
        <v>325</v>
      </c>
      <c r="D16" s="15">
        <f>IF(68510.2241="","-",68510.2241/7176761.18511*100)</f>
        <v>0.95461200857765383</v>
      </c>
      <c r="E16" s="15">
        <f>IF(209616.02592="","-",209616.02592/9219063.17036*100)</f>
        <v>2.2737237184135117</v>
      </c>
    </row>
    <row r="17" spans="1:6" x14ac:dyDescent="0.3">
      <c r="A17" s="18" t="s">
        <v>107</v>
      </c>
      <c r="B17" s="15">
        <v>286627.91252000001</v>
      </c>
      <c r="C17" s="15" t="s">
        <v>302</v>
      </c>
      <c r="D17" s="15">
        <f>IF(103795.78701="","-",103795.78701/7176761.18511*100)</f>
        <v>1.4462761729532052</v>
      </c>
      <c r="E17" s="15">
        <f>IF(286627.91252="","-",286627.91252/9219063.17036*100)</f>
        <v>3.1090785172351443</v>
      </c>
    </row>
    <row r="18" spans="1:6" x14ac:dyDescent="0.3">
      <c r="A18" s="18" t="s">
        <v>108</v>
      </c>
      <c r="B18" s="15">
        <v>3585677.1150500001</v>
      </c>
      <c r="C18" s="15">
        <v>124.01910703456581</v>
      </c>
      <c r="D18" s="15">
        <f>IF(2891229.58614="","-",2891229.58614/7176761.18511*100)</f>
        <v>40.285994079593792</v>
      </c>
      <c r="E18" s="15">
        <f>IF(3585677.11505="","-",3585677.11505/9219063.17036*100)</f>
        <v>38.894159295688837</v>
      </c>
    </row>
    <row r="19" spans="1:6" x14ac:dyDescent="0.3">
      <c r="A19" s="18" t="s">
        <v>109</v>
      </c>
      <c r="B19" s="15">
        <v>35203.737439999997</v>
      </c>
      <c r="C19" s="15">
        <v>82.740286986651896</v>
      </c>
      <c r="D19" s="15">
        <f>IF(42547.275="","-",42547.275/7176761.18511*100)</f>
        <v>0.59284785856153388</v>
      </c>
      <c r="E19" s="15">
        <f>IF(35203.73744="","-",35203.73744/9219063.17036*100)</f>
        <v>0.38185807808739969</v>
      </c>
    </row>
    <row r="20" spans="1:6" x14ac:dyDescent="0.3">
      <c r="A20" s="18" t="s">
        <v>110</v>
      </c>
      <c r="B20" s="15">
        <v>6386.99118</v>
      </c>
      <c r="C20" s="15">
        <v>107.45658111328747</v>
      </c>
      <c r="D20" s="15">
        <f>IF(5943.78782="","-",5943.78782/7176761.18511*100)</f>
        <v>8.2819919274057574E-2</v>
      </c>
      <c r="E20" s="15">
        <f>IF(6386.99118="","-",6386.99118/9219063.17036*100)</f>
        <v>6.9280262668496184E-2</v>
      </c>
    </row>
    <row r="21" spans="1:6" x14ac:dyDescent="0.3">
      <c r="A21" s="18" t="s">
        <v>111</v>
      </c>
      <c r="B21" s="15">
        <v>192680.35376999999</v>
      </c>
      <c r="C21" s="15" t="s">
        <v>365</v>
      </c>
      <c r="D21" s="15">
        <f>IF(36963.89961="","-",36963.89961/7176761.18511*100)</f>
        <v>0.51504987635217581</v>
      </c>
      <c r="E21" s="15">
        <f>IF(192680.35377="","-",192680.35377/9219063.17036*100)</f>
        <v>2.0900209729496395</v>
      </c>
    </row>
    <row r="22" spans="1:6" x14ac:dyDescent="0.3">
      <c r="A22" s="18" t="s">
        <v>112</v>
      </c>
      <c r="B22" s="15">
        <v>48660.497430000003</v>
      </c>
      <c r="C22" s="15">
        <v>131.6433004726473</v>
      </c>
      <c r="D22" s="15">
        <f>IF(33120.28="","-",33120.28/6422564.27315*100)</f>
        <v>0.51568623670239866</v>
      </c>
      <c r="E22" s="15">
        <f>IF(48660.49743="","-",48660.49743/9219063.17036*100)</f>
        <v>0.5278247532400826</v>
      </c>
      <c r="F22" s="17"/>
    </row>
    <row r="23" spans="1:6" x14ac:dyDescent="0.3">
      <c r="A23" s="27" t="s">
        <v>200</v>
      </c>
      <c r="B23" s="17">
        <v>2185555.6105800001</v>
      </c>
      <c r="C23" s="32">
        <v>114.69108282188436</v>
      </c>
      <c r="D23" s="17">
        <f>IF(1905602.03706="","-",1905602.03706/7176761.18511*100)</f>
        <v>26.552395821859754</v>
      </c>
      <c r="E23" s="17">
        <f>IF(2185555.61058="","-",2185555.61058/9219063.17036*100)</f>
        <v>23.706916529292585</v>
      </c>
      <c r="F23" s="17"/>
    </row>
    <row r="24" spans="1:6" x14ac:dyDescent="0.3">
      <c r="A24" s="18" t="s">
        <v>120</v>
      </c>
      <c r="B24" s="17"/>
      <c r="C24" s="24"/>
      <c r="D24" s="17"/>
      <c r="E24" s="17"/>
      <c r="F24" s="15"/>
    </row>
    <row r="25" spans="1:6" x14ac:dyDescent="0.3">
      <c r="A25" s="18" t="s">
        <v>106</v>
      </c>
      <c r="B25" s="15">
        <v>158618.46402000001</v>
      </c>
      <c r="C25" s="24">
        <v>117.90254958844434</v>
      </c>
      <c r="D25" s="15">
        <f>IF(134533.53178="","-",134533.53178/7176761.18511*100)</f>
        <v>1.8745716669397294</v>
      </c>
      <c r="E25" s="15">
        <f>IF(158618.46402="","-",158618.46402/9219063.17036*100)</f>
        <v>1.7205486185404457</v>
      </c>
      <c r="F25" s="15"/>
    </row>
    <row r="26" spans="1:6" x14ac:dyDescent="0.3">
      <c r="A26" s="18" t="s">
        <v>107</v>
      </c>
      <c r="B26" s="15">
        <v>177115.92392</v>
      </c>
      <c r="C26" s="24">
        <v>83.818210937187928</v>
      </c>
      <c r="D26" s="15">
        <f>IF(211309.59721="","-",211309.59721/7176761.18511*100)</f>
        <v>2.9443587679692484</v>
      </c>
      <c r="E26" s="15">
        <f>IF(177115.92392="","-",177115.92392/9219063.17036*100)</f>
        <v>1.9211922149469738</v>
      </c>
      <c r="F26" s="15"/>
    </row>
    <row r="27" spans="1:6" x14ac:dyDescent="0.3">
      <c r="A27" s="18" t="s">
        <v>108</v>
      </c>
      <c r="B27" s="15">
        <v>1072527.48144</v>
      </c>
      <c r="C27" s="24">
        <v>93.927210326512693</v>
      </c>
      <c r="D27" s="15">
        <f>IF(1141870.89951="","-",1141870.89951/7176761.18511*100)</f>
        <v>15.910671541908053</v>
      </c>
      <c r="E27" s="15">
        <f>IF(1072527.48144="","-",1072527.48144/9219063.17036*100)</f>
        <v>11.633801196723097</v>
      </c>
      <c r="F27" s="15"/>
    </row>
    <row r="28" spans="1:6" x14ac:dyDescent="0.3">
      <c r="A28" s="18" t="s">
        <v>109</v>
      </c>
      <c r="B28" s="15">
        <v>18403.100399999999</v>
      </c>
      <c r="C28" s="24">
        <v>60.582841235734563</v>
      </c>
      <c r="D28" s="15">
        <f>IF(30376.75359="","-",30376.75359/7176761.18511*100)</f>
        <v>0.42326549269918901</v>
      </c>
      <c r="E28" s="15">
        <f>IF(18403.1004="","-",18403.1004/9219063.17036*100)</f>
        <v>0.1996200704987833</v>
      </c>
      <c r="F28" s="15"/>
    </row>
    <row r="29" spans="1:6" x14ac:dyDescent="0.3">
      <c r="A29" s="18" t="s">
        <v>110</v>
      </c>
      <c r="B29" s="15">
        <v>291.75499000000002</v>
      </c>
      <c r="C29" s="24">
        <v>80.758386196301331</v>
      </c>
      <c r="D29" s="15">
        <f>IF(361.26897="","-",361.26897/7176761.18511*100)</f>
        <v>5.0338719748616347E-3</v>
      </c>
      <c r="E29" s="15">
        <f>IF(291.75499="","-",291.75499/9219063.17036*100)</f>
        <v>3.1646923836905123E-3</v>
      </c>
      <c r="F29" s="15"/>
    </row>
    <row r="30" spans="1:6" x14ac:dyDescent="0.3">
      <c r="A30" s="18" t="s">
        <v>111</v>
      </c>
      <c r="B30" s="15">
        <v>757877.14358000003</v>
      </c>
      <c r="C30" s="24" t="s">
        <v>18</v>
      </c>
      <c r="D30" s="15">
        <f>IF(384327.12151="","-",384327.12151/7176761.18511*100)</f>
        <v>5.3551610761046851</v>
      </c>
      <c r="E30" s="15">
        <f>IF(757877.14358="","-",757877.14358/9219063.17036*100)</f>
        <v>8.2207609338943843</v>
      </c>
    </row>
    <row r="31" spans="1:6" x14ac:dyDescent="0.3">
      <c r="A31" s="18" t="s">
        <v>112</v>
      </c>
      <c r="B31" s="15">
        <v>721.74222999999995</v>
      </c>
      <c r="C31" s="33">
        <v>25.567725002626673</v>
      </c>
      <c r="D31" s="15">
        <f>IF(2822.86449="","-",2822.86449/7176761.18511*100)</f>
        <v>3.9333404263983927E-2</v>
      </c>
      <c r="E31" s="15">
        <f>IF(721.74223="","-",721.74223/9219063.17036*100)</f>
        <v>7.8288023052109773E-3</v>
      </c>
    </row>
    <row r="32" spans="1:6" x14ac:dyDescent="0.3">
      <c r="A32" s="27" t="s">
        <v>201</v>
      </c>
      <c r="B32" s="30">
        <v>2668654.9264699998</v>
      </c>
      <c r="C32" s="17">
        <v>125.75131594609768</v>
      </c>
      <c r="D32" s="17">
        <f>IF(2122168.58837="","-",2122168.58837/7176761.18511*100)</f>
        <v>29.57000426282783</v>
      </c>
      <c r="E32" s="17">
        <f>IF(2668654.92647="","-",2668654.92647/9219063.17036*100)</f>
        <v>28.947137872424296</v>
      </c>
    </row>
    <row r="33" spans="1:5" x14ac:dyDescent="0.3">
      <c r="A33" s="18" t="s">
        <v>120</v>
      </c>
      <c r="B33" s="24"/>
      <c r="C33" s="17"/>
      <c r="D33" s="17"/>
      <c r="E33" s="17"/>
    </row>
    <row r="34" spans="1:5" x14ac:dyDescent="0.3">
      <c r="A34" s="18" t="s">
        <v>106</v>
      </c>
      <c r="B34" s="15">
        <v>294683.21857000003</v>
      </c>
      <c r="C34" s="15" t="s">
        <v>399</v>
      </c>
      <c r="D34" s="15">
        <f>IF(26323.61007="","-",26323.61007/7176761.18511*100)</f>
        <v>0.36678955020288206</v>
      </c>
      <c r="E34" s="15">
        <f>IF(294683.21857="","-",294683.21857/9219063.17036*100)</f>
        <v>3.1964551400128083</v>
      </c>
    </row>
    <row r="35" spans="1:5" x14ac:dyDescent="0.3">
      <c r="A35" s="18" t="s">
        <v>107</v>
      </c>
      <c r="B35" s="15">
        <v>10747.107249999999</v>
      </c>
      <c r="C35" s="15" t="s">
        <v>373</v>
      </c>
      <c r="D35" s="15">
        <f>IF(116.29014="","-",116.29014/7176761.18511*100)</f>
        <v>1.6203707633643042E-3</v>
      </c>
      <c r="E35" s="15">
        <f>IF(10747.10725="","-",10747.10725/9219063.17036*100)</f>
        <v>0.11657483034233648</v>
      </c>
    </row>
    <row r="36" spans="1:5" x14ac:dyDescent="0.3">
      <c r="A36" s="18" t="s">
        <v>108</v>
      </c>
      <c r="B36" s="15">
        <v>2255420.4509899998</v>
      </c>
      <c r="C36" s="15">
        <v>114.03277104027877</v>
      </c>
      <c r="D36" s="15">
        <f>IF(1977870.42305="","-",1977870.42305/7176761.18511*100)</f>
        <v>27.559373539607122</v>
      </c>
      <c r="E36" s="15">
        <f>IF(2255420.45099="","-",2255420.45099/9219063.17036*100)</f>
        <v>24.464746681000634</v>
      </c>
    </row>
    <row r="37" spans="1:5" x14ac:dyDescent="0.3">
      <c r="A37" s="18" t="s">
        <v>109</v>
      </c>
      <c r="B37" s="15">
        <v>99619.580249999999</v>
      </c>
      <c r="C37" s="15">
        <v>93.162200136366152</v>
      </c>
      <c r="D37" s="15">
        <f>IF(106931.33063="","-",106931.33063/7176761.18511*100)</f>
        <v>1.4899664050666197</v>
      </c>
      <c r="E37" s="15">
        <f>IF(99619.58025="","-",99619.58025/9219063.17036*100)</f>
        <v>1.0805824671023476</v>
      </c>
    </row>
    <row r="38" spans="1:5" x14ac:dyDescent="0.3">
      <c r="A38" s="18" t="s">
        <v>110</v>
      </c>
      <c r="B38" s="15">
        <v>3120.8527800000002</v>
      </c>
      <c r="C38" s="15">
        <v>58.824974088318008</v>
      </c>
      <c r="D38" s="15">
        <f>IF(5305.31943="","-",5305.31943/7176761.18511*100)</f>
        <v>7.3923588832901704E-2</v>
      </c>
      <c r="E38" s="15">
        <f>IF(3120.85278="","-",3120.85278/9219063.17036*100)</f>
        <v>3.3852168298767957E-2</v>
      </c>
    </row>
    <row r="39" spans="1:5" x14ac:dyDescent="0.3">
      <c r="A39" s="40" t="s">
        <v>112</v>
      </c>
      <c r="B39" s="19">
        <v>5063.7166299999999</v>
      </c>
      <c r="C39" s="19">
        <v>90.075833812206682</v>
      </c>
      <c r="D39" s="19">
        <f>IF(5621.61505="","-",5621.61505/7176761.18511*100)</f>
        <v>7.8330808354936735E-2</v>
      </c>
      <c r="E39" s="19">
        <f>IF(5063.71663="","-",5063.71663/9219063.17036*100)</f>
        <v>5.4926585667405339E-2</v>
      </c>
    </row>
    <row r="40" spans="1:5" x14ac:dyDescent="0.3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3"/>
  <sheetViews>
    <sheetView zoomScaleNormal="100" workbookViewId="0">
      <selection activeCell="B2" sqref="B2:H2"/>
    </sheetView>
  </sheetViews>
  <sheetFormatPr defaultRowHeight="15.6" x14ac:dyDescent="0.3"/>
  <cols>
    <col min="1" max="1" width="4.8984375" customWidth="1"/>
    <col min="2" max="2" width="27.59765625" customWidth="1"/>
    <col min="3" max="3" width="11.09765625" customWidth="1"/>
    <col min="4" max="4" width="10.59765625" customWidth="1"/>
    <col min="5" max="6" width="7.8984375" customWidth="1"/>
    <col min="7" max="7" width="8.3984375" customWidth="1"/>
    <col min="8" max="8" width="8.69921875" customWidth="1"/>
    <col min="10" max="10" width="9.09765625" customWidth="1"/>
  </cols>
  <sheetData>
    <row r="1" spans="1:11" ht="16.2" x14ac:dyDescent="0.35">
      <c r="B1" s="83" t="s">
        <v>128</v>
      </c>
      <c r="C1" s="83"/>
      <c r="D1" s="83"/>
      <c r="E1" s="83"/>
      <c r="F1" s="83"/>
      <c r="G1" s="83"/>
      <c r="H1" s="83"/>
    </row>
    <row r="2" spans="1:11" ht="16.2" x14ac:dyDescent="0.35">
      <c r="B2" s="83" t="s">
        <v>279</v>
      </c>
      <c r="C2" s="83"/>
      <c r="D2" s="83"/>
      <c r="E2" s="83"/>
      <c r="F2" s="83"/>
      <c r="G2" s="83"/>
      <c r="H2" s="83"/>
    </row>
    <row r="3" spans="1:11" x14ac:dyDescent="0.3">
      <c r="A3" s="96"/>
      <c r="B3" s="96"/>
      <c r="C3" s="96"/>
      <c r="D3" s="96"/>
      <c r="E3" s="96"/>
      <c r="F3" s="96"/>
      <c r="G3" s="96"/>
      <c r="H3" s="96"/>
    </row>
    <row r="4" spans="1:11" ht="67.2" customHeight="1" x14ac:dyDescent="0.3">
      <c r="A4" s="87" t="s">
        <v>205</v>
      </c>
      <c r="B4" s="89"/>
      <c r="C4" s="91">
        <v>2022</v>
      </c>
      <c r="D4" s="92"/>
      <c r="E4" s="91" t="s">
        <v>0</v>
      </c>
      <c r="F4" s="93"/>
      <c r="G4" s="94" t="s">
        <v>102</v>
      </c>
      <c r="H4" s="95"/>
    </row>
    <row r="5" spans="1:11" ht="31.5" customHeight="1" x14ac:dyDescent="0.3">
      <c r="A5" s="88"/>
      <c r="B5" s="90"/>
      <c r="C5" s="52" t="s">
        <v>105</v>
      </c>
      <c r="D5" s="50" t="s">
        <v>415</v>
      </c>
      <c r="E5" s="52">
        <v>2021</v>
      </c>
      <c r="F5" s="52">
        <v>2022</v>
      </c>
      <c r="G5" s="49" t="s">
        <v>377</v>
      </c>
      <c r="H5" s="47" t="s">
        <v>378</v>
      </c>
    </row>
    <row r="6" spans="1:11" ht="16.5" customHeight="1" x14ac:dyDescent="0.3">
      <c r="A6" s="59"/>
      <c r="B6" s="39" t="s">
        <v>96</v>
      </c>
      <c r="C6" s="60">
        <v>4335076.1973400004</v>
      </c>
      <c r="D6" s="61">
        <f>IF(3144504.53867="","-",4335076.19734/3144504.53867*100)</f>
        <v>137.86197933661003</v>
      </c>
      <c r="E6" s="61">
        <v>100</v>
      </c>
      <c r="F6" s="61">
        <v>100</v>
      </c>
      <c r="G6" s="61">
        <f>IF(2467106.07968="","-",(3144504.53867-2467106.07968)/2467106.07968*100)</f>
        <v>27.45720845039072</v>
      </c>
      <c r="H6" s="61">
        <f>IF(3144504.53867="","-",(4335076.19734-3144504.53867)/3144504.53867*100)</f>
        <v>37.861979336610034</v>
      </c>
    </row>
    <row r="7" spans="1:11" x14ac:dyDescent="0.3">
      <c r="A7" s="11" t="s">
        <v>206</v>
      </c>
      <c r="B7" s="12" t="s">
        <v>176</v>
      </c>
      <c r="C7" s="9">
        <v>926040.19163999998</v>
      </c>
      <c r="D7" s="17">
        <f>IF(810985.03706="","-",926040.19164/810985.03706*100)</f>
        <v>114.18708722384081</v>
      </c>
      <c r="E7" s="17">
        <f>IF(810985.03706="","-",810985.03706/3144504.53867*100)</f>
        <v>25.790550692065921</v>
      </c>
      <c r="F7" s="17">
        <f>IF(926040.19164="","-",926040.19164/4335076.19734*100)</f>
        <v>21.361566659617598</v>
      </c>
      <c r="G7" s="17">
        <f>IF(2467106.07968="","-",(810985.03706-525904.29071)/2467106.07968*100)</f>
        <v>11.555269094346235</v>
      </c>
      <c r="H7" s="17">
        <f>IF(3144504.53867="","-",(926040.19164-810985.03706)/3144504.53867*100)</f>
        <v>3.658927922192273</v>
      </c>
    </row>
    <row r="8" spans="1:11" ht="13.5" customHeight="1" x14ac:dyDescent="0.3">
      <c r="A8" s="13" t="s">
        <v>207</v>
      </c>
      <c r="B8" s="14" t="s">
        <v>21</v>
      </c>
      <c r="C8" s="10">
        <v>6125.9258600000003</v>
      </c>
      <c r="D8" s="15">
        <f>IF(OR(7186.10106="",6125.92586=""),"-",6125.92586/7186.10106*100)</f>
        <v>85.246864869445631</v>
      </c>
      <c r="E8" s="15">
        <f>IF(7186.10106="","-",7186.10106/3144504.53867*100)</f>
        <v>0.2285288817881444</v>
      </c>
      <c r="F8" s="15">
        <f>IF(6125.92586="","-",6125.92586/4335076.19734*100)</f>
        <v>0.14131068477548017</v>
      </c>
      <c r="G8" s="15">
        <f>IF(OR(2467106.07968="",9947.75657="",7186.10106=""),"-",(7186.10106-9947.75657)/2467106.07968*100)</f>
        <v>-0.1119390662909073</v>
      </c>
      <c r="H8" s="15">
        <f>IF(OR(3144504.53867="",6125.92586="",7186.10106=""),"-",(6125.92586-7186.10106)/3144504.53867*100)</f>
        <v>-3.3715174742549793E-2</v>
      </c>
      <c r="I8" s="11"/>
      <c r="J8" s="12"/>
      <c r="K8" s="9"/>
    </row>
    <row r="9" spans="1:11" x14ac:dyDescent="0.3">
      <c r="A9" s="13" t="s">
        <v>208</v>
      </c>
      <c r="B9" s="14" t="s">
        <v>177</v>
      </c>
      <c r="C9" s="10">
        <v>4624.4686199999996</v>
      </c>
      <c r="D9" s="15">
        <f>IF(OR(8122.7079="",4624.46862=""),"-",4624.46862/8122.7079*100)</f>
        <v>56.932597810146532</v>
      </c>
      <c r="E9" s="15">
        <f>IF(8122.7079="","-",8122.7079/3144504.53867*100)</f>
        <v>0.25831439580098625</v>
      </c>
      <c r="F9" s="15">
        <f>IF(4624.46862="","-",4624.46862/4335076.19734*100)</f>
        <v>0.10667560175384161</v>
      </c>
      <c r="G9" s="15">
        <f>IF(OR(2467106.07968="",6096.64739="",8122.7079=""),"-",(8122.7079-6096.64739)/2467106.07968*100)</f>
        <v>8.2122958825621054E-2</v>
      </c>
      <c r="H9" s="15">
        <f>IF(OR(3144504.53867="",4624.46862="",8122.7079=""),"-",(4624.46862-8122.7079)/3144504.53867*100)</f>
        <v>-0.1112492997539007</v>
      </c>
      <c r="I9" s="13"/>
      <c r="J9" s="14"/>
      <c r="K9" s="10"/>
    </row>
    <row r="10" spans="1:11" s="2" customFormat="1" x14ac:dyDescent="0.3">
      <c r="A10" s="13" t="s">
        <v>209</v>
      </c>
      <c r="B10" s="14" t="s">
        <v>178</v>
      </c>
      <c r="C10" s="10">
        <v>16482.41718</v>
      </c>
      <c r="D10" s="15">
        <f>IF(OR(12314.35013="",16482.41718=""),"-",16482.41718/12314.35013*100)</f>
        <v>133.84723518495571</v>
      </c>
      <c r="E10" s="15">
        <f>IF(12314.35013="","-",12314.35013/3144504.53867*100)</f>
        <v>0.39161495805022684</v>
      </c>
      <c r="F10" s="15">
        <f>IF(16482.41718="","-",16482.41718/4335076.19734*100)</f>
        <v>0.38021055293361622</v>
      </c>
      <c r="G10" s="15">
        <f>IF(OR(2467106.07968="",11944.79301="",12314.35013=""),"-",(12314.35013-11944.79301)/2467106.07968*100)</f>
        <v>1.4979376973037792E-2</v>
      </c>
      <c r="H10" s="15">
        <f>IF(OR(3144504.53867="",16482.41718="",12314.35013=""),"-",(16482.41718-12314.35013)/3144504.53867*100)</f>
        <v>0.13255083587072594</v>
      </c>
      <c r="I10" s="13"/>
      <c r="J10" s="14"/>
      <c r="K10" s="10"/>
    </row>
    <row r="11" spans="1:11" s="2" customFormat="1" x14ac:dyDescent="0.3">
      <c r="A11" s="13" t="s">
        <v>210</v>
      </c>
      <c r="B11" s="14" t="s">
        <v>179</v>
      </c>
      <c r="C11" s="10">
        <v>56.987340000000003</v>
      </c>
      <c r="D11" s="15">
        <f>IF(OR(40.01104="",56.98734=""),"-",56.98734/40.01104*100)</f>
        <v>142.42903958507452</v>
      </c>
      <c r="E11" s="15">
        <f>IF(40.01104="","-",40.01104/3144504.53867*100)</f>
        <v>1.2724115836997034E-3</v>
      </c>
      <c r="F11" s="15">
        <f>IF(56.98734="","-",56.98734/4335076.19734*100)</f>
        <v>1.3145637448072399E-3</v>
      </c>
      <c r="G11" s="15">
        <f>IF(OR(2467106.07968="",14.99928="",40.01104=""),"-",(40.01104-14.99928)/2467106.07968*100)</f>
        <v>1.0138096697992083E-3</v>
      </c>
      <c r="H11" s="15">
        <f>IF(OR(3144504.53867="",56.98734="",40.01104=""),"-",(56.98734-40.01104)/3144504.53867*100)</f>
        <v>5.3987201453302089E-4</v>
      </c>
      <c r="I11" s="13"/>
      <c r="J11" s="14"/>
      <c r="K11" s="10"/>
    </row>
    <row r="12" spans="1:11" s="2" customFormat="1" ht="15.75" customHeight="1" x14ac:dyDescent="0.3">
      <c r="A12" s="13" t="s">
        <v>211</v>
      </c>
      <c r="B12" s="14" t="s">
        <v>180</v>
      </c>
      <c r="C12" s="10">
        <v>437921.51809000003</v>
      </c>
      <c r="D12" s="15">
        <f>IF(OR(388688.8284="",437921.51809=""),"-",437921.51809/388688.8284*100)</f>
        <v>112.66635058503267</v>
      </c>
      <c r="E12" s="15">
        <f>IF(388688.8284="","-",388688.8284/3144504.53867*100)</f>
        <v>12.360892586416805</v>
      </c>
      <c r="F12" s="15">
        <f>IF(437921.51809="","-",437921.51809/4335076.19734*100)</f>
        <v>10.101818241596499</v>
      </c>
      <c r="G12" s="15">
        <f>IF(OR(2467106.07968="",131869.73437="",388688.8284=""),"-",(388688.8284-131869.73437)/2467106.07968*100)</f>
        <v>10.409730499440508</v>
      </c>
      <c r="H12" s="15">
        <f>IF(OR(3144504.53867="",437921.51809="",388688.8284=""),"-",(437921.51809-388688.8284)/3144504.53867*100)</f>
        <v>1.5656739904348647</v>
      </c>
      <c r="I12" s="13"/>
      <c r="J12" s="14"/>
      <c r="K12" s="10"/>
    </row>
    <row r="13" spans="1:11" s="2" customFormat="1" ht="15.75" customHeight="1" x14ac:dyDescent="0.3">
      <c r="A13" s="13" t="s">
        <v>212</v>
      </c>
      <c r="B13" s="14" t="s">
        <v>181</v>
      </c>
      <c r="C13" s="10">
        <v>359900.99754999997</v>
      </c>
      <c r="D13" s="15">
        <f>IF(OR(314955.54215="",359900.99755=""),"-",359900.99755/314955.54215*100)</f>
        <v>114.27041260908956</v>
      </c>
      <c r="E13" s="15">
        <f>IF(314955.54215="","-",314955.54215/3144504.53867*100)</f>
        <v>10.01606257128233</v>
      </c>
      <c r="F13" s="15">
        <f>IF(359900.99755="","-",359900.99755/4335076.19734*100)</f>
        <v>8.3020685488950576</v>
      </c>
      <c r="G13" s="15">
        <f>IF(OR(2467106.07968="",303419.50665="",314955.54215=""),"-",(314955.54215-303419.50665)/2467106.07968*100)</f>
        <v>0.46759381751012097</v>
      </c>
      <c r="H13" s="15">
        <f>IF(OR(3144504.53867="",359900.99755="",314955.54215=""),"-",(359900.99755-314955.54215)/3144504.53867*100)</f>
        <v>1.4293334561065736</v>
      </c>
      <c r="I13" s="13"/>
      <c r="J13" s="14"/>
      <c r="K13" s="10"/>
    </row>
    <row r="14" spans="1:11" s="2" customFormat="1" ht="14.25" customHeight="1" x14ac:dyDescent="0.3">
      <c r="A14" s="13" t="s">
        <v>213</v>
      </c>
      <c r="B14" s="14" t="s">
        <v>139</v>
      </c>
      <c r="C14" s="10">
        <v>26447.832859999999</v>
      </c>
      <c r="D14" s="15">
        <f>IF(OR(32712.44378="",26447.83286=""),"-",26447.83286/32712.44378*100)</f>
        <v>80.849456059806485</v>
      </c>
      <c r="E14" s="15">
        <f>IF(32712.44378="","-",32712.44378/3144504.53867*100)</f>
        <v>1.0403051856886827</v>
      </c>
      <c r="F14" s="15">
        <f>IF(26447.83286="","-",26447.83286/4335076.19734*100)</f>
        <v>0.61008922694896039</v>
      </c>
      <c r="G14" s="15">
        <f>IF(OR(2467106.07968="",18677.69162="",32712.44378=""),"-",(32712.44378-18677.69162)/2467106.07968*100)</f>
        <v>0.5688750992750341</v>
      </c>
      <c r="H14" s="15">
        <f>IF(OR(3144504.53867="",26447.83286="",32712.44378=""),"-",(26447.83286-32712.44378)/3144504.53867*100)</f>
        <v>-0.199224101697423</v>
      </c>
      <c r="I14" s="13"/>
      <c r="J14" s="14"/>
      <c r="K14" s="10"/>
    </row>
    <row r="15" spans="1:11" s="2" customFormat="1" ht="26.4" x14ac:dyDescent="0.3">
      <c r="A15" s="13" t="s">
        <v>214</v>
      </c>
      <c r="B15" s="14" t="s">
        <v>182</v>
      </c>
      <c r="C15" s="10">
        <v>12188.768340000001</v>
      </c>
      <c r="D15" s="15">
        <f>IF(OR(10800.28922="",12188.76834=""),"-",12188.76834/10800.28922*100)</f>
        <v>112.85594387073274</v>
      </c>
      <c r="E15" s="15">
        <f>IF(10800.28922="","-",10800.28922/3144504.53867*100)</f>
        <v>0.34346553128424145</v>
      </c>
      <c r="F15" s="15">
        <f>IF(12188.76834="","-",12188.76834/4335076.19734*100)</f>
        <v>0.28116618451779513</v>
      </c>
      <c r="G15" s="15">
        <f>IF(OR(2467106.07968="",8315.07885="",10800.28922=""),"-",(10800.28922-8315.07885)/2467106.07968*100)</f>
        <v>0.10073382699143398</v>
      </c>
      <c r="H15" s="15">
        <f>IF(OR(3144504.53867="",12188.76834="",10800.28922=""),"-",(12188.76834-10800.28922)/3144504.53867*100)</f>
        <v>4.4155735917216103E-2</v>
      </c>
      <c r="I15" s="13"/>
      <c r="J15" s="14"/>
      <c r="K15" s="10"/>
    </row>
    <row r="16" spans="1:11" s="2" customFormat="1" ht="26.4" x14ac:dyDescent="0.3">
      <c r="A16" s="13" t="s">
        <v>215</v>
      </c>
      <c r="B16" s="14" t="s">
        <v>140</v>
      </c>
      <c r="C16" s="10">
        <v>53989.760390000003</v>
      </c>
      <c r="D16" s="15" t="s">
        <v>197</v>
      </c>
      <c r="E16" s="15">
        <f>IF(30560.51819="","-",30560.51819/3144504.53867*100)</f>
        <v>0.97187069740805265</v>
      </c>
      <c r="F16" s="15">
        <f>IF(53989.76039="","-",53989.76039/4335076.19734*100)</f>
        <v>1.2454166416527599</v>
      </c>
      <c r="G16" s="15">
        <f>IF(OR(2467106.07968="",31850.15817="",30560.51819=""),"-",(30560.51819-31850.15817)/2467106.07968*100)</f>
        <v>-5.2273389888742638E-2</v>
      </c>
      <c r="H16" s="15">
        <f>IF(OR(3144504.53867="",53989.76039="",30560.51819=""),"-",(53989.76039-30560.51819)/3144504.53867*100)</f>
        <v>0.74508533576197788</v>
      </c>
      <c r="I16" s="13"/>
      <c r="J16" s="14"/>
      <c r="K16" s="10"/>
    </row>
    <row r="17" spans="1:11" s="2" customFormat="1" ht="15" customHeight="1" x14ac:dyDescent="0.3">
      <c r="A17" s="13" t="s">
        <v>216</v>
      </c>
      <c r="B17" s="14" t="s">
        <v>183</v>
      </c>
      <c r="C17" s="10">
        <v>8301.51541</v>
      </c>
      <c r="D17" s="15">
        <f>IF(OR(5604.24519="",8301.51541=""),"-",8301.51541/5604.24519*100)</f>
        <v>148.12905446772575</v>
      </c>
      <c r="E17" s="15">
        <f>IF(5604.24519="","-",5604.24519/3144504.53867*100)</f>
        <v>0.17822347276275108</v>
      </c>
      <c r="F17" s="15">
        <f>IF(8301.51541="","-",8301.51541/4335076.19734*100)</f>
        <v>0.19149641279878318</v>
      </c>
      <c r="G17" s="15">
        <f>IF(OR(2467106.07968="",3767.9248="",5604.24519=""),"-",(5604.24519-3767.9248)/2467106.07968*100)</f>
        <v>7.4432161840328442E-2</v>
      </c>
      <c r="H17" s="15">
        <f>IF(OR(3144504.53867="",8301.51541="",5604.24519=""),"-",(8301.51541-5604.24519)/3144504.53867*100)</f>
        <v>8.5777272280256833E-2</v>
      </c>
      <c r="I17" s="13"/>
      <c r="J17" s="14"/>
      <c r="K17" s="10"/>
    </row>
    <row r="18" spans="1:11" s="2" customFormat="1" x14ac:dyDescent="0.3">
      <c r="A18" s="11" t="s">
        <v>217</v>
      </c>
      <c r="B18" s="12" t="s">
        <v>184</v>
      </c>
      <c r="C18" s="9">
        <v>193042.32586000001</v>
      </c>
      <c r="D18" s="17">
        <f>IF(209509.97483="","-",193042.32586/209509.97483*100)</f>
        <v>92.139921269446901</v>
      </c>
      <c r="E18" s="17">
        <f>IF(209509.97483="","-",209509.97483/3144504.53867*100)</f>
        <v>6.6627340572583291</v>
      </c>
      <c r="F18" s="17">
        <f>IF(193042.32586="","-",193042.32586/4335076.19734*100)</f>
        <v>4.4530318977657339</v>
      </c>
      <c r="G18" s="17">
        <f>IF(2467106.07968="","-",(209509.97483-187055.02829)/2467106.07968*100)</f>
        <v>0.91017353185366723</v>
      </c>
      <c r="H18" s="17">
        <f>IF(3144504.53867="","-",(193042.32586-209509.97483)/3144504.53867*100)</f>
        <v>-0.52369614250787944</v>
      </c>
      <c r="I18" s="13"/>
      <c r="J18" s="14"/>
      <c r="K18" s="10"/>
    </row>
    <row r="19" spans="1:11" s="2" customFormat="1" x14ac:dyDescent="0.3">
      <c r="A19" s="13" t="s">
        <v>218</v>
      </c>
      <c r="B19" s="14" t="s">
        <v>185</v>
      </c>
      <c r="C19" s="10">
        <v>181251.22042</v>
      </c>
      <c r="D19" s="15">
        <f>IF(OR(196797.54587="",181251.22042=""),"-",181251.22042/196797.54587*100)</f>
        <v>92.100345875110889</v>
      </c>
      <c r="E19" s="15">
        <f>IF(196797.54587="","-",196797.54587/3144504.53867*100)</f>
        <v>6.2584595903696014</v>
      </c>
      <c r="F19" s="15">
        <f>IF(181251.22042="","-",181251.22042/4335076.19734*100)</f>
        <v>4.1810388599678037</v>
      </c>
      <c r="G19" s="15">
        <f>IF(OR(2467106.07968="",178467.74368="",196797.54587=""),"-",(196797.54587-178467.74368)/2467106.07968*100)</f>
        <v>0.74296773620603629</v>
      </c>
      <c r="H19" s="15">
        <f>IF(OR(3144504.53867="",181251.22042="",196797.54587=""),"-",(181251.22042-196797.54587)/3144504.53867*100)</f>
        <v>-0.49439666118515063</v>
      </c>
      <c r="I19" s="11"/>
      <c r="J19" s="12"/>
      <c r="K19" s="9"/>
    </row>
    <row r="20" spans="1:11" s="2" customFormat="1" x14ac:dyDescent="0.3">
      <c r="A20" s="13" t="s">
        <v>219</v>
      </c>
      <c r="B20" s="14" t="s">
        <v>186</v>
      </c>
      <c r="C20" s="10">
        <v>11791.105439999999</v>
      </c>
      <c r="D20" s="15">
        <f>IF(OR(12712.42896="",11791.10544=""),"-",11791.10544/12712.42896*100)</f>
        <v>92.752576845078394</v>
      </c>
      <c r="E20" s="15">
        <f>IF(12712.42896="","-",12712.42896/3144504.53867*100)</f>
        <v>0.40427446688872798</v>
      </c>
      <c r="F20" s="15">
        <f>IF(11791.10544="","-",11791.10544/4335076.19734*100)</f>
        <v>0.27199303779792872</v>
      </c>
      <c r="G20" s="15">
        <f>IF(OR(2467106.07968="",8587.28461="",12712.42896=""),"-",(12712.42896-8587.28461)/2467106.07968*100)</f>
        <v>0.16720579564763011</v>
      </c>
      <c r="H20" s="15">
        <f>IF(OR(3144504.53867="",11791.10544="",12712.42896=""),"-",(11791.10544-12712.42896)/3144504.53867*100)</f>
        <v>-2.9299481322729561E-2</v>
      </c>
      <c r="I20" s="13"/>
      <c r="J20" s="14"/>
      <c r="K20" s="10"/>
    </row>
    <row r="21" spans="1:11" s="2" customFormat="1" ht="26.4" x14ac:dyDescent="0.3">
      <c r="A21" s="11" t="s">
        <v>220</v>
      </c>
      <c r="B21" s="12" t="s">
        <v>22</v>
      </c>
      <c r="C21" s="9">
        <v>482461.97412000003</v>
      </c>
      <c r="D21" s="17">
        <f>IF(364785.05908="","-",482461.97412/364785.05908*100)</f>
        <v>132.25924749680954</v>
      </c>
      <c r="E21" s="17">
        <f>IF(364785.05908="","-",364785.05908/3144504.53867*100)</f>
        <v>11.600716570575836</v>
      </c>
      <c r="F21" s="17">
        <f>IF(482461.97412="","-",482461.97412/4335076.19734*100)</f>
        <v>11.129261682090808</v>
      </c>
      <c r="G21" s="17">
        <f>IF(2467106.07968="","-",(364785.05908-267189.44491)/2467106.07968*100)</f>
        <v>3.9558742517735093</v>
      </c>
      <c r="H21" s="17">
        <f>IF(3144504.53867="","-",(482461.97412-364785.05908)/3144504.53867*100)</f>
        <v>3.7423038699054536</v>
      </c>
      <c r="I21" s="13"/>
      <c r="J21" s="14"/>
      <c r="K21" s="10"/>
    </row>
    <row r="22" spans="1:11" s="2" customFormat="1" ht="15" customHeight="1" x14ac:dyDescent="0.3">
      <c r="A22" s="13" t="s">
        <v>221</v>
      </c>
      <c r="B22" s="14" t="s">
        <v>193</v>
      </c>
      <c r="C22" s="10">
        <v>1113.1694199999999</v>
      </c>
      <c r="D22" s="15">
        <f>IF(OR(1167.08022="",1113.16942=""),"-",1113.16942/1167.08022*100)</f>
        <v>95.380711704633285</v>
      </c>
      <c r="E22" s="15">
        <f>IF(1167.08022="","-",1167.08022/3144504.53867*100)</f>
        <v>3.7114916059037661E-2</v>
      </c>
      <c r="F22" s="15">
        <f>IF(1113.16942="","-",1113.16942/4335076.19734*100)</f>
        <v>2.5678197321722739E-2</v>
      </c>
      <c r="G22" s="15">
        <f>IF(OR(2467106.07968="",1232.11718="",1167.08022=""),"-",(1167.08022-1232.11718)/2467106.07968*100)</f>
        <v>-2.6361639061922961E-3</v>
      </c>
      <c r="H22" s="15">
        <f>IF(OR(3144504.53867="",1113.16942="",1167.08022=""),"-",(1113.16942-1167.08022)/3144504.53867*100)</f>
        <v>-1.714444973350308E-3</v>
      </c>
      <c r="I22" s="11"/>
      <c r="J22" s="12"/>
      <c r="K22" s="9"/>
    </row>
    <row r="23" spans="1:11" s="2" customFormat="1" ht="15" customHeight="1" x14ac:dyDescent="0.3">
      <c r="A23" s="13" t="s">
        <v>222</v>
      </c>
      <c r="B23" s="14" t="s">
        <v>187</v>
      </c>
      <c r="C23" s="10">
        <v>391348.81848999998</v>
      </c>
      <c r="D23" s="15">
        <f>IF(OR(256287.58593="",391348.81849=""),"-",391348.81849/256287.58593*100)</f>
        <v>152.69909272815474</v>
      </c>
      <c r="E23" s="15">
        <f>IF(256287.58593="","-",256287.58593/3144504.53867*100)</f>
        <v>8.1503328355315201</v>
      </c>
      <c r="F23" s="15">
        <f>IF(391348.81849="","-",391348.81849/4335076.19734*100)</f>
        <v>9.0274957272984349</v>
      </c>
      <c r="G23" s="15">
        <f>IF(OR(2467106.07968="",222416.51766="",256287.58593=""),"-",(256287.58593-222416.51766)/2467106.07968*100)</f>
        <v>1.3729068461617706</v>
      </c>
      <c r="H23" s="15">
        <f>IF(OR(3144504.53867="",391348.81849="",256287.58593=""),"-",(391348.81849-256287.58593)/3144504.53867*100)</f>
        <v>4.2951514586500004</v>
      </c>
      <c r="I23" s="13"/>
      <c r="J23" s="14"/>
      <c r="K23" s="10"/>
    </row>
    <row r="24" spans="1:11" s="2" customFormat="1" ht="15" customHeight="1" x14ac:dyDescent="0.3">
      <c r="A24" s="13" t="s">
        <v>275</v>
      </c>
      <c r="B24" s="14" t="s">
        <v>188</v>
      </c>
      <c r="C24" s="10">
        <v>83.861919999999998</v>
      </c>
      <c r="D24" s="15" t="s">
        <v>400</v>
      </c>
      <c r="E24" s="15">
        <f>IF(1.09912="","-",1.09912/3144504.53867*100)</f>
        <v>3.4953678281694702E-5</v>
      </c>
      <c r="F24" s="15">
        <f>IF(83.86192="","-",83.86192/4335076.19734*100)</f>
        <v>1.9344970234077457E-3</v>
      </c>
      <c r="G24" s="15">
        <f>IF(OR(2467106.07968="",0.16791="",1.09912=""),"-",(1.09912-0.16791)/2467106.07968*100)</f>
        <v>3.7745032841100382E-5</v>
      </c>
      <c r="H24" s="15">
        <f>IF(OR(3144504.53867="",83.86192="",1.09912=""),"-",(83.86192-1.09912)/3144504.53867*100)</f>
        <v>2.631982208396028E-3</v>
      </c>
      <c r="I24" s="13"/>
      <c r="J24" s="14"/>
      <c r="K24" s="10"/>
    </row>
    <row r="25" spans="1:11" s="2" customFormat="1" x14ac:dyDescent="0.3">
      <c r="A25" s="13" t="s">
        <v>223</v>
      </c>
      <c r="B25" s="14" t="s">
        <v>189</v>
      </c>
      <c r="C25" s="10">
        <v>3919.2075100000002</v>
      </c>
      <c r="D25" s="15" t="s">
        <v>100</v>
      </c>
      <c r="E25" s="15">
        <f>IF(2379.15321="","-",2379.15321/3144504.53867*100)</f>
        <v>7.566067025001931E-2</v>
      </c>
      <c r="F25" s="15">
        <f>IF(3919.20751="","-",3919.20751/4335076.19734*100)</f>
        <v>9.040688863565588E-2</v>
      </c>
      <c r="G25" s="15">
        <f>IF(OR(2467106.07968="",1555.05533="",2379.15321=""),"-",(2379.15321-1555.05533)/2467106.07968*100)</f>
        <v>3.3403423014015311E-2</v>
      </c>
      <c r="H25" s="15">
        <f>IF(OR(3144504.53867="",3919.20751="",2379.15321=""),"-",(3919.20751-2379.15321)/3144504.53867*100)</f>
        <v>4.8976055879740646E-2</v>
      </c>
      <c r="I25" s="13"/>
      <c r="J25" s="14"/>
      <c r="K25" s="10"/>
    </row>
    <row r="26" spans="1:11" s="2" customFormat="1" ht="14.25" customHeight="1" x14ac:dyDescent="0.3">
      <c r="A26" s="13" t="s">
        <v>224</v>
      </c>
      <c r="B26" s="14" t="s">
        <v>141</v>
      </c>
      <c r="C26" s="10">
        <v>4594.4917999999998</v>
      </c>
      <c r="D26" s="15">
        <f>IF(OR(5278.57428="",4594.4918=""),"-",4594.4918/5278.57428*100)</f>
        <v>87.040393035825574</v>
      </c>
      <c r="E26" s="15">
        <f>IF(5278.57428="","-",5278.57428/3144504.53867*100)</f>
        <v>0.16786664528818351</v>
      </c>
      <c r="F26" s="15">
        <f>IF(4594.4918="","-",4594.4918/4335076.19734*100)</f>
        <v>0.10598410710333479</v>
      </c>
      <c r="G26" s="15">
        <f>IF(OR(2467106.07968="",2057.676="",5278.57428=""),"-",(5278.57428-2057.676)/2467106.07968*100)</f>
        <v>0.13055370040747385</v>
      </c>
      <c r="H26" s="15">
        <f>IF(OR(3144504.53867="",4594.4918="",5278.57428=""),"-",(4594.4918-5278.57428)/3144504.53867*100)</f>
        <v>-2.1754857453293409E-2</v>
      </c>
      <c r="I26" s="13"/>
      <c r="J26" s="14"/>
      <c r="K26" s="10"/>
    </row>
    <row r="27" spans="1:11" s="2" customFormat="1" ht="40.5" customHeight="1" x14ac:dyDescent="0.3">
      <c r="A27" s="13" t="s">
        <v>225</v>
      </c>
      <c r="B27" s="14" t="s">
        <v>142</v>
      </c>
      <c r="C27" s="10">
        <v>266.75657999999999</v>
      </c>
      <c r="D27" s="15">
        <f>IF(OR(320.31112="",266.75658=""),"-",266.75658/320.31112*100)</f>
        <v>83.280461820994532</v>
      </c>
      <c r="E27" s="15">
        <f>IF(320.31112="","-",320.31112/3144504.53867*100)</f>
        <v>1.0186378046554794E-2</v>
      </c>
      <c r="F27" s="15">
        <f>IF(266.75658="","-",266.75658/4335076.19734*100)</f>
        <v>6.1534461646529214E-3</v>
      </c>
      <c r="G27" s="15">
        <f>IF(OR(2467106.07968="",194.20705="",320.31112=""),"-",(320.31112-194.20705)/2467106.07968*100)</f>
        <v>5.1114166123070208E-3</v>
      </c>
      <c r="H27" s="15">
        <f>IF(OR(3144504.53867="",266.75658="",320.31112=""),"-",(266.75658-320.31112)/3144504.53867*100)</f>
        <v>-1.7031153665515604E-3</v>
      </c>
      <c r="I27" s="13"/>
      <c r="J27" s="14"/>
      <c r="K27" s="10"/>
    </row>
    <row r="28" spans="1:11" s="2" customFormat="1" ht="39.6" x14ac:dyDescent="0.3">
      <c r="A28" s="13" t="s">
        <v>226</v>
      </c>
      <c r="B28" s="14" t="s">
        <v>143</v>
      </c>
      <c r="C28" s="10">
        <v>20630.453860000001</v>
      </c>
      <c r="D28" s="15" t="s">
        <v>302</v>
      </c>
      <c r="E28" s="15">
        <f>IF(7482.81373="","-",7482.81373/3144504.53867*100)</f>
        <v>0.23796479343499155</v>
      </c>
      <c r="F28" s="15">
        <f>IF(20630.45386="","-",20630.45386/4335076.19734*100)</f>
        <v>0.47589599169349855</v>
      </c>
      <c r="G28" s="15">
        <f>IF(OR(2467106.07968="",8173.86137="",7482.81373=""),"-",(7482.81373-8173.86137)/2467106.07968*100)</f>
        <v>-2.8010455070891532E-2</v>
      </c>
      <c r="H28" s="15">
        <f>IF(OR(3144504.53867="",20630.45386="",7482.81373=""),"-",(20630.45386-7482.81373)/3144504.53867*100)</f>
        <v>0.41811484029725487</v>
      </c>
      <c r="I28" s="13"/>
      <c r="J28" s="14"/>
      <c r="K28" s="10"/>
    </row>
    <row r="29" spans="1:11" s="2" customFormat="1" ht="15" customHeight="1" x14ac:dyDescent="0.3">
      <c r="A29" s="13" t="s">
        <v>227</v>
      </c>
      <c r="B29" s="14" t="s">
        <v>144</v>
      </c>
      <c r="C29" s="10">
        <v>55769.281499999997</v>
      </c>
      <c r="D29" s="15">
        <f>IF(OR(87298.03001="",55769.2815=""),"-",55769.2815/87298.03001*100)</f>
        <v>63.883780073400985</v>
      </c>
      <c r="E29" s="15">
        <f>IF(87298.03001="","-",87298.03001/3144504.53867*100)</f>
        <v>2.7762093816828637</v>
      </c>
      <c r="F29" s="15">
        <f>IF(55769.2815="","-",55769.2815/4335076.19734*100)</f>
        <v>1.2864660033938962</v>
      </c>
      <c r="G29" s="15">
        <f>IF(OR(2467106.07968="",26982.10838="",87298.03001=""),"-",(87298.03001-26982.10838)/2467106.07968*100)</f>
        <v>2.4448045475946203</v>
      </c>
      <c r="H29" s="15">
        <f>IF(OR(3144504.53867="",55769.2815="",87298.03001=""),"-",(55769.2815-87298.03001)/3144504.53867*100)</f>
        <v>-1.0026618859114578</v>
      </c>
      <c r="I29" s="13"/>
      <c r="J29" s="14"/>
      <c r="K29" s="10"/>
    </row>
    <row r="30" spans="1:11" s="2" customFormat="1" ht="26.4" x14ac:dyDescent="0.3">
      <c r="A30" s="13" t="s">
        <v>228</v>
      </c>
      <c r="B30" s="14" t="s">
        <v>145</v>
      </c>
      <c r="C30" s="10">
        <v>4735.9330399999999</v>
      </c>
      <c r="D30" s="15">
        <f>IF(OR(4570.41146="",4735.93304=""),"-",4735.93304/4570.41146*100)</f>
        <v>103.62159034145253</v>
      </c>
      <c r="E30" s="15">
        <f>IF(4570.41146="","-",4570.41146/3144504.53867*100)</f>
        <v>0.14534599660438402</v>
      </c>
      <c r="F30" s="15">
        <f>IF(4735.93304="","-",4735.93304/4335076.19734*100)</f>
        <v>0.10924682345620511</v>
      </c>
      <c r="G30" s="15">
        <f>IF(OR(2467106.07968="",4577.73403="",4570.41146=""),"-",(4570.41146-4577.73403)/2467106.07968*100)</f>
        <v>-2.9680807243396461E-4</v>
      </c>
      <c r="H30" s="15">
        <f>IF(OR(3144504.53867="",4735.93304="",4570.41146=""),"-",(4735.93304-4570.41146)/3144504.53867*100)</f>
        <v>5.263836574712296E-3</v>
      </c>
      <c r="I30" s="13"/>
      <c r="J30" s="14"/>
      <c r="K30" s="10"/>
    </row>
    <row r="31" spans="1:11" s="2" customFormat="1" ht="26.4" x14ac:dyDescent="0.3">
      <c r="A31" s="11" t="s">
        <v>229</v>
      </c>
      <c r="B31" s="12" t="s">
        <v>146</v>
      </c>
      <c r="C31" s="9">
        <v>592102.46568999998</v>
      </c>
      <c r="D31" s="17" t="s">
        <v>401</v>
      </c>
      <c r="E31" s="17">
        <f>IF(15650.43725="","-",15650.43725/3144504.53867*100)</f>
        <v>0.49770757388124209</v>
      </c>
      <c r="F31" s="17">
        <f>IF(592102.46569="","-",592102.46569/4335076.19734*100)</f>
        <v>13.658409650407382</v>
      </c>
      <c r="G31" s="17">
        <f>IF(2467106.07968="","-",(15650.43725-14485.977)/2467106.07968*100)</f>
        <v>4.7199439845368882E-2</v>
      </c>
      <c r="H31" s="17">
        <f>IF(3144504.53867="","-",(592102.46569-15650.43725)/3144504.53867*100)</f>
        <v>18.332046316072937</v>
      </c>
      <c r="I31" s="13"/>
      <c r="J31" s="14"/>
      <c r="K31" s="10"/>
    </row>
    <row r="32" spans="1:11" s="2" customFormat="1" x14ac:dyDescent="0.3">
      <c r="A32" s="13" t="s">
        <v>230</v>
      </c>
      <c r="B32" s="14" t="s">
        <v>190</v>
      </c>
      <c r="C32" s="10">
        <v>813.15363000000002</v>
      </c>
      <c r="D32" s="15" t="s">
        <v>91</v>
      </c>
      <c r="E32" s="15">
        <f>IF(390.11579="","-",390.11579/3144504.53867*100)</f>
        <v>1.2406272123397963E-2</v>
      </c>
      <c r="F32" s="15">
        <f>IF(813.15363="","-",813.15363/4335076.19734*100)</f>
        <v>1.8757539498358771E-2</v>
      </c>
      <c r="G32" s="15">
        <f>IF(OR(2467106.07968="",117.26958="",390.11579=""),"-",(390.11579-117.26958)/2467106.07968*100)</f>
        <v>1.1059362718419872E-2</v>
      </c>
      <c r="H32" s="15">
        <f>IF(OR(3144504.53867="",813.15363="",390.11579=""),"-",(813.15363-390.11579)/3144504.53867*100)</f>
        <v>1.3453243103885872E-2</v>
      </c>
      <c r="I32" s="11"/>
      <c r="J32" s="12"/>
      <c r="K32" s="9"/>
    </row>
    <row r="33" spans="1:11" s="2" customFormat="1" ht="26.4" x14ac:dyDescent="0.3">
      <c r="A33" s="13" t="s">
        <v>231</v>
      </c>
      <c r="B33" s="14" t="s">
        <v>147</v>
      </c>
      <c r="C33" s="10">
        <v>560739.11525000003</v>
      </c>
      <c r="D33" s="15" t="s">
        <v>402</v>
      </c>
      <c r="E33" s="15">
        <f>IF(15254.12759="","-",15254.12759/3144504.53867*100)</f>
        <v>0.48510432732438946</v>
      </c>
      <c r="F33" s="15">
        <f>IF(560739.11525="","-",560739.11525/4335076.19734*100)</f>
        <v>12.934931007534981</v>
      </c>
      <c r="G33" s="15">
        <f>IF(OR(2467106.07968="",13836.25449="",15254.12759=""),"-",(15254.12759-13836.25449)/2467106.07968*100)</f>
        <v>5.7471103965821703E-2</v>
      </c>
      <c r="H33" s="15">
        <f>IF(OR(3144504.53867="",560739.11525="",15254.12759=""),"-",(560739.11525-15254.12759)/3144504.53867*100)</f>
        <v>17.347247585488248</v>
      </c>
      <c r="I33" s="13"/>
      <c r="J33" s="14"/>
      <c r="K33" s="10"/>
    </row>
    <row r="34" spans="1:11" s="2" customFormat="1" ht="26.4" x14ac:dyDescent="0.3">
      <c r="A34" s="36" t="s">
        <v>276</v>
      </c>
      <c r="B34" s="14" t="s">
        <v>330</v>
      </c>
      <c r="C34" s="10">
        <v>8602.61643</v>
      </c>
      <c r="D34" s="15" t="str">
        <f>IF(OR(""="",8602.61643=""),"-",8602.61643/""*100)</f>
        <v>-</v>
      </c>
      <c r="E34" s="15" t="str">
        <f>IF(""="","-",""/3144504.53867*100)</f>
        <v>-</v>
      </c>
      <c r="F34" s="15">
        <f>IF(8602.61643="","-",8602.61643/4335076.19734*100)</f>
        <v>0.19844210432283887</v>
      </c>
      <c r="G34" s="15" t="str">
        <f>IF(OR(2467106.07968="",525.37764="",""=""),"-",(""-525.37764)/2467106.07968*100)</f>
        <v>-</v>
      </c>
      <c r="H34" s="15" t="str">
        <f>IF(OR(3144504.53867="",8602.61643="",""=""),"-",(8602.61643-"")/3144504.53867*100)</f>
        <v>-</v>
      </c>
      <c r="I34" s="13"/>
      <c r="J34" s="14"/>
      <c r="K34" s="10"/>
    </row>
    <row r="35" spans="1:11" s="2" customFormat="1" x14ac:dyDescent="0.3">
      <c r="A35" s="13" t="s">
        <v>282</v>
      </c>
      <c r="B35" s="14" t="s">
        <v>283</v>
      </c>
      <c r="C35" s="10">
        <v>21947.580379999999</v>
      </c>
      <c r="D35" s="15" t="s">
        <v>395</v>
      </c>
      <c r="E35" s="15">
        <f>IF(6.19387="","-",6.19387/3144504.53867*100)</f>
        <v>1.9697443345461859E-4</v>
      </c>
      <c r="F35" s="15">
        <f>IF(21947.58038="","-",21947.58038/4335076.19734*100)</f>
        <v>0.5062789990512051</v>
      </c>
      <c r="G35" s="15">
        <f>IF(OR(2467106.07968="",7.07529="",6.19387=""),"-",(6.19387-7.07529)/2467106.07968*100)</f>
        <v>-3.572687884236925E-5</v>
      </c>
      <c r="H35" s="15">
        <f>IF(OR(3144504.53867="",21947.58038="",6.19387=""),"-",(21947.58038-6.19387)/3144504.53867*100)</f>
        <v>0.69776927462411387</v>
      </c>
      <c r="I35" s="13"/>
      <c r="J35" s="14"/>
      <c r="K35" s="10"/>
    </row>
    <row r="36" spans="1:11" s="2" customFormat="1" ht="26.4" x14ac:dyDescent="0.3">
      <c r="A36" s="11" t="s">
        <v>232</v>
      </c>
      <c r="B36" s="12" t="s">
        <v>148</v>
      </c>
      <c r="C36" s="9">
        <v>376035.04360999999</v>
      </c>
      <c r="D36" s="17" t="s">
        <v>325</v>
      </c>
      <c r="E36" s="17">
        <f>IF(121090.94646="","-",121090.94646/3144504.53867*100)</f>
        <v>3.8508752323574842</v>
      </c>
      <c r="F36" s="17">
        <f>IF(376035.04361="","-",376035.04361/4335076.19734*100)</f>
        <v>8.6742430004052711</v>
      </c>
      <c r="G36" s="17">
        <f>IF(2467106.07968="","-",(121090.94646-103447.71656)/2467106.07968*100)</f>
        <v>0.71513868192844177</v>
      </c>
      <c r="H36" s="17">
        <f>IF(3144504.53867="","-",(376035.04361-121090.94646)/3144504.53867*100)</f>
        <v>8.1076078604685744</v>
      </c>
      <c r="I36" s="13"/>
      <c r="J36" s="14"/>
      <c r="K36" s="10"/>
    </row>
    <row r="37" spans="1:11" s="2" customFormat="1" ht="15.75" customHeight="1" x14ac:dyDescent="0.3">
      <c r="A37" s="13" t="s">
        <v>233</v>
      </c>
      <c r="B37" s="14" t="s">
        <v>194</v>
      </c>
      <c r="C37" s="10">
        <v>2.7789799999999998</v>
      </c>
      <c r="D37" s="15">
        <f>IF(OR(10.8626="",2.77898=""),"-",2.77898/10.8626*100)</f>
        <v>25.583009592546901</v>
      </c>
      <c r="E37" s="15">
        <f>IF(10.8626="","-",10.8626/3144504.53867*100)</f>
        <v>3.4544710832551211E-4</v>
      </c>
      <c r="F37" s="15">
        <f>IF(2.77898="","-",2.77898/4335076.19734*100)</f>
        <v>6.4104524891746531E-5</v>
      </c>
      <c r="G37" s="15">
        <f>IF(OR(2467106.07968="",6.15383="",10.8626=""),"-",(10.8626-6.15383)/2467106.07968*100)</f>
        <v>1.9086208083159356E-4</v>
      </c>
      <c r="H37" s="15">
        <f>IF(OR(3144504.53867="",2.77898="",10.8626=""),"-",(2.77898-10.8626)/3144504.53867*100)</f>
        <v>-2.5707134146542044E-4</v>
      </c>
      <c r="I37" s="11"/>
      <c r="J37" s="12"/>
      <c r="K37" s="9"/>
    </row>
    <row r="38" spans="1:11" s="2" customFormat="1" ht="26.4" x14ac:dyDescent="0.3">
      <c r="A38" s="13" t="s">
        <v>234</v>
      </c>
      <c r="B38" s="14" t="s">
        <v>149</v>
      </c>
      <c r="C38" s="10">
        <v>376020.14695999998</v>
      </c>
      <c r="D38" s="15" t="s">
        <v>325</v>
      </c>
      <c r="E38" s="15">
        <f>IF(121076.52153="","-",121076.52153/3144504.53867*100)</f>
        <v>3.8504164977675797</v>
      </c>
      <c r="F38" s="15">
        <f>IF(376020.14696="","-",376020.14696/4335076.19734*100)</f>
        <v>8.6738993697671489</v>
      </c>
      <c r="G38" s="15">
        <f>IF(OR(2467106.07968="",103398.85552="",121076.52153=""),"-",(121076.52153-103398.85552)/2467106.07968*100)</f>
        <v>0.71653449179181261</v>
      </c>
      <c r="H38" s="15">
        <f>IF(OR(3144504.53867="",376020.14696="",121076.52153=""),"-",(376020.14696-121076.52153)/3144504.53867*100)</f>
        <v>8.1075928590591548</v>
      </c>
      <c r="I38" s="13"/>
      <c r="J38" s="14"/>
      <c r="K38" s="10"/>
    </row>
    <row r="39" spans="1:11" s="2" customFormat="1" ht="65.25" customHeight="1" x14ac:dyDescent="0.3">
      <c r="A39" s="13" t="s">
        <v>235</v>
      </c>
      <c r="B39" s="14" t="s">
        <v>192</v>
      </c>
      <c r="C39" s="10">
        <v>12.11767</v>
      </c>
      <c r="D39" s="15" t="s">
        <v>358</v>
      </c>
      <c r="E39" s="15">
        <f>IF(3.56233="","-",3.56233/3144504.53867*100)</f>
        <v>1.1328748157910828E-4</v>
      </c>
      <c r="F39" s="15">
        <f>IF(12.11767="","-",12.11767/4335076.19734*100)</f>
        <v>2.7952611323038323E-4</v>
      </c>
      <c r="G39" s="15">
        <f>IF(OR(2467106.07968="",42.70721="",3.56233=""),"-",(3.56233-42.70721)/2467106.07968*100)</f>
        <v>-1.5866719442026323E-3</v>
      </c>
      <c r="H39" s="15">
        <f>IF(OR(3144504.53867="",12.11767="",3.56233=""),"-",(12.11767-3.56233)/3144504.53867*100)</f>
        <v>2.7207275088299179E-4</v>
      </c>
      <c r="I39" s="11"/>
      <c r="J39" s="12"/>
      <c r="K39" s="9"/>
    </row>
    <row r="40" spans="1:11" s="2" customFormat="1" ht="26.4" x14ac:dyDescent="0.3">
      <c r="A40" s="11" t="s">
        <v>236</v>
      </c>
      <c r="B40" s="12" t="s">
        <v>150</v>
      </c>
      <c r="C40" s="9">
        <v>146415.47661000001</v>
      </c>
      <c r="D40" s="17">
        <f>IF(152637.46066="","-",146415.47661/152637.46066*100)</f>
        <v>95.923684773648404</v>
      </c>
      <c r="E40" s="17">
        <f>IF(152637.46066="","-",152637.46066/3144504.53867*100)</f>
        <v>4.8541020940793285</v>
      </c>
      <c r="F40" s="17">
        <f>IF(146415.47661="","-",146415.47661/4335076.19734*100)</f>
        <v>3.3774602785492083</v>
      </c>
      <c r="G40" s="17">
        <f>IF(2467106.07968="","-",(152637.46066-127666.01056)/2467106.07968*100)</f>
        <v>1.012175775726635</v>
      </c>
      <c r="H40" s="17">
        <f>IF(3144504.53867="","-",(146415.47661-152637.46066)/3144504.53867*100)</f>
        <v>-0.1978685027636071</v>
      </c>
      <c r="I40" s="13"/>
      <c r="J40" s="14"/>
      <c r="K40" s="10"/>
    </row>
    <row r="41" spans="1:11" s="2" customFormat="1" x14ac:dyDescent="0.3">
      <c r="A41" s="13" t="s">
        <v>237</v>
      </c>
      <c r="B41" s="14" t="s">
        <v>23</v>
      </c>
      <c r="C41" s="10">
        <v>49998.401129999998</v>
      </c>
      <c r="D41" s="15">
        <f>IF(OR(36498.4703399999="",49998.40113=""),"-",49998.40113/36498.4703399999*100)</f>
        <v>136.98766185059836</v>
      </c>
      <c r="E41" s="15">
        <f>IF(36498.4703399999="","-",36498.4703399999/3144504.53867*100)</f>
        <v>1.1607065561888898</v>
      </c>
      <c r="F41" s="15">
        <f>IF(49998.40113="","-",49998.40113/4335076.19734*100)</f>
        <v>1.1533453820414732</v>
      </c>
      <c r="G41" s="15">
        <f>IF(OR(2467106.07968="",49322.46066="",36498.4703399999=""),"-",(36498.4703399999-49322.46066)/2467106.07968*100)</f>
        <v>-0.51979890226947423</v>
      </c>
      <c r="H41" s="15">
        <f>IF(OR(3144504.53867="",49998.40113="",36498.4703399999=""),"-",(49998.40113-36498.4703399999)/3144504.53867*100)</f>
        <v>0.42931821608087212</v>
      </c>
      <c r="I41" s="13"/>
      <c r="J41" s="14"/>
      <c r="K41" s="10"/>
    </row>
    <row r="42" spans="1:11" s="2" customFormat="1" x14ac:dyDescent="0.3">
      <c r="A42" s="13" t="s">
        <v>238</v>
      </c>
      <c r="B42" s="14" t="s">
        <v>24</v>
      </c>
      <c r="C42" s="10">
        <v>8349.4222599999994</v>
      </c>
      <c r="D42" s="15" t="s">
        <v>363</v>
      </c>
      <c r="E42" s="15">
        <f>IF(1484.16094="","-",1484.16094/3144504.53867*100)</f>
        <v>4.7198562500016007E-2</v>
      </c>
      <c r="F42" s="15">
        <f>IF(8349.42226="","-",8349.42226/4335076.19734*100)</f>
        <v>0.19260151102126413</v>
      </c>
      <c r="G42" s="15">
        <f>IF(OR(2467106.07968="",1622.92387="",1484.16094=""),"-",(1484.16094-1622.92387)/2467106.07968*100)</f>
        <v>-5.6245222344877268E-3</v>
      </c>
      <c r="H42" s="15">
        <f>IF(OR(3144504.53867="",8349.42226="",1484.16094=""),"-",(8349.42226-1484.16094)/3144504.53867*100)</f>
        <v>0.21832569282611786</v>
      </c>
      <c r="I42" s="13"/>
      <c r="J42" s="14"/>
      <c r="K42" s="10"/>
    </row>
    <row r="43" spans="1:11" s="2" customFormat="1" ht="16.5" customHeight="1" x14ac:dyDescent="0.3">
      <c r="A43" s="13" t="s">
        <v>239</v>
      </c>
      <c r="B43" s="14" t="s">
        <v>151</v>
      </c>
      <c r="C43" s="10">
        <v>3293.6201900000001</v>
      </c>
      <c r="D43" s="15">
        <f>IF(OR(2953.04481="",3293.62019=""),"-",3293.62019/2953.04481*100)</f>
        <v>111.5330244514644</v>
      </c>
      <c r="E43" s="15">
        <f>IF(2953.04481="","-",2953.04481/3144504.53867*100)</f>
        <v>9.3911291069372099E-2</v>
      </c>
      <c r="F43" s="15">
        <f>IF(3293.62019="","-",3293.62019/4335076.19734*100)</f>
        <v>7.5976062243633985E-2</v>
      </c>
      <c r="G43" s="15">
        <f>IF(OR(2467106.07968="",942.2065="",2953.04481=""),"-",(2953.04481-942.2065)/2467106.07968*100)</f>
        <v>8.1505952523161021E-2</v>
      </c>
      <c r="H43" s="15">
        <f>IF(OR(3144504.53867="",3293.62019="",2953.04481=""),"-",(3293.62019-2953.04481)/3144504.53867*100)</f>
        <v>1.0830812161716582E-2</v>
      </c>
      <c r="I43" s="13"/>
      <c r="J43" s="14"/>
      <c r="K43" s="10"/>
    </row>
    <row r="44" spans="1:11" s="2" customFormat="1" x14ac:dyDescent="0.3">
      <c r="A44" s="13" t="s">
        <v>240</v>
      </c>
      <c r="B44" s="14" t="s">
        <v>152</v>
      </c>
      <c r="C44" s="10">
        <v>45578.515019999999</v>
      </c>
      <c r="D44" s="15">
        <f>IF(OR(86373.07162="",45578.51502=""),"-",45578.51502/86373.07162*100)</f>
        <v>52.769357584645768</v>
      </c>
      <c r="E44" s="15">
        <f>IF(86373.07162="","-",86373.07162/3144504.53867*100)</f>
        <v>2.7467943059968478</v>
      </c>
      <c r="F44" s="15">
        <f>IF(45578.51502="","-",45578.51502/4335076.19734*100)</f>
        <v>1.0513890170596527</v>
      </c>
      <c r="G44" s="15">
        <f>IF(OR(2467106.07968="",56568.17147="",86373.07162=""),"-",(86373.07162-56568.17147)/2467106.07968*100)</f>
        <v>1.2080915529123051</v>
      </c>
      <c r="H44" s="15">
        <f>IF(OR(3144504.53867="",45578.51502="",86373.07162=""),"-",(45578.51502-86373.07162)/3144504.53867*100)</f>
        <v>-1.2973285965506818</v>
      </c>
      <c r="I44" s="13"/>
      <c r="J44" s="14"/>
      <c r="K44" s="10"/>
    </row>
    <row r="45" spans="1:11" ht="39.6" x14ac:dyDescent="0.3">
      <c r="A45" s="13" t="s">
        <v>241</v>
      </c>
      <c r="B45" s="14" t="s">
        <v>153</v>
      </c>
      <c r="C45" s="10">
        <v>19271.294839999999</v>
      </c>
      <c r="D45" s="15">
        <f>IF(OR(13168.75099="",19271.29484=""),"-",19271.29484/13168.75099*100)</f>
        <v>146.34109836714285</v>
      </c>
      <c r="E45" s="15">
        <f>IF(13168.75099="","-",13168.75099/3144504.53867*100)</f>
        <v>0.41878619757279334</v>
      </c>
      <c r="F45" s="15">
        <f>IF(19271.29484="","-",19271.29484/4335076.19734*100)</f>
        <v>0.44454339353538591</v>
      </c>
      <c r="G45" s="15">
        <f>IF(OR(2467106.07968="",11514.70515="",13168.75099=""),"-",(13168.75099-11514.70515)/2467106.07968*100)</f>
        <v>6.7043969192218181E-2</v>
      </c>
      <c r="H45" s="15">
        <f>IF(OR(3144504.53867="",19271.29484="",13168.75099=""),"-",(19271.29484-13168.75099)/3144504.53867*100)</f>
        <v>0.19407012376522537</v>
      </c>
      <c r="I45" s="13"/>
      <c r="J45" s="14"/>
      <c r="K45" s="10"/>
    </row>
    <row r="46" spans="1:11" x14ac:dyDescent="0.3">
      <c r="A46" s="13" t="s">
        <v>242</v>
      </c>
      <c r="B46" s="14" t="s">
        <v>154</v>
      </c>
      <c r="C46" s="10">
        <v>266.11606</v>
      </c>
      <c r="D46" s="15">
        <f>IF(OR(176.44687="",266.11606=""),"-",266.11606/176.44687*100)</f>
        <v>150.81937129289969</v>
      </c>
      <c r="E46" s="15">
        <f>IF(176.44687="","-",176.44687/3144504.53867*100)</f>
        <v>5.6112773198486133E-3</v>
      </c>
      <c r="F46" s="15">
        <f>IF(266.11606="","-",266.11606/4335076.19734*100)</f>
        <v>6.1386708764955182E-3</v>
      </c>
      <c r="G46" s="15">
        <f>IF(OR(2467106.07968="",37.30839="",176.44687=""),"-",(176.44687-37.30839)/2467106.07968*100)</f>
        <v>5.6397445227830325E-3</v>
      </c>
      <c r="H46" s="15">
        <f>IF(OR(3144504.53867="",266.11606="",176.44687=""),"-",(266.11606-176.44687)/3144504.53867*100)</f>
        <v>2.8516158554481369E-3</v>
      </c>
      <c r="I46" s="13"/>
      <c r="J46" s="14"/>
      <c r="K46" s="10"/>
    </row>
    <row r="47" spans="1:11" x14ac:dyDescent="0.3">
      <c r="A47" s="13" t="s">
        <v>243</v>
      </c>
      <c r="B47" s="14" t="s">
        <v>25</v>
      </c>
      <c r="C47" s="10">
        <v>6042.6541900000002</v>
      </c>
      <c r="D47" s="15" t="s">
        <v>18</v>
      </c>
      <c r="E47" s="15">
        <f>IF(3056.14151="","-",3056.14151/3144504.53867*100)</f>
        <v>9.7189922050251704E-2</v>
      </c>
      <c r="F47" s="15">
        <f>IF(6042.65419="","-",6042.65419/4335076.19734*100)</f>
        <v>0.13938980342970136</v>
      </c>
      <c r="G47" s="15">
        <f>IF(OR(2467106.07968="",1998.75001="",3056.14151=""),"-",(3056.14151-1998.75001)/2467106.07968*100)</f>
        <v>4.2859587948368666E-2</v>
      </c>
      <c r="H47" s="15">
        <f>IF(OR(3144504.53867="",6042.65419="",3056.14151=""),"-",(6042.65419-3056.14151)/3144504.53867*100)</f>
        <v>9.497561995134457E-2</v>
      </c>
      <c r="I47" s="13"/>
      <c r="J47" s="14"/>
      <c r="K47" s="10"/>
    </row>
    <row r="48" spans="1:11" x14ac:dyDescent="0.3">
      <c r="A48" s="13" t="s">
        <v>244</v>
      </c>
      <c r="B48" s="14" t="s">
        <v>26</v>
      </c>
      <c r="C48" s="10">
        <v>7901.8815299999997</v>
      </c>
      <c r="D48" s="15" t="s">
        <v>196</v>
      </c>
      <c r="E48" s="15">
        <f>IF(3656.08428="","-",3656.08428/3144504.53867*100)</f>
        <v>0.11626900947474472</v>
      </c>
      <c r="F48" s="15">
        <f>IF(7901.88153="","-",7901.88153/4335076.19734*100)</f>
        <v>0.18227780021141468</v>
      </c>
      <c r="G48" s="15">
        <f>IF(OR(2467106.07968="",2599.8964="",3656.08428=""),"-",(3656.08428-2599.8964)/2467106.07968*100)</f>
        <v>4.2810801233848624E-2</v>
      </c>
      <c r="H48" s="15">
        <f>IF(OR(3144504.53867="",7901.88153="",3656.08428=""),"-",(7901.88153-3656.08428)/3144504.53867*100)</f>
        <v>0.13502277378794314</v>
      </c>
      <c r="I48" s="13"/>
      <c r="J48" s="14"/>
      <c r="K48" s="10"/>
    </row>
    <row r="49" spans="1:11" x14ac:dyDescent="0.3">
      <c r="A49" s="13" t="s">
        <v>245</v>
      </c>
      <c r="B49" s="14" t="s">
        <v>155</v>
      </c>
      <c r="C49" s="10">
        <v>5713.5713900000001</v>
      </c>
      <c r="D49" s="15">
        <f>IF(OR(5271.2893="",5713.57139=""),"-",5713.57139/5271.2893*100)</f>
        <v>108.39039682379033</v>
      </c>
      <c r="E49" s="15">
        <f>IF(5271.2893="","-",5271.2893/3144504.53867*100)</f>
        <v>0.16763497190656132</v>
      </c>
      <c r="F49" s="15">
        <f>IF(5713.57139="","-",5713.57139/4335076.19734*100)</f>
        <v>0.13179863813018658</v>
      </c>
      <c r="G49" s="15">
        <f>IF(OR(2467106.07968="",3059.58811="",5271.2893=""),"-",(5271.2893-3059.58811)/2467106.07968*100)</f>
        <v>8.9647591897907872E-2</v>
      </c>
      <c r="H49" s="15">
        <f>IF(OR(3144504.53867="",5713.57139="",5271.2893=""),"-",(5713.57139-5271.2893)/3144504.53867*100)</f>
        <v>1.4065239358409937E-2</v>
      </c>
      <c r="I49" s="11"/>
      <c r="J49" s="12"/>
      <c r="K49" s="9"/>
    </row>
    <row r="50" spans="1:11" ht="26.4" x14ac:dyDescent="0.3">
      <c r="A50" s="11" t="s">
        <v>246</v>
      </c>
      <c r="B50" s="12" t="s">
        <v>331</v>
      </c>
      <c r="C50" s="9">
        <v>290852.92339000001</v>
      </c>
      <c r="D50" s="17">
        <f>IF(243392.00173="","-",290852.92339/243392.00173*100)</f>
        <v>119.4997868963046</v>
      </c>
      <c r="E50" s="17">
        <f>IF(243392.00173="","-",243392.00173/3144504.53867*100)</f>
        <v>7.7402337550113725</v>
      </c>
      <c r="F50" s="17">
        <f>IF(290852.92339="","-",290852.92339/4335076.19734*100)</f>
        <v>6.7092920666185094</v>
      </c>
      <c r="G50" s="17">
        <f>IF(2467106.07968="","-",(243392.00173-173505.34842)/2467106.07968*100)</f>
        <v>2.832738076632066</v>
      </c>
      <c r="H50" s="17">
        <f>IF(3144504.53867="","-",(290852.92339-243392.00173)/3144504.53867*100)</f>
        <v>1.5093290875030536</v>
      </c>
      <c r="I50" s="13"/>
      <c r="J50" s="14"/>
      <c r="K50" s="10"/>
    </row>
    <row r="51" spans="1:11" x14ac:dyDescent="0.3">
      <c r="A51" s="13" t="s">
        <v>247</v>
      </c>
      <c r="B51" s="14" t="s">
        <v>156</v>
      </c>
      <c r="C51" s="10">
        <v>3146.6422699999998</v>
      </c>
      <c r="D51" s="15" t="s">
        <v>342</v>
      </c>
      <c r="E51" s="15">
        <f>IF(1045.16368="","-",1045.16368/3144504.53867*100)</f>
        <v>3.3237785703501083E-2</v>
      </c>
      <c r="F51" s="15">
        <f>IF(3146.64227="","-",3146.64227/4335076.19734*100)</f>
        <v>7.2585627720471835E-2</v>
      </c>
      <c r="G51" s="15">
        <f>IF(OR(2467106.07968="",836.63564="",1045.16368=""),"-",(1045.16368-836.63564)/2467106.07968*100)</f>
        <v>8.4523337572516392E-3</v>
      </c>
      <c r="H51" s="15">
        <f>IF(OR(3144504.53867="",3146.64227="",1045.16368=""),"-",(3146.64227-1045.16368)/3144504.53867*100)</f>
        <v>6.6830197385844489E-2</v>
      </c>
      <c r="I51" s="13"/>
      <c r="J51" s="14"/>
      <c r="K51" s="10"/>
    </row>
    <row r="52" spans="1:11" x14ac:dyDescent="0.3">
      <c r="A52" s="13" t="s">
        <v>248</v>
      </c>
      <c r="B52" s="14" t="s">
        <v>27</v>
      </c>
      <c r="C52" s="10">
        <v>2238.7311800000002</v>
      </c>
      <c r="D52" s="15" t="s">
        <v>99</v>
      </c>
      <c r="E52" s="15">
        <f>IF(1333.18517="","-",1333.18517/3144504.53867*100)</f>
        <v>4.2397304682024212E-2</v>
      </c>
      <c r="F52" s="15">
        <f>IF(2238.73118="","-",2238.73118/4335076.19734*100)</f>
        <v>5.1642256746806073E-2</v>
      </c>
      <c r="G52" s="15">
        <f>IF(OR(2467106.07968="",2256.06341="",1333.18517=""),"-",(1333.18517-2256.06341)/2467106.07968*100)</f>
        <v>-3.7407318947538071E-2</v>
      </c>
      <c r="H52" s="15">
        <f>IF(OR(3144504.53867="",2238.73118="",1333.18517=""),"-",(2238.73118-1333.18517)/3144504.53867*100)</f>
        <v>2.8797732643216663E-2</v>
      </c>
      <c r="I52" s="13"/>
      <c r="J52" s="14"/>
      <c r="K52" s="10"/>
    </row>
    <row r="53" spans="1:11" ht="16.5" customHeight="1" x14ac:dyDescent="0.3">
      <c r="A53" s="13" t="s">
        <v>249</v>
      </c>
      <c r="B53" s="14" t="s">
        <v>157</v>
      </c>
      <c r="C53" s="10">
        <v>25879.603449999999</v>
      </c>
      <c r="D53" s="15">
        <f>IF(OR(25549.12331="",25879.60345=""),"-",25879.60345/25549.12331*100)</f>
        <v>101.29350872822572</v>
      </c>
      <c r="E53" s="15">
        <f>IF(25549.12331="","-",25549.12331/3144504.53867*100)</f>
        <v>0.81250076111533487</v>
      </c>
      <c r="F53" s="15">
        <f>IF(25879.60345="","-",25879.60345/4335076.19734*100)</f>
        <v>0.59698151247905873</v>
      </c>
      <c r="G53" s="15">
        <f>IF(OR(2467106.07968="",19349.42375="",25549.12331=""),"-",(25549.12331-19349.42375)/2467106.07968*100)</f>
        <v>0.25129440566269201</v>
      </c>
      <c r="H53" s="15">
        <f>IF(OR(3144504.53867="",25879.60345="",25549.12331=""),"-",(25879.60345-25549.12331)/3144504.53867*100)</f>
        <v>1.0509768261927189E-2</v>
      </c>
      <c r="I53" s="13"/>
      <c r="J53" s="14"/>
      <c r="K53" s="10"/>
    </row>
    <row r="54" spans="1:11" ht="26.4" x14ac:dyDescent="0.3">
      <c r="A54" s="13" t="s">
        <v>250</v>
      </c>
      <c r="B54" s="14" t="s">
        <v>158</v>
      </c>
      <c r="C54" s="10">
        <v>19793.07602</v>
      </c>
      <c r="D54" s="15" t="s">
        <v>99</v>
      </c>
      <c r="E54" s="15">
        <f>IF(11579.33187="","-",11579.33187/3144504.53867*100)</f>
        <v>0.36824026575892926</v>
      </c>
      <c r="F54" s="15">
        <f>IF(19793.07602="","-",19793.07602/4335076.19734*100)</f>
        <v>0.45657965671157097</v>
      </c>
      <c r="G54" s="15">
        <f>IF(OR(2467106.07968="",8986.90474="",11579.33187=""),"-",(11579.33187-8986.90474)/2467106.07968*100)</f>
        <v>0.10507967822511528</v>
      </c>
      <c r="H54" s="15">
        <f>IF(OR(3144504.53867="",19793.07602="",11579.33187=""),"-",(19793.07602-11579.33187)/3144504.53867*100)</f>
        <v>0.26120948623194185</v>
      </c>
      <c r="I54" s="13"/>
      <c r="J54" s="14"/>
      <c r="K54" s="10"/>
    </row>
    <row r="55" spans="1:11" ht="15.75" customHeight="1" x14ac:dyDescent="0.3">
      <c r="A55" s="13" t="s">
        <v>251</v>
      </c>
      <c r="B55" s="14" t="s">
        <v>159</v>
      </c>
      <c r="C55" s="10">
        <v>92878.495259999996</v>
      </c>
      <c r="D55" s="15">
        <f>IF(OR(80695.40961="",92878.49526=""),"-",92878.49526/80695.40961*100)</f>
        <v>115.09761919405418</v>
      </c>
      <c r="E55" s="15">
        <f>IF(80695.40961="","-",80695.40961/3144504.53867*100)</f>
        <v>2.5662360673243274</v>
      </c>
      <c r="F55" s="15">
        <f>IF(92878.49526="","-",92878.49526/4335076.19734*100)</f>
        <v>2.1424881831832661</v>
      </c>
      <c r="G55" s="15">
        <f>IF(OR(2467106.07968="",62288.0683399999="",80695.40961=""),"-",(80695.40961-62288.0683399999)/2467106.07968*100)</f>
        <v>0.74611065254184994</v>
      </c>
      <c r="H55" s="15">
        <f>IF(OR(3144504.53867="",92878.49526="",80695.40961=""),"-",(92878.49526-80695.40961)/3144504.53867*100)</f>
        <v>0.38744054906509856</v>
      </c>
      <c r="I55" s="13"/>
      <c r="J55" s="14"/>
      <c r="K55" s="10"/>
    </row>
    <row r="56" spans="1:11" x14ac:dyDescent="0.3">
      <c r="A56" s="13" t="s">
        <v>252</v>
      </c>
      <c r="B56" s="14" t="s">
        <v>28</v>
      </c>
      <c r="C56" s="10">
        <v>94053.384659999996</v>
      </c>
      <c r="D56" s="15">
        <f>IF(OR(66811.21003="",94053.38466=""),"-",94053.38466/66811.21003*100)</f>
        <v>140.77485592278231</v>
      </c>
      <c r="E56" s="15">
        <f>IF(66811.21003="","-",66811.21003/3144504.53867*100)</f>
        <v>2.1246975225629181</v>
      </c>
      <c r="F56" s="15">
        <f>IF(94053.38466="","-",94053.38466/4335076.19734*100)</f>
        <v>2.1695901151105734</v>
      </c>
      <c r="G56" s="15">
        <f>IF(OR(2467106.07968="",50074.34278="",66811.21003=""),"-",(66811.21003-50074.34278)/2467106.07968*100)</f>
        <v>0.67840079467401282</v>
      </c>
      <c r="H56" s="15">
        <f>IF(OR(3144504.53867="",94053.38466="",66811.21003=""),"-",(94053.38466-66811.21003)/3144504.53867*100)</f>
        <v>0.86634235361995515</v>
      </c>
      <c r="I56" s="13"/>
      <c r="J56" s="14"/>
      <c r="K56" s="10"/>
    </row>
    <row r="57" spans="1:11" x14ac:dyDescent="0.3">
      <c r="A57" s="13" t="s">
        <v>253</v>
      </c>
      <c r="B57" s="14" t="s">
        <v>160</v>
      </c>
      <c r="C57" s="10">
        <v>9840.9108099999994</v>
      </c>
      <c r="D57" s="15">
        <f>IF(OR(12821.65028="",9840.91081=""),"-",9840.91081/12821.65028*100)</f>
        <v>76.752294713188817</v>
      </c>
      <c r="E57" s="15">
        <f>IF(12821.65028="","-",12821.65028/3144504.53867*100)</f>
        <v>0.4077478700483303</v>
      </c>
      <c r="F57" s="15">
        <f>IF(9840.91081="","-",9840.91081/4335076.19734*100)</f>
        <v>0.22700663983803501</v>
      </c>
      <c r="G57" s="15">
        <f>IF(OR(2467106.07968="",1467.46042="",12821.65028=""),"-",(12821.65028-1467.46042)/2467106.07968*100)</f>
        <v>0.46022301000825688</v>
      </c>
      <c r="H57" s="15">
        <f>IF(OR(3144504.53867="",9840.91081="",12821.65028=""),"-",(9840.91081-12821.65028)/3144504.53867*100)</f>
        <v>-9.4792023142085666E-2</v>
      </c>
      <c r="I57" s="13"/>
      <c r="J57" s="14"/>
      <c r="K57" s="10"/>
    </row>
    <row r="58" spans="1:11" x14ac:dyDescent="0.3">
      <c r="A58" s="13" t="s">
        <v>254</v>
      </c>
      <c r="B58" s="14" t="s">
        <v>29</v>
      </c>
      <c r="C58" s="10">
        <v>1757.46767</v>
      </c>
      <c r="D58" s="15">
        <f>IF(OR(1983.54381="",1757.46767=""),"-",1757.46767/1983.54381*100)</f>
        <v>88.602412567837362</v>
      </c>
      <c r="E58" s="15">
        <f>IF(1983.54381="","-",1983.54381/3144504.53867*100)</f>
        <v>6.3079693020222496E-2</v>
      </c>
      <c r="F58" s="15">
        <f>IF(1757.46767="","-",1757.46767/4335076.19734*100)</f>
        <v>4.0540640809921195E-2</v>
      </c>
      <c r="G58" s="15">
        <f>IF(OR(2467106.07968="",2167.6636="",1983.54381=""),"-",(1983.54381-2167.6636)/2467106.07968*100)</f>
        <v>-7.462986351356303E-3</v>
      </c>
      <c r="H58" s="15">
        <f>IF(OR(3144504.53867="",1757.46767="",1983.54381=""),"-",(1757.46767-1983.54381)/3144504.53867*100)</f>
        <v>-7.1895631639196517E-3</v>
      </c>
      <c r="I58" s="13"/>
      <c r="J58" s="14"/>
      <c r="K58" s="10"/>
    </row>
    <row r="59" spans="1:11" x14ac:dyDescent="0.3">
      <c r="A59" s="13" t="s">
        <v>255</v>
      </c>
      <c r="B59" s="14" t="s">
        <v>30</v>
      </c>
      <c r="C59" s="10">
        <v>41264.612070000003</v>
      </c>
      <c r="D59" s="15">
        <f>IF(OR(41573.38397="",41264.61207=""),"-",41264.61207/41573.38397*100)</f>
        <v>99.257284660246043</v>
      </c>
      <c r="E59" s="15">
        <f>IF(41573.38397="","-",41573.38397/3144504.53867*100)</f>
        <v>1.3220964847957855</v>
      </c>
      <c r="F59" s="15">
        <f>IF(41264.61207="","-",41264.61207/4335076.19734*100)</f>
        <v>0.95187743401880542</v>
      </c>
      <c r="G59" s="15">
        <f>IF(OR(2467106.07968="",26078.78574="",41573.38397=""),"-",(41573.38397-26078.78574)/2467106.07968*100)</f>
        <v>0.62804750706178614</v>
      </c>
      <c r="H59" s="15">
        <f>IF(OR(3144504.53867="",41264.61207="",41573.38397=""),"-",(41264.61207-41573.38397)/3144504.53867*100)</f>
        <v>-9.8194133989260492E-3</v>
      </c>
      <c r="I59" s="11"/>
      <c r="J59" s="12"/>
      <c r="K59" s="9"/>
    </row>
    <row r="60" spans="1:11" ht="15" customHeight="1" x14ac:dyDescent="0.3">
      <c r="A60" s="11" t="s">
        <v>256</v>
      </c>
      <c r="B60" s="12" t="s">
        <v>161</v>
      </c>
      <c r="C60" s="9">
        <v>692063.24288999999</v>
      </c>
      <c r="D60" s="17">
        <f>IF(635226.79853="","-",692063.24289/635226.79853*100)</f>
        <v>108.94742546937992</v>
      </c>
      <c r="E60" s="17">
        <f>IF(635226.79853="","-",635226.79853/3144504.53867*100)</f>
        <v>20.201172894432379</v>
      </c>
      <c r="F60" s="17">
        <f>IF(692063.24289="","-",692063.24289/4335076.19734*100)</f>
        <v>15.964269401184907</v>
      </c>
      <c r="G60" s="17">
        <f>IF(2467106.07968="","-",(635226.79853-548856.53488)/2467106.07968*100)</f>
        <v>3.5008735279515335</v>
      </c>
      <c r="H60" s="17">
        <f>IF(3144504.53867="","-",(692063.24289-635226.79853)/3144504.53867*100)</f>
        <v>1.8074848886699177</v>
      </c>
      <c r="I60" s="13"/>
      <c r="J60" s="14"/>
      <c r="K60" s="10"/>
    </row>
    <row r="61" spans="1:11" ht="26.4" x14ac:dyDescent="0.3">
      <c r="A61" s="13" t="s">
        <v>257</v>
      </c>
      <c r="B61" s="14" t="s">
        <v>162</v>
      </c>
      <c r="C61" s="10">
        <v>5458.6887500000003</v>
      </c>
      <c r="D61" s="15" t="s">
        <v>281</v>
      </c>
      <c r="E61" s="15">
        <f>IF(2303.95944="","-",2303.95944/3144504.53867*100)</f>
        <v>7.326939464283562E-2</v>
      </c>
      <c r="F61" s="15">
        <f>IF(5458.68875="","-",5458.68875/4335076.19734*100)</f>
        <v>0.12591909580157895</v>
      </c>
      <c r="G61" s="15">
        <f>IF(OR(2467106.07968="",1934.59508="",2303.95944=""),"-",(2303.95944-1934.59508)/2467106.07968*100)</f>
        <v>1.4971563770290294E-2</v>
      </c>
      <c r="H61" s="15">
        <f>IF(OR(3144504.53867="",5458.68875="",2303.95944=""),"-",(5458.68875-2303.95944)/3144504.53867*100)</f>
        <v>0.10032516319198333</v>
      </c>
      <c r="I61" s="13"/>
      <c r="J61" s="14"/>
      <c r="K61" s="10"/>
    </row>
    <row r="62" spans="1:11" ht="26.4" x14ac:dyDescent="0.3">
      <c r="A62" s="13" t="s">
        <v>258</v>
      </c>
      <c r="B62" s="14" t="s">
        <v>163</v>
      </c>
      <c r="C62" s="10">
        <v>15908.037329999999</v>
      </c>
      <c r="D62" s="15">
        <f>IF(OR(13572.59788="",15908.03733=""),"-",15908.03733/13572.59788*100)</f>
        <v>117.20701866104355</v>
      </c>
      <c r="E62" s="15">
        <f>IF(13572.59788="","-",13572.59788/3144504.53867*100)</f>
        <v>0.43162913944276465</v>
      </c>
      <c r="F62" s="15">
        <f>IF(15908.03733="","-",15908.03733/4335076.19734*100)</f>
        <v>0.36696096229545305</v>
      </c>
      <c r="G62" s="15">
        <f>IF(OR(2467106.07968="",14830.16222="",13572.59788=""),"-",(13572.59788-14830.16222)/2467106.07968*100)</f>
        <v>-5.0973257711039131E-2</v>
      </c>
      <c r="H62" s="15">
        <f>IF(OR(3144504.53867="",15908.03733="",13572.59788=""),"-",(15908.03733-13572.59788)/3144504.53867*100)</f>
        <v>7.4270506570418171E-2</v>
      </c>
      <c r="I62" s="13"/>
      <c r="J62" s="14"/>
      <c r="K62" s="10"/>
    </row>
    <row r="63" spans="1:11" ht="26.25" customHeight="1" x14ac:dyDescent="0.3">
      <c r="A63" s="13" t="s">
        <v>259</v>
      </c>
      <c r="B63" s="14" t="s">
        <v>164</v>
      </c>
      <c r="C63" s="10">
        <v>4599.8283799999999</v>
      </c>
      <c r="D63" s="15">
        <f>IF(OR(4181.49643="",4599.82838=""),"-",4599.82838/4181.49643*100)</f>
        <v>110.00435985066714</v>
      </c>
      <c r="E63" s="15">
        <f>IF(4181.49643="","-",4181.49643/3144504.53867*100)</f>
        <v>0.13297791046498558</v>
      </c>
      <c r="F63" s="15">
        <f>IF(4599.82838="","-",4599.82838/4335076.19734*100)</f>
        <v>0.1061072094378053</v>
      </c>
      <c r="G63" s="15">
        <f>IF(OR(2467106.07968="",2985.75589="",4181.49643=""),"-",(4181.49643-2985.75589)/2467106.07968*100)</f>
        <v>4.8467333847075425E-2</v>
      </c>
      <c r="H63" s="15">
        <f>IF(OR(3144504.53867="",4599.82838="",4181.49643=""),"-",(4599.82838-4181.49643)/3144504.53867*100)</f>
        <v>1.3303588684815111E-2</v>
      </c>
      <c r="I63" s="13"/>
      <c r="J63" s="14"/>
      <c r="K63" s="10"/>
    </row>
    <row r="64" spans="1:11" ht="39.6" x14ac:dyDescent="0.3">
      <c r="A64" s="13" t="s">
        <v>260</v>
      </c>
      <c r="B64" s="14" t="s">
        <v>165</v>
      </c>
      <c r="C64" s="10">
        <v>27501.349760000001</v>
      </c>
      <c r="D64" s="15">
        <f>IF(OR(25208.26865="",27501.34976=""),"-",27501.34976/25208.26865*100)</f>
        <v>109.09654344706455</v>
      </c>
      <c r="E64" s="15">
        <f>IF(25208.26865="","-",25208.26865/3144504.53867*100)</f>
        <v>0.8016610674272423</v>
      </c>
      <c r="F64" s="15">
        <f>IF(27501.34976="","-",27501.34976/4335076.19734*100)</f>
        <v>0.6343913810990176</v>
      </c>
      <c r="G64" s="15">
        <f>IF(OR(2467106.07968="",20157.17822="",25208.26865=""),"-",(25208.26865-20157.17822)/2467106.07968*100)</f>
        <v>0.20473746433534631</v>
      </c>
      <c r="H64" s="15">
        <f>IF(OR(3144504.53867="",27501.34976="",25208.26865=""),"-",(27501.34976-25208.26865)/3144504.53867*100)</f>
        <v>7.2923447296720414E-2</v>
      </c>
      <c r="I64" s="13"/>
      <c r="J64" s="14"/>
      <c r="K64" s="10"/>
    </row>
    <row r="65" spans="1:11" ht="26.4" x14ac:dyDescent="0.3">
      <c r="A65" s="13" t="s">
        <v>261</v>
      </c>
      <c r="B65" s="14" t="s">
        <v>166</v>
      </c>
      <c r="C65" s="10">
        <v>7038.7016999999996</v>
      </c>
      <c r="D65" s="15" t="s">
        <v>403</v>
      </c>
      <c r="E65" s="15">
        <f>IF(1939.04486="","-",1939.04486/3144504.53867*100)</f>
        <v>6.1664559111119566E-2</v>
      </c>
      <c r="F65" s="15">
        <f>IF(7038.7017="","-",7038.7017/4335076.19734*100)</f>
        <v>0.162366274076542</v>
      </c>
      <c r="G65" s="15">
        <f>IF(OR(2467106.07968="",2147.55804="",1939.04486=""),"-",(1939.04486-2147.55804)/2467106.07968*100)</f>
        <v>-8.4517314321176443E-3</v>
      </c>
      <c r="H65" s="15">
        <f>IF(OR(3144504.53867="",7038.7017="",1939.04486=""),"-",(7038.7017-1939.04486)/3144504.53867*100)</f>
        <v>0.16217680010590638</v>
      </c>
      <c r="I65" s="13"/>
      <c r="J65" s="14"/>
      <c r="K65" s="10"/>
    </row>
    <row r="66" spans="1:11" ht="39.6" x14ac:dyDescent="0.3">
      <c r="A66" s="13" t="s">
        <v>262</v>
      </c>
      <c r="B66" s="14" t="s">
        <v>167</v>
      </c>
      <c r="C66" s="10">
        <v>3434.93831</v>
      </c>
      <c r="D66" s="15">
        <f>IF(OR(2699.70727="",3434.93831=""),"-",3434.93831/2699.70727*100)</f>
        <v>127.23373190012562</v>
      </c>
      <c r="E66" s="15">
        <f>IF(2699.70727="","-",2699.70727/3144504.53867*100)</f>
        <v>8.5854774155990507E-2</v>
      </c>
      <c r="F66" s="15">
        <f>IF(3434.93831="","-",3434.93831/4335076.19734*100)</f>
        <v>7.9235938508016898E-2</v>
      </c>
      <c r="G66" s="15">
        <f>IF(OR(2467106.07968="",2511.97838="",2699.70727=""),"-",(2699.70727-2511.97838)/2467106.07968*100)</f>
        <v>7.6092751562733584E-3</v>
      </c>
      <c r="H66" s="15">
        <f>IF(OR(3144504.53867="",3434.93831="",2699.70727=""),"-",(3434.93831-2699.70727)/3144504.53867*100)</f>
        <v>2.3381459017100783E-2</v>
      </c>
      <c r="I66" s="13"/>
      <c r="J66" s="14"/>
      <c r="K66" s="10"/>
    </row>
    <row r="67" spans="1:11" ht="39.75" customHeight="1" x14ac:dyDescent="0.3">
      <c r="A67" s="13" t="s">
        <v>263</v>
      </c>
      <c r="B67" s="14" t="s">
        <v>168</v>
      </c>
      <c r="C67" s="10">
        <v>528637.21862000006</v>
      </c>
      <c r="D67" s="15">
        <f>IF(OR(522086.00464="",528637.21862=""),"-",528637.21862/522086.00464*100)</f>
        <v>101.25481509210678</v>
      </c>
      <c r="E67" s="15">
        <f>IF(522086.00464="","-",522086.00464/3144504.53867*100)</f>
        <v>16.6031245374135</v>
      </c>
      <c r="F67" s="15">
        <f>IF(528637.21862="","-",528637.21862/4335076.19734*100)</f>
        <v>12.194415843125698</v>
      </c>
      <c r="G67" s="15">
        <f>IF(OR(2467106.07968="",474667.13413="",522086.00464=""),"-",(522086.00464-474667.13413)/2467106.07968*100)</f>
        <v>1.922044248545264</v>
      </c>
      <c r="H67" s="15">
        <f>IF(OR(3144504.53867="",528637.21862="",522086.00464=""),"-",(528637.21862-522086.00464)/3144504.53867*100)</f>
        <v>0.2083385124567497</v>
      </c>
      <c r="I67" s="13"/>
      <c r="J67" s="14"/>
      <c r="K67" s="10"/>
    </row>
    <row r="68" spans="1:11" ht="26.4" x14ac:dyDescent="0.3">
      <c r="A68" s="13" t="s">
        <v>264</v>
      </c>
      <c r="B68" s="14" t="s">
        <v>169</v>
      </c>
      <c r="C68" s="10">
        <v>96195.821660000001</v>
      </c>
      <c r="D68" s="15">
        <f>IF(OR(61989.2131="",96195.82166=""),"-",96195.82166/61989.2131*100)</f>
        <v>155.18154990097784</v>
      </c>
      <c r="E68" s="15">
        <f>IF(61989.2131="","-",61989.2131/3144504.53867*100)</f>
        <v>1.9713507275209392</v>
      </c>
      <c r="F68" s="15">
        <f>IF(96195.82166="","-",96195.82166/4335076.19734*100)</f>
        <v>2.2190110918702115</v>
      </c>
      <c r="G68" s="15">
        <f>IF(OR(2467106.07968="",29055.29305="",61989.2131=""),"-",(61989.2131-29055.29305)/2467106.07968*100)</f>
        <v>1.3349211175496656</v>
      </c>
      <c r="H68" s="15">
        <f>IF(OR(3144504.53867="",96195.82166="",61989.2131=""),"-",(96195.82166-61989.2131)/3144504.53867*100)</f>
        <v>1.087821885430257</v>
      </c>
      <c r="I68" s="13"/>
      <c r="J68" s="14"/>
      <c r="K68" s="10"/>
    </row>
    <row r="69" spans="1:11" x14ac:dyDescent="0.3">
      <c r="A69" s="13" t="s">
        <v>265</v>
      </c>
      <c r="B69" s="14" t="s">
        <v>31</v>
      </c>
      <c r="C69" s="10">
        <v>3288.6583799999999</v>
      </c>
      <c r="D69" s="15" t="s">
        <v>337</v>
      </c>
      <c r="E69" s="15">
        <f>IF(1246.50626="","-",1246.50626/3144504.53867*100)</f>
        <v>3.9640784253001035E-2</v>
      </c>
      <c r="F69" s="15">
        <f>IF(3288.65838="","-",3288.65838/4335076.19734*100)</f>
        <v>7.5861604970586638E-2</v>
      </c>
      <c r="G69" s="15">
        <f>IF(OR(2467106.07968="",566.87987="",1246.50626=""),"-",(1246.50626-566.87987)/2467106.07968*100)</f>
        <v>2.7547513890774904E-2</v>
      </c>
      <c r="H69" s="15">
        <f>IF(OR(3144504.53867="",3288.65838="",1246.50626=""),"-",(3288.65838-1246.50626)/3144504.53867*100)</f>
        <v>6.4943525915969857E-2</v>
      </c>
      <c r="I69" s="11"/>
      <c r="J69" s="12"/>
      <c r="K69" s="9"/>
    </row>
    <row r="70" spans="1:11" x14ac:dyDescent="0.3">
      <c r="A70" s="11" t="s">
        <v>266</v>
      </c>
      <c r="B70" s="12" t="s">
        <v>32</v>
      </c>
      <c r="C70" s="9">
        <v>632151.82409999997</v>
      </c>
      <c r="D70" s="17">
        <f>IF(590356.996="","-",632151.8241/590356.996*100)</f>
        <v>107.07958546831551</v>
      </c>
      <c r="E70" s="17">
        <f>IF(590356.996="","-",590356.996/3144504.53867*100)</f>
        <v>18.77424531400732</v>
      </c>
      <c r="F70" s="17">
        <f>IF(632151.8241="","-",632151.8241/4335076.19734*100)</f>
        <v>14.582254044067042</v>
      </c>
      <c r="G70" s="17">
        <f>IF(2467106.07968="","-",(590356.996-518382.62557)/2467106.07968*100)</f>
        <v>2.9173601825558966</v>
      </c>
      <c r="H70" s="17">
        <f>IF(3144504.53867="","-",(632151.8241-590356.996)/3144504.53867*100)</f>
        <v>1.3291387430363661</v>
      </c>
      <c r="I70" s="13"/>
      <c r="J70" s="14"/>
      <c r="K70" s="10"/>
    </row>
    <row r="71" spans="1:11" ht="39.6" x14ac:dyDescent="0.3">
      <c r="A71" s="13" t="s">
        <v>267</v>
      </c>
      <c r="B71" s="14" t="s">
        <v>195</v>
      </c>
      <c r="C71" s="10">
        <v>19136.28513</v>
      </c>
      <c r="D71" s="15">
        <f>IF(OR(15234.63496="",19136.28513=""),"-",19136.28513/15234.63496*100)</f>
        <v>125.61039486829951</v>
      </c>
      <c r="E71" s="15">
        <f>IF(15234.63496="","-",15234.63496/3144504.53867*100)</f>
        <v>0.48448443221022164</v>
      </c>
      <c r="F71" s="15">
        <f>IF(19136.28513="","-",19136.28513/4335076.19734*100)</f>
        <v>0.44142903743518996</v>
      </c>
      <c r="G71" s="15">
        <f>IF(OR(2467106.07968="",11738.55179="",15234.63496=""),"-",(15234.63496-11738.55179)/2467106.07968*100)</f>
        <v>0.14170785759052018</v>
      </c>
      <c r="H71" s="15">
        <f>IF(OR(3144504.53867="",19136.28513="",15234.63496=""),"-",(19136.28513-15234.63496)/3144504.53867*100)</f>
        <v>0.12407837616447656</v>
      </c>
      <c r="I71" s="13"/>
      <c r="J71" s="14"/>
      <c r="K71" s="10"/>
    </row>
    <row r="72" spans="1:11" x14ac:dyDescent="0.3">
      <c r="A72" s="13" t="s">
        <v>268</v>
      </c>
      <c r="B72" s="14" t="s">
        <v>170</v>
      </c>
      <c r="C72" s="10">
        <v>145457.71953</v>
      </c>
      <c r="D72" s="15">
        <f>IF(OR(157215.49064="",145457.71953=""),"-",145457.71953/157215.49064*100)</f>
        <v>92.521238802782136</v>
      </c>
      <c r="E72" s="15">
        <f>IF(157215.49064="","-",157215.49064/3144504.53867*100)</f>
        <v>4.9996903711417726</v>
      </c>
      <c r="F72" s="15">
        <f>IF(145457.71953="","-",145457.71953/4335076.19734*100)</f>
        <v>3.3553670779593849</v>
      </c>
      <c r="G72" s="15">
        <f>IF(OR(2467106.07968="",139382.02159="",157215.49064=""),"-",(157215.49064-139382.02159)/2467106.07968*100)</f>
        <v>0.72284970625637357</v>
      </c>
      <c r="H72" s="15">
        <f>IF(OR(3144504.53867="",145457.71953="",157215.49064=""),"-",(145457.71953-157215.49064)/3144504.53867*100)</f>
        <v>-0.37391490345798861</v>
      </c>
      <c r="I72" s="13"/>
      <c r="J72" s="14"/>
      <c r="K72" s="10"/>
    </row>
    <row r="73" spans="1:11" x14ac:dyDescent="0.3">
      <c r="A73" s="13" t="s">
        <v>269</v>
      </c>
      <c r="B73" s="14" t="s">
        <v>171</v>
      </c>
      <c r="C73" s="10">
        <v>15517.25707</v>
      </c>
      <c r="D73" s="15">
        <f>IF(OR(14456.2756="",15517.25707=""),"-",15517.25707/14456.2756*100)</f>
        <v>107.33924490205484</v>
      </c>
      <c r="E73" s="15">
        <f>IF(14456.2756="","-",14456.2756/3144504.53867*100)</f>
        <v>0.4597314273909246</v>
      </c>
      <c r="F73" s="15">
        <f>IF(15517.25707="","-",15517.25707/4335076.19734*100)</f>
        <v>0.35794658187372524</v>
      </c>
      <c r="G73" s="15">
        <f>IF(OR(2467106.07968="",11986.61833="",14456.2756=""),"-",(14456.2756-11986.61833)/2467106.07968*100)</f>
        <v>0.10010340821341304</v>
      </c>
      <c r="H73" s="15">
        <f>IF(OR(3144504.53867="",15517.25707="",14456.2756=""),"-",(15517.25707-14456.2756)/3144504.53867*100)</f>
        <v>3.3740815347932419E-2</v>
      </c>
      <c r="I73" s="13"/>
      <c r="J73" s="14"/>
      <c r="K73" s="10"/>
    </row>
    <row r="74" spans="1:11" x14ac:dyDescent="0.3">
      <c r="A74" s="13" t="s">
        <v>270</v>
      </c>
      <c r="B74" s="14" t="s">
        <v>172</v>
      </c>
      <c r="C74" s="10">
        <v>298668.34049999999</v>
      </c>
      <c r="D74" s="15">
        <f>IF(OR(275939.85388="",298668.3405=""),"-",298668.3405/275939.85388*100)</f>
        <v>108.23675387966396</v>
      </c>
      <c r="E74" s="15">
        <f>IF(275939.85388="","-",275939.85388/3144504.53867*100)</f>
        <v>8.7753046779417776</v>
      </c>
      <c r="F74" s="15">
        <f>IF(298668.3405="","-",298668.3405/4335076.19734*100)</f>
        <v>6.8895753362596635</v>
      </c>
      <c r="G74" s="15">
        <f>IF(OR(2467106.07968="",240691.26026="",275939.85388=""),"-",(275939.85388-240691.26026)/2467106.07968*100)</f>
        <v>1.4287425218688601</v>
      </c>
      <c r="H74" s="15">
        <f>IF(OR(3144504.53867="",298668.3405="",275939.85388=""),"-",(298668.3405-275939.85388)/3144504.53867*100)</f>
        <v>0.72280024851270286</v>
      </c>
      <c r="I74" s="13"/>
      <c r="J74" s="14"/>
      <c r="K74" s="10"/>
    </row>
    <row r="75" spans="1:11" x14ac:dyDescent="0.3">
      <c r="A75" s="13" t="s">
        <v>271</v>
      </c>
      <c r="B75" s="14" t="s">
        <v>173</v>
      </c>
      <c r="C75" s="10">
        <v>41434.163990000001</v>
      </c>
      <c r="D75" s="15">
        <f>IF(OR(37129.63126="",41434.16399=""),"-",41434.16399/37129.63126*100)</f>
        <v>111.59325472385528</v>
      </c>
      <c r="E75" s="15">
        <f>IF(37129.63126="","-",37129.63126/3144504.53867*100)</f>
        <v>1.1807784279969382</v>
      </c>
      <c r="F75" s="15">
        <f>IF(41434.16399="","-",41434.16399/4335076.19734*100)</f>
        <v>0.95578859756661194</v>
      </c>
      <c r="G75" s="15">
        <f>IF(OR(2467106.07968="",33394.17875="",37129.63126=""),"-",(37129.63126-33394.17875)/2467106.07968*100)</f>
        <v>0.15141029162736755</v>
      </c>
      <c r="H75" s="15">
        <f>IF(OR(3144504.53867="",41434.16399="",37129.63126=""),"-",(41434.16399-37129.63126)/3144504.53867*100)</f>
        <v>0.13689065088201921</v>
      </c>
      <c r="I75" s="13"/>
      <c r="J75" s="14"/>
      <c r="K75" s="10"/>
    </row>
    <row r="76" spans="1:11" ht="26.4" x14ac:dyDescent="0.3">
      <c r="A76" s="13" t="s">
        <v>272</v>
      </c>
      <c r="B76" s="14" t="s">
        <v>367</v>
      </c>
      <c r="C76" s="10">
        <v>23895.924800000001</v>
      </c>
      <c r="D76" s="15">
        <f>IF(OR(22955.05819="",23895.9248=""),"-",23895.9248/22955.05819*100)</f>
        <v>104.09873328227883</v>
      </c>
      <c r="E76" s="15">
        <f>IF(22955.05819="","-",22955.05819/3144504.53867*100)</f>
        <v>0.73000556709989906</v>
      </c>
      <c r="F76" s="15">
        <f>IF(23895.9248="","-",23895.9248/4335076.19734*100)</f>
        <v>0.55122271702311765</v>
      </c>
      <c r="G76" s="15">
        <f>IF(OR(2467106.07968="",24401.11164="",22955.05819=""),"-",(22955.05819-24401.11164)/2467106.07968*100)</f>
        <v>-5.8613347107780718E-2</v>
      </c>
      <c r="H76" s="15">
        <f>IF(OR(3144504.53867="",23895.9248="",22955.05819=""),"-",(23895.9248-22955.05819)/3144504.53867*100)</f>
        <v>2.9920981141211837E-2</v>
      </c>
      <c r="I76" s="13"/>
      <c r="J76" s="14"/>
      <c r="K76" s="10"/>
    </row>
    <row r="77" spans="1:11" ht="26.4" x14ac:dyDescent="0.3">
      <c r="A77" s="13" t="s">
        <v>273</v>
      </c>
      <c r="B77" s="14" t="s">
        <v>174</v>
      </c>
      <c r="C77" s="10">
        <v>6490.8480799999998</v>
      </c>
      <c r="D77" s="15" t="s">
        <v>99</v>
      </c>
      <c r="E77" s="15">
        <f>IF(3933.08152="","-",3933.08152/3144504.53867*100)</f>
        <v>0.12507794063046693</v>
      </c>
      <c r="F77" s="15">
        <f>IF(6490.84808="","-",6490.84808/4335076.19734*100)</f>
        <v>0.14972858110274462</v>
      </c>
      <c r="G77" s="15">
        <f>IF(OR(2467106.07968="",2877.57432="",3933.08152=""),"-",(3933.08152-2877.57432)/2467106.07968*100)</f>
        <v>4.2783211013646655E-2</v>
      </c>
      <c r="H77" s="15">
        <f>IF(OR(3144504.53867="",6490.84808="",3933.08152=""),"-",(6490.84808-3933.08152)/3144504.53867*100)</f>
        <v>8.134084491039828E-2</v>
      </c>
      <c r="I77" s="13"/>
      <c r="J77" s="14"/>
      <c r="K77" s="10"/>
    </row>
    <row r="78" spans="1:11" x14ac:dyDescent="0.3">
      <c r="A78" s="13" t="s">
        <v>274</v>
      </c>
      <c r="B78" s="14" t="s">
        <v>33</v>
      </c>
      <c r="C78" s="10">
        <v>81551.285000000003</v>
      </c>
      <c r="D78" s="15">
        <f>IF(OR(63492.96995="",81551.285=""),"-",81551.285/63492.96995*100)</f>
        <v>128.44144015348584</v>
      </c>
      <c r="E78" s="15">
        <f>IF(63492.96995="","-",63492.96995/3144504.53867*100)</f>
        <v>2.019172469595321</v>
      </c>
      <c r="F78" s="15">
        <f>IF(81551.285="","-",81551.285/4335076.19734*100)</f>
        <v>1.8811961148466043</v>
      </c>
      <c r="G78" s="15">
        <f>IF(OR(2467106.07968="",53911.30889="",63492.96995=""),"-",(63492.96995-53911.30889)/2467106.07968*100)</f>
        <v>0.38837653309349407</v>
      </c>
      <c r="H78" s="15">
        <f>IF(OR(3144504.53867="",81551.285="",63492.96995=""),"-",(81551.285-63492.96995)/3144504.53867*100)</f>
        <v>0.57428172953561551</v>
      </c>
      <c r="I78" s="13"/>
      <c r="J78" s="14"/>
      <c r="K78" s="10"/>
    </row>
    <row r="79" spans="1:11" ht="26.4" x14ac:dyDescent="0.3">
      <c r="A79" s="11" t="s">
        <v>277</v>
      </c>
      <c r="B79" s="12" t="s">
        <v>175</v>
      </c>
      <c r="C79" s="9">
        <v>3910.7294299999999</v>
      </c>
      <c r="D79" s="17" t="s">
        <v>404</v>
      </c>
      <c r="E79" s="17">
        <f>IF(869.82707="","-",869.82707/3144504.53867*100)</f>
        <v>2.7661816330782026E-2</v>
      </c>
      <c r="F79" s="17">
        <f>IF(3910.72943="","-",3910.72943/4335076.19734*100)</f>
        <v>9.0211319293525244E-2</v>
      </c>
      <c r="G79" s="17">
        <f>IF(2467106.07968="","-",(869.82707-613.10278)/2467106.07968*100)</f>
        <v>1.0405887777362975E-2</v>
      </c>
      <c r="H79" s="17">
        <f>IF(3144504.53867="","-",(3910.72943-869.82707)/3144504.53867*100)</f>
        <v>9.670529403294105E-2</v>
      </c>
      <c r="I79" s="13"/>
      <c r="J79" s="14"/>
      <c r="K79" s="10"/>
    </row>
    <row r="80" spans="1:11" x14ac:dyDescent="0.3">
      <c r="A80" s="13" t="s">
        <v>309</v>
      </c>
      <c r="B80" s="14" t="s">
        <v>310</v>
      </c>
      <c r="C80" s="10">
        <v>1320.5115800000001</v>
      </c>
      <c r="D80" s="15">
        <f>IF(OR(869.82707="",1320.51158=""),"-",1320.51158/869.82707*100)</f>
        <v>151.81311614043008</v>
      </c>
      <c r="E80" s="15">
        <f>IF(869.82707="","-",869.82707/3144504.53867*100)</f>
        <v>2.7661816330782026E-2</v>
      </c>
      <c r="F80" s="15">
        <f>IF(1320.51158="","-",1320.51158/4335076.19734*100)</f>
        <v>3.0461092721052171E-2</v>
      </c>
      <c r="G80" s="15">
        <f>IF(OR(2467106.07968="",613.10278="",869.82707=""),"-",(869.82707-613.10278)/2467106.07968*100)</f>
        <v>1.0405887777362975E-2</v>
      </c>
      <c r="H80" s="15">
        <f>IF(OR(3144504.53867="",1320.51158="",869.82707=""),"-",(1320.51158-869.82707)/3144504.53867*100)</f>
        <v>1.4332449022020542E-2</v>
      </c>
      <c r="I80" s="13"/>
      <c r="J80" s="14"/>
      <c r="K80" s="10"/>
    </row>
    <row r="81" spans="1:11" ht="26.4" x14ac:dyDescent="0.3">
      <c r="A81" s="37" t="s">
        <v>311</v>
      </c>
      <c r="B81" s="38" t="s">
        <v>317</v>
      </c>
      <c r="C81" s="46">
        <v>2590.21785</v>
      </c>
      <c r="D81" s="19" t="str">
        <f>IF(OR(""="",2590.21785=""),"-",2590.21785/""*100)</f>
        <v>-</v>
      </c>
      <c r="E81" s="19" t="str">
        <f>IF(""="","-",""/3144504.53867*100)</f>
        <v>-</v>
      </c>
      <c r="F81" s="19">
        <f>IF(2590.21785="","-",2590.21785/4335076.19734*100)</f>
        <v>5.9750226572473072E-2</v>
      </c>
      <c r="G81" s="19" t="str">
        <f>IF(OR(2467106.07968="",""="",""=""),"-",(""-"")/2467106.07968*100)</f>
        <v>-</v>
      </c>
      <c r="H81" s="19" t="str">
        <f>IF(OR(3144504.53867="",2590.21785="",""=""),"-",(2590.21785-"")/3144504.53867*100)</f>
        <v>-</v>
      </c>
      <c r="I81" s="13"/>
      <c r="J81" s="14"/>
      <c r="K81" s="10"/>
    </row>
    <row r="82" spans="1:11" x14ac:dyDescent="0.3">
      <c r="A82" s="20" t="s">
        <v>280</v>
      </c>
      <c r="B82" s="21"/>
    </row>
    <row r="83" spans="1:11" x14ac:dyDescent="0.3">
      <c r="A83" s="21" t="s">
        <v>410</v>
      </c>
      <c r="B83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84"/>
  <sheetViews>
    <sheetView zoomScaleNormal="100" workbookViewId="0">
      <selection activeCell="B1" sqref="B1:H1"/>
    </sheetView>
  </sheetViews>
  <sheetFormatPr defaultRowHeight="15.6" x14ac:dyDescent="0.3"/>
  <cols>
    <col min="1" max="1" width="5.19921875" customWidth="1"/>
    <col min="2" max="2" width="26.69921875" customWidth="1"/>
    <col min="3" max="3" width="11.69921875" customWidth="1"/>
    <col min="4" max="4" width="10.09765625" customWidth="1"/>
    <col min="5" max="6" width="8" customWidth="1"/>
    <col min="7" max="7" width="8.5" customWidth="1"/>
    <col min="8" max="8" width="8.69921875" customWidth="1"/>
  </cols>
  <sheetData>
    <row r="1" spans="1:13" ht="16.2" x14ac:dyDescent="0.35">
      <c r="B1" s="83" t="s">
        <v>129</v>
      </c>
      <c r="C1" s="83"/>
      <c r="D1" s="83"/>
      <c r="E1" s="83"/>
      <c r="F1" s="83"/>
      <c r="G1" s="83"/>
      <c r="H1" s="83"/>
    </row>
    <row r="2" spans="1:13" ht="16.2" x14ac:dyDescent="0.35">
      <c r="B2" s="83" t="s">
        <v>279</v>
      </c>
      <c r="C2" s="83"/>
      <c r="D2" s="83"/>
      <c r="E2" s="83"/>
      <c r="F2" s="83"/>
      <c r="G2" s="83"/>
      <c r="H2" s="83"/>
    </row>
    <row r="3" spans="1:13" x14ac:dyDescent="0.3">
      <c r="A3" s="96"/>
      <c r="B3" s="96"/>
      <c r="C3" s="96"/>
      <c r="D3" s="96"/>
      <c r="E3" s="96"/>
      <c r="F3" s="96"/>
      <c r="G3" s="96"/>
      <c r="H3" s="96"/>
    </row>
    <row r="4" spans="1:13" ht="75" customHeight="1" x14ac:dyDescent="0.3">
      <c r="A4" s="87" t="s">
        <v>205</v>
      </c>
      <c r="B4" s="89"/>
      <c r="C4" s="91">
        <v>2022</v>
      </c>
      <c r="D4" s="92"/>
      <c r="E4" s="91" t="s">
        <v>0</v>
      </c>
      <c r="F4" s="93"/>
      <c r="G4" s="94" t="s">
        <v>113</v>
      </c>
      <c r="H4" s="95"/>
    </row>
    <row r="5" spans="1:13" ht="33" customHeight="1" x14ac:dyDescent="0.3">
      <c r="A5" s="88"/>
      <c r="B5" s="90"/>
      <c r="C5" s="52" t="s">
        <v>105</v>
      </c>
      <c r="D5" s="50" t="s">
        <v>414</v>
      </c>
      <c r="E5" s="52">
        <v>2021</v>
      </c>
      <c r="F5" s="52">
        <v>2022</v>
      </c>
      <c r="G5" s="49" t="s">
        <v>377</v>
      </c>
      <c r="H5" s="47" t="s">
        <v>378</v>
      </c>
    </row>
    <row r="6" spans="1:13" x14ac:dyDescent="0.3">
      <c r="A6" s="59"/>
      <c r="B6" s="39" t="s">
        <v>117</v>
      </c>
      <c r="C6" s="60">
        <v>9219063.1703600008</v>
      </c>
      <c r="D6" s="61">
        <f>IF(7176761.18511="","-",9219063.17036/7176761.18511*100)</f>
        <v>128.45715403610296</v>
      </c>
      <c r="E6" s="61">
        <v>100</v>
      </c>
      <c r="F6" s="61">
        <v>100</v>
      </c>
      <c r="G6" s="61">
        <f>IF(5415988.29784="","-",(7176761.18511-5415988.29784)/5415988.29784*100)</f>
        <v>32.510647926847071</v>
      </c>
      <c r="H6" s="61">
        <f>IF(7176761.18511="","-",(9219063.17036-7176761.18511)/7176761.18511*100)</f>
        <v>28.45715403610296</v>
      </c>
      <c r="I6" s="8"/>
      <c r="J6" s="8"/>
      <c r="K6" s="8"/>
      <c r="L6" s="8"/>
      <c r="M6" s="8"/>
    </row>
    <row r="7" spans="1:13" ht="13.5" customHeight="1" x14ac:dyDescent="0.3">
      <c r="A7" s="11" t="s">
        <v>206</v>
      </c>
      <c r="B7" s="12" t="s">
        <v>176</v>
      </c>
      <c r="C7" s="9">
        <v>918671.99933000002</v>
      </c>
      <c r="D7" s="17">
        <f>IF(769344.20227="","-",918671.99933/769344.20227*100)</f>
        <v>119.40975139858058</v>
      </c>
      <c r="E7" s="17">
        <f>IF(769344.20227="","-",769344.20227/7176761.18511*100)</f>
        <v>10.719935949188311</v>
      </c>
      <c r="F7" s="17">
        <f>IF(918671.99933="","-",918671.99933/9219063.17036*100)</f>
        <v>9.9649170675345982</v>
      </c>
      <c r="G7" s="17">
        <f>IF(5415988.29784="","-",(769344.20227-658489.21788)/5415988.29784*100)</f>
        <v>2.0468098949588032</v>
      </c>
      <c r="H7" s="17">
        <f>IF(7176761.18511="","-",(918671.99933-769344.20227)/7176761.18511*100)</f>
        <v>2.0807129178245218</v>
      </c>
    </row>
    <row r="8" spans="1:13" x14ac:dyDescent="0.3">
      <c r="A8" s="13" t="s">
        <v>207</v>
      </c>
      <c r="B8" s="14" t="s">
        <v>21</v>
      </c>
      <c r="C8" s="10">
        <v>8563.9101599999995</v>
      </c>
      <c r="D8" s="15">
        <f>IF(OR(5621.50785="",8563.91016=""),"-",8563.91016/5621.50785*100)</f>
        <v>152.34186962844851</v>
      </c>
      <c r="E8" s="15">
        <f>IF(5621.50785="","-",5621.50785/7176761.18511*100)</f>
        <v>7.8329314644929732E-2</v>
      </c>
      <c r="F8" s="15">
        <f>IF(8563.91016="","-",8563.91016/9219063.17036*100)</f>
        <v>9.2893496896014685E-2</v>
      </c>
      <c r="G8" s="15">
        <f>IF(OR(5415988.29784="",6246.88746="",5621.50785=""),"-",(5621.50785-6246.88746)/5415988.29784*100)</f>
        <v>-1.154691582789079E-2</v>
      </c>
      <c r="H8" s="15">
        <f>IF(OR(7176761.18511="",8563.91016="",5621.50785=""),"-",(8563.91016-5621.50785)/7176761.18511*100)</f>
        <v>4.0999027752306356E-2</v>
      </c>
    </row>
    <row r="9" spans="1:13" ht="14.25" customHeight="1" x14ac:dyDescent="0.3">
      <c r="A9" s="13" t="s">
        <v>208</v>
      </c>
      <c r="B9" s="14" t="s">
        <v>177</v>
      </c>
      <c r="C9" s="10">
        <v>78946.147719999994</v>
      </c>
      <c r="D9" s="15">
        <f>IF(OR(64560.45936="",78946.14772=""),"-",78946.14772/64560.45936*100)</f>
        <v>122.28250620055685</v>
      </c>
      <c r="E9" s="15">
        <f>IF(64560.45936="","-",64560.45936/7176761.18511*100)</f>
        <v>0.89957653173616747</v>
      </c>
      <c r="F9" s="15">
        <f>IF(78946.14772="","-",78946.14772/9219063.17036*100)</f>
        <v>0.85633590161110895</v>
      </c>
      <c r="G9" s="15">
        <f>IF(OR(5415988.29784="",41455.98728="",64560.45936=""),"-",(64560.45936-41455.98728)/5415988.29784*100)</f>
        <v>0.42659752587010769</v>
      </c>
      <c r="H9" s="15">
        <f>IF(OR(7176761.18511="",78946.14772="",64560.45936=""),"-",(78946.14772-64560.45936)/7176761.18511*100)</f>
        <v>0.20044819646286585</v>
      </c>
    </row>
    <row r="10" spans="1:13" s="2" customFormat="1" x14ac:dyDescent="0.3">
      <c r="A10" s="13" t="s">
        <v>209</v>
      </c>
      <c r="B10" s="14" t="s">
        <v>178</v>
      </c>
      <c r="C10" s="10">
        <v>116151.46901</v>
      </c>
      <c r="D10" s="15">
        <f>IF(OR(95740.95517="",116151.46901=""),"-",116151.46901/95740.95517*100)</f>
        <v>121.31847734729469</v>
      </c>
      <c r="E10" s="15">
        <f>IF(95740.95517="","-",95740.95517/7176761.18511*100)</f>
        <v>1.3340412576168585</v>
      </c>
      <c r="F10" s="15">
        <f>IF(116151.46901="","-",116151.46901/9219063.17036*100)</f>
        <v>1.2599053381414711</v>
      </c>
      <c r="G10" s="15">
        <f>IF(OR(5415988.29784="",79343.85874="",95740.95517=""),"-",(95740.95517-79343.85874)/5415988.29784*100)</f>
        <v>0.30275354244283503</v>
      </c>
      <c r="H10" s="15">
        <f>IF(OR(7176761.18511="",116151.46901="",95740.95517=""),"-",(116151.46901-95740.95517)/7176761.18511*100)</f>
        <v>0.28439728330861497</v>
      </c>
    </row>
    <row r="11" spans="1:13" s="2" customFormat="1" x14ac:dyDescent="0.3">
      <c r="A11" s="13" t="s">
        <v>210</v>
      </c>
      <c r="B11" s="14" t="s">
        <v>179</v>
      </c>
      <c r="C11" s="10">
        <v>80977.950960000002</v>
      </c>
      <c r="D11" s="15">
        <f>IF(OR(77051.33992="",80977.95096=""),"-",80977.95096/77051.33992*100)</f>
        <v>105.09609702320152</v>
      </c>
      <c r="E11" s="15">
        <f>IF(77051.33992="","-",77051.33992/7176761.18511*100)</f>
        <v>1.0736227377868226</v>
      </c>
      <c r="F11" s="15">
        <f>IF(80977.95096="","-",80977.95096/9219063.17036*100)</f>
        <v>0.87837505247117043</v>
      </c>
      <c r="G11" s="15">
        <f>IF(OR(5415988.29784="",60429.3867="",77051.33992=""),"-",(77051.33992-60429.3867)/5415988.29784*100)</f>
        <v>0.30690526467033075</v>
      </c>
      <c r="H11" s="15">
        <f>IF(OR(7176761.18511="",80977.95096="",77051.33992=""),"-",(80977.95096-77051.33992)/7176761.18511*100)</f>
        <v>5.4712856380768914E-2</v>
      </c>
    </row>
    <row r="12" spans="1:13" s="2" customFormat="1" ht="14.25" customHeight="1" x14ac:dyDescent="0.3">
      <c r="A12" s="13" t="s">
        <v>211</v>
      </c>
      <c r="B12" s="14" t="s">
        <v>180</v>
      </c>
      <c r="C12" s="10">
        <v>158784.42306999999</v>
      </c>
      <c r="D12" s="15">
        <f>IF(OR(102451.93538="",158784.42307=""),"-",158784.42307/102451.93538*100)</f>
        <v>154.98430798897027</v>
      </c>
      <c r="E12" s="15">
        <f>IF(102451.93538="","-",102451.93538/7176761.18511*100)</f>
        <v>1.4275511297848722</v>
      </c>
      <c r="F12" s="15">
        <f>IF(158784.42307="","-",158784.42307/9219063.17036*100)</f>
        <v>1.7223487911494539</v>
      </c>
      <c r="G12" s="15">
        <f>IF(OR(5415988.29784="",96920.30829="",102451.93538=""),"-",(102451.93538-96920.30829)/5415988.29784*100)</f>
        <v>0.10213513740799833</v>
      </c>
      <c r="H12" s="15">
        <f>IF(OR(7176761.18511="",158784.42307="",102451.93538=""),"-",(158784.42307-102451.93538)/7176761.18511*100)</f>
        <v>0.78492910990093889</v>
      </c>
    </row>
    <row r="13" spans="1:13" s="2" customFormat="1" ht="14.25" customHeight="1" x14ac:dyDescent="0.3">
      <c r="A13" s="13" t="s">
        <v>212</v>
      </c>
      <c r="B13" s="14" t="s">
        <v>181</v>
      </c>
      <c r="C13" s="10">
        <v>191184.72691</v>
      </c>
      <c r="D13" s="15">
        <f>IF(OR(174548.69138="",191184.72691=""),"-",191184.72691/174548.69138*100)</f>
        <v>109.53088527818441</v>
      </c>
      <c r="E13" s="15">
        <f>IF(174548.69138="","-",174548.69138/7176761.18511*100)</f>
        <v>2.432137378935574</v>
      </c>
      <c r="F13" s="15">
        <f>IF(191184.72691="","-",191184.72691/9219063.17036*100)</f>
        <v>2.0737977750784227</v>
      </c>
      <c r="G13" s="15">
        <f>IF(OR(5415988.29784="",170535.60473="",174548.69138=""),"-",(174548.69138-170535.60473)/5415988.29784*100)</f>
        <v>7.4097033252463043E-2</v>
      </c>
      <c r="H13" s="15">
        <f>IF(OR(7176761.18511="",191184.72691="",174548.69138=""),"-",(191184.72691-174548.69138)/7176761.18511*100)</f>
        <v>0.23180422339419129</v>
      </c>
    </row>
    <row r="14" spans="1:13" s="2" customFormat="1" ht="26.4" x14ac:dyDescent="0.3">
      <c r="A14" s="13" t="s">
        <v>213</v>
      </c>
      <c r="B14" s="14" t="s">
        <v>139</v>
      </c>
      <c r="C14" s="10">
        <v>23917.372459999999</v>
      </c>
      <c r="D14" s="15">
        <f>IF(OR(19099.75941="",23917.37246=""),"-",23917.37246/19099.75941*100)</f>
        <v>125.22342269650611</v>
      </c>
      <c r="E14" s="15">
        <f>IF(19099.75941="","-",19099.75941/7176761.18511*100)</f>
        <v>0.26613341195785173</v>
      </c>
      <c r="F14" s="15">
        <f>IF(23917.37246="","-",23917.37246/9219063.17036*100)</f>
        <v>0.25943387107809607</v>
      </c>
      <c r="G14" s="15">
        <f>IF(OR(5415988.29784="",20095.7614="",19099.75941=""),"-",(19099.75941-20095.7614)/5415988.29784*100)</f>
        <v>-1.839003216453081E-2</v>
      </c>
      <c r="H14" s="15">
        <f>IF(OR(7176761.18511="",23917.37246="",19099.75941=""),"-",(23917.37246-19099.75941)/7176761.18511*100)</f>
        <v>6.7127955434762868E-2</v>
      </c>
    </row>
    <row r="15" spans="1:13" s="2" customFormat="1" ht="26.4" x14ac:dyDescent="0.3">
      <c r="A15" s="13" t="s">
        <v>214</v>
      </c>
      <c r="B15" s="14" t="s">
        <v>182</v>
      </c>
      <c r="C15" s="10">
        <v>75986.763470000005</v>
      </c>
      <c r="D15" s="15">
        <f>IF(OR(70266.81584="",75986.76347=""),"-",75986.76347/70266.81584*100)</f>
        <v>108.14032564535803</v>
      </c>
      <c r="E15" s="15">
        <f>IF(70266.81584="","-",70266.81584/7176761.18511*100)</f>
        <v>0.97908811548287566</v>
      </c>
      <c r="F15" s="15">
        <f>IF(75986.76347="","-",75986.76347/9219063.17036*100)</f>
        <v>0.82423519685062263</v>
      </c>
      <c r="G15" s="15">
        <f>IF(OR(5415988.29784="",59856.2216="",70266.81584=""),"-",(70266.81584-59856.2216)/5415988.29784*100)</f>
        <v>0.19221965904453567</v>
      </c>
      <c r="H15" s="15">
        <f>IF(OR(7176761.18511="",75986.76347="",70266.81584=""),"-",(75986.76347-70266.81584)/7176761.18511*100)</f>
        <v>7.9700960955305059E-2</v>
      </c>
    </row>
    <row r="16" spans="1:13" s="2" customFormat="1" ht="26.4" x14ac:dyDescent="0.3">
      <c r="A16" s="13" t="s">
        <v>215</v>
      </c>
      <c r="B16" s="14" t="s">
        <v>140</v>
      </c>
      <c r="C16" s="10">
        <v>57139.370349999997</v>
      </c>
      <c r="D16" s="15">
        <f>IF(OR(48542.6677="",57139.37035=""),"-",57139.37035/48542.6677*100)</f>
        <v>117.70958016384418</v>
      </c>
      <c r="E16" s="15">
        <f>IF(48542.6677="","-",48542.6677/7176761.18511*100)</f>
        <v>0.67638683311232362</v>
      </c>
      <c r="F16" s="15">
        <f>IF(57139.37035="","-",57139.37035/9219063.17036*100)</f>
        <v>0.61979584361356244</v>
      </c>
      <c r="G16" s="15">
        <f>IF(OR(5415988.29784="",38568.71804="",48542.6677=""),"-",(48542.6677-38568.71804)/5415988.29784*100)</f>
        <v>0.18415751865597274</v>
      </c>
      <c r="H16" s="15">
        <f>IF(OR(7176761.18511="",57139.37035="",48542.6677=""),"-",(57139.37035-48542.6677)/7176761.18511*100)</f>
        <v>0.11978526842771396</v>
      </c>
    </row>
    <row r="17" spans="1:8" s="2" customFormat="1" ht="15" customHeight="1" x14ac:dyDescent="0.3">
      <c r="A17" s="13" t="s">
        <v>216</v>
      </c>
      <c r="B17" s="14" t="s">
        <v>183</v>
      </c>
      <c r="C17" s="10">
        <v>127019.86522000001</v>
      </c>
      <c r="D17" s="15">
        <f>IF(OR(111460.07026="",127019.86522=""),"-",127019.86522/111460.07026*100)</f>
        <v>113.95997232345547</v>
      </c>
      <c r="E17" s="15">
        <f>IF(111460.07026="","-",111460.07026/7176761.18511*100)</f>
        <v>1.5530692381300357</v>
      </c>
      <c r="F17" s="15">
        <f>IF(127019.86522="","-",127019.86522/9219063.17036*100)</f>
        <v>1.3777958006446758</v>
      </c>
      <c r="G17" s="15">
        <f>IF(OR(5415988.29784="",85036.48364="",111460.07026=""),"-",(111460.07026-85036.48364)/5415988.29784*100)</f>
        <v>0.48788116160698169</v>
      </c>
      <c r="H17" s="15">
        <f>IF(OR(7176761.18511="",127019.86522="",111460.07026=""),"-",(127019.86522-111460.07026)/7176761.18511*100)</f>
        <v>0.2168080358070536</v>
      </c>
    </row>
    <row r="18" spans="1:8" s="2" customFormat="1" x14ac:dyDescent="0.3">
      <c r="A18" s="11" t="s">
        <v>217</v>
      </c>
      <c r="B18" s="12" t="s">
        <v>184</v>
      </c>
      <c r="C18" s="9">
        <v>132369.40813</v>
      </c>
      <c r="D18" s="17">
        <f>IF(131799.69285="","-",132369.40813/131799.69285*100)</f>
        <v>100.43225842767964</v>
      </c>
      <c r="E18" s="17">
        <f>IF(131799.69285="","-",131799.69285/7176761.18511*100)</f>
        <v>1.8364787325437508</v>
      </c>
      <c r="F18" s="17">
        <f>IF(132369.40813="","-",132369.40813/9219063.17036*100)</f>
        <v>1.4358227694499137</v>
      </c>
      <c r="G18" s="17">
        <f>IF(5415988.29784="","-",(131799.69285-105963.24332)/5415988.29784*100)</f>
        <v>0.47704034996353423</v>
      </c>
      <c r="H18" s="17">
        <f>IF(7176761.18511="","-",(132369.40813-131799.69285)/7176761.18511*100)</f>
        <v>7.9383340939645861E-3</v>
      </c>
    </row>
    <row r="19" spans="1:8" s="2" customFormat="1" x14ac:dyDescent="0.3">
      <c r="A19" s="13" t="s">
        <v>218</v>
      </c>
      <c r="B19" s="14" t="s">
        <v>185</v>
      </c>
      <c r="C19" s="10">
        <v>82925.387839999996</v>
      </c>
      <c r="D19" s="15">
        <f>IF(OR(77588.6333="",82925.38784=""),"-",82925.38784/77588.6333*100)</f>
        <v>106.87826852080921</v>
      </c>
      <c r="E19" s="15">
        <f>IF(77588.6333="","-",77588.6333/7176761.18511*100)</f>
        <v>1.08110930960023</v>
      </c>
      <c r="F19" s="15">
        <f>IF(82925.38784="","-",82925.38784/9219063.17036*100)</f>
        <v>0.89949907390385953</v>
      </c>
      <c r="G19" s="15">
        <f>IF(OR(5415988.29784="",53995.67475="",77588.6333=""),"-",(77588.6333-53995.67475)/5415988.29784*100)</f>
        <v>0.43561686718210463</v>
      </c>
      <c r="H19" s="15">
        <f>IF(OR(7176761.18511="",82925.38784="",77588.6333=""),"-",(82925.38784-77588.6333)/7176761.18511*100)</f>
        <v>7.436160131777042E-2</v>
      </c>
    </row>
    <row r="20" spans="1:8" s="2" customFormat="1" x14ac:dyDescent="0.3">
      <c r="A20" s="13" t="s">
        <v>219</v>
      </c>
      <c r="B20" s="14" t="s">
        <v>186</v>
      </c>
      <c r="C20" s="10">
        <v>49444.02029</v>
      </c>
      <c r="D20" s="15">
        <f>IF(OR(54211.05955="",49444.02029=""),"-",49444.02029/54211.05955*100)</f>
        <v>91.206518928848354</v>
      </c>
      <c r="E20" s="15">
        <f>IF(54211.05955="","-",54211.05955/7176761.18511*100)</f>
        <v>0.75536942294352094</v>
      </c>
      <c r="F20" s="15">
        <f>IF(49444.02029="","-",49444.02029/9219063.17036*100)</f>
        <v>0.5363236955460543</v>
      </c>
      <c r="G20" s="15">
        <f>IF(OR(5415988.29784="",51967.56857="",54211.05955=""),"-",(54211.05955-51967.56857)/5415988.29784*100)</f>
        <v>4.1423482781429606E-2</v>
      </c>
      <c r="H20" s="15">
        <f>IF(OR(7176761.18511="",49444.02029="",54211.05955=""),"-",(49444.02029-54211.05955)/7176761.18511*100)</f>
        <v>-6.642326722380594E-2</v>
      </c>
    </row>
    <row r="21" spans="1:8" s="2" customFormat="1" ht="26.4" x14ac:dyDescent="0.3">
      <c r="A21" s="11" t="s">
        <v>220</v>
      </c>
      <c r="B21" s="12" t="s">
        <v>22</v>
      </c>
      <c r="C21" s="9">
        <v>271828.18903000001</v>
      </c>
      <c r="D21" s="17">
        <f>IF(185851.45296="","-",271828.18903/185851.45296*100)</f>
        <v>146.26099753360788</v>
      </c>
      <c r="E21" s="17">
        <f>IF(185851.45296="","-",185851.45296/7176761.18511*100)</f>
        <v>2.5896284990727527</v>
      </c>
      <c r="F21" s="17">
        <f>IF(271828.18903="","-",271828.18903/9219063.17036*100)</f>
        <v>2.9485445972856397</v>
      </c>
      <c r="G21" s="17">
        <f>IF(5415988.29784="","-",(185851.45296-137599.59442)/5415988.29784*100)</f>
        <v>0.89091511810030588</v>
      </c>
      <c r="H21" s="17">
        <f>IF(7176761.18511="","-",(271828.18903-185851.45296)/7176761.18511*100)</f>
        <v>1.1979879760856529</v>
      </c>
    </row>
    <row r="22" spans="1:8" s="2" customFormat="1" ht="16.5" customHeight="1" x14ac:dyDescent="0.3">
      <c r="A22" s="36" t="s">
        <v>221</v>
      </c>
      <c r="B22" s="14" t="s">
        <v>366</v>
      </c>
      <c r="C22" s="10">
        <v>6.9120000000000001E-2</v>
      </c>
      <c r="D22" s="15">
        <f>IF(OR(15.41886="",0.06912=""),"-",0.06912/15.41886*100)</f>
        <v>0.44828216872064469</v>
      </c>
      <c r="E22" s="15">
        <f>IF(15.41886="","-",15.41886/7176761.18511*100)</f>
        <v>2.1484426752265787E-4</v>
      </c>
      <c r="F22" s="15">
        <f>IF(0.06912="","-",0.06912/9219063.17036*100)</f>
        <v>7.4975080138539612E-7</v>
      </c>
      <c r="G22" s="15">
        <f>IF(OR(5415988.29784="",25.90672="",15.41886=""),"-",(15.41886-25.90672)/5415988.29784*100)</f>
        <v>-1.936462825110379E-4</v>
      </c>
      <c r="H22" s="15">
        <f>IF(OR(7176761.18511="",0.06912="",15.41886=""),"-",(0.06912-15.41886)/7176761.18511*100)</f>
        <v>-2.1388115898083533E-4</v>
      </c>
    </row>
    <row r="23" spans="1:8" s="2" customFormat="1" x14ac:dyDescent="0.3">
      <c r="A23" s="13" t="s">
        <v>222</v>
      </c>
      <c r="B23" s="14" t="s">
        <v>187</v>
      </c>
      <c r="C23" s="10">
        <v>131366.14334000001</v>
      </c>
      <c r="D23" s="15" t="s">
        <v>339</v>
      </c>
      <c r="E23" s="15">
        <f>IF(47779.68108="","-",47779.68108/7176761.18511*100)</f>
        <v>0.66575548283717445</v>
      </c>
      <c r="F23" s="15">
        <f>IF(131366.14334="","-",131366.14334/9219063.17036*100)</f>
        <v>1.4249402668413456</v>
      </c>
      <c r="G23" s="15">
        <f>IF(OR(5415988.29784="",34550.83294="",47779.68108=""),"-",(47779.68108-34550.83294)/5415988.29784*100)</f>
        <v>0.24425547864045274</v>
      </c>
      <c r="H23" s="15">
        <f>IF(OR(7176761.18511="",131366.14334="",47779.68108=""),"-",(131366.14334-47779.68108)/7176761.18511*100)</f>
        <v>1.1646822306616693</v>
      </c>
    </row>
    <row r="24" spans="1:8" s="2" customFormat="1" ht="26.4" x14ac:dyDescent="0.3">
      <c r="A24" s="13" t="s">
        <v>275</v>
      </c>
      <c r="B24" s="14" t="s">
        <v>188</v>
      </c>
      <c r="C24" s="10">
        <v>4318.2767800000001</v>
      </c>
      <c r="D24" s="15">
        <f>IF(OR(2888.36303="",4318.27678=""),"-",4318.27678/2888.36303*100)</f>
        <v>149.50602590976939</v>
      </c>
      <c r="E24" s="15">
        <f>IF(2888.36303="","-",2888.36303/7176761.18511*100)</f>
        <v>4.0246051881907913E-2</v>
      </c>
      <c r="F24" s="15">
        <f>IF(4318.27678="","-",4318.27678/9219063.17036*100)</f>
        <v>4.6840733165638707E-2</v>
      </c>
      <c r="G24" s="15">
        <f>IF(OR(5415988.29784="",1390.16302="",2888.36303=""),"-",(2888.36303-1390.16302)/5415988.29784*100)</f>
        <v>2.7662541490304011E-2</v>
      </c>
      <c r="H24" s="15">
        <f>IF(OR(7176761.18511="",4318.27678="",2888.36303=""),"-",(4318.27678-2888.36303)/7176761.18511*100)</f>
        <v>1.9924220872316562E-2</v>
      </c>
    </row>
    <row r="25" spans="1:8" s="2" customFormat="1" ht="14.25" customHeight="1" x14ac:dyDescent="0.3">
      <c r="A25" s="13" t="s">
        <v>223</v>
      </c>
      <c r="B25" s="14" t="s">
        <v>189</v>
      </c>
      <c r="C25" s="10">
        <v>56429.427759999999</v>
      </c>
      <c r="D25" s="15">
        <f>IF(OR(57050.22999="",56429.42776=""),"-",56429.42776/57050.22999*100)</f>
        <v>98.911832204517296</v>
      </c>
      <c r="E25" s="15">
        <f>IF(57050.22999="","-",57050.22999/7176761.18511*100)</f>
        <v>0.79493003206467394</v>
      </c>
      <c r="F25" s="15">
        <f>IF(56429.42776="","-",56429.42776/9219063.17036*100)</f>
        <v>0.61209503305525614</v>
      </c>
      <c r="G25" s="15">
        <f>IF(OR(5415988.29784="",39481.70284="",57050.22999=""),"-",(57050.22999-39481.70284)/5415988.29784*100)</f>
        <v>0.32438266450846409</v>
      </c>
      <c r="H25" s="15">
        <f>IF(OR(7176761.18511="",56429.42776="",57050.22999=""),"-",(56429.42776-57050.22999)/7176761.18511*100)</f>
        <v>-8.6501726055481943E-3</v>
      </c>
    </row>
    <row r="26" spans="1:8" s="2" customFormat="1" x14ac:dyDescent="0.3">
      <c r="A26" s="13" t="s">
        <v>224</v>
      </c>
      <c r="B26" s="14" t="s">
        <v>141</v>
      </c>
      <c r="C26" s="10">
        <v>688.63099999999997</v>
      </c>
      <c r="D26" s="15">
        <f>IF(OR(578.82904="",688.631=""),"-",688.631/578.82904*100)</f>
        <v>118.96967021557867</v>
      </c>
      <c r="E26" s="15">
        <f>IF(578.82904="","-",578.82904/7176761.18511*100)</f>
        <v>8.065323968156091E-3</v>
      </c>
      <c r="F26" s="15">
        <f>IF(688.631="","-",688.631/9219063.17036*100)</f>
        <v>7.4696418418522372E-3</v>
      </c>
      <c r="G26" s="15">
        <f>IF(OR(5415988.29784="",486.41642="",578.82904=""),"-",(578.82904-486.41642)/5415988.29784*100)</f>
        <v>1.7062928300058528E-3</v>
      </c>
      <c r="H26" s="15">
        <f>IF(OR(7176761.18511="",688.631="",578.82904=""),"-",(688.631-578.82904)/7176761.18511*100)</f>
        <v>1.5299653585772346E-3</v>
      </c>
    </row>
    <row r="27" spans="1:8" s="2" customFormat="1" ht="41.25" customHeight="1" x14ac:dyDescent="0.3">
      <c r="A27" s="13" t="s">
        <v>225</v>
      </c>
      <c r="B27" s="14" t="s">
        <v>142</v>
      </c>
      <c r="C27" s="10">
        <v>9024.7772000000004</v>
      </c>
      <c r="D27" s="15">
        <f>IF(OR(10568.79396="",9024.7772=""),"-",9024.7772/10568.79396*100)</f>
        <v>85.390795148020842</v>
      </c>
      <c r="E27" s="15">
        <f>IF(10568.79396="","-",10568.79396/7176761.18511*100)</f>
        <v>0.14726411660356803</v>
      </c>
      <c r="F27" s="15">
        <f>IF(9024.7772="","-",9024.7772/9219063.17036*100)</f>
        <v>9.7892562760773294E-2</v>
      </c>
      <c r="G27" s="15">
        <f>IF(OR(5415988.29784="",8228.60774="",10568.79396=""),"-",(10568.79396-8228.60774)/5415988.29784*100)</f>
        <v>4.3208849268254745E-2</v>
      </c>
      <c r="H27" s="15">
        <f>IF(OR(7176761.18511="",9024.7772="",10568.79396=""),"-",(9024.7772-10568.79396)/7176761.18511*100)</f>
        <v>-2.1514116468072705E-2</v>
      </c>
    </row>
    <row r="28" spans="1:8" s="2" customFormat="1" ht="39.6" x14ac:dyDescent="0.3">
      <c r="A28" s="13" t="s">
        <v>226</v>
      </c>
      <c r="B28" s="14" t="s">
        <v>143</v>
      </c>
      <c r="C28" s="10">
        <v>23133.529210000001</v>
      </c>
      <c r="D28" s="15">
        <f>IF(OR(19494.2381="",23133.52921=""),"-",23133.52921/19494.2381*100)</f>
        <v>118.66854755405907</v>
      </c>
      <c r="E28" s="15">
        <f>IF(19494.2381="","-",19494.2381/7176761.18511*100)</f>
        <v>0.2716300235884358</v>
      </c>
      <c r="F28" s="15">
        <f>IF(23133.52921="","-",23133.52921/9219063.17036*100)</f>
        <v>0.25093145347323448</v>
      </c>
      <c r="G28" s="15">
        <f>IF(OR(5415988.29784="",17887.07175="",19494.2381=""),"-",(19494.2381-17887.07175)/5415988.29784*100)</f>
        <v>2.9674479736984814E-2</v>
      </c>
      <c r="H28" s="15">
        <f>IF(OR(7176761.18511="",23133.52921="",19494.2381=""),"-",(23133.52921-19494.2381)/7176761.18511*100)</f>
        <v>5.0709380124709019E-2</v>
      </c>
    </row>
    <row r="29" spans="1:8" s="2" customFormat="1" ht="26.4" x14ac:dyDescent="0.3">
      <c r="A29" s="13" t="s">
        <v>227</v>
      </c>
      <c r="B29" s="14" t="s">
        <v>144</v>
      </c>
      <c r="C29" s="10">
        <v>2790.1769300000001</v>
      </c>
      <c r="D29" s="15" t="s">
        <v>101</v>
      </c>
      <c r="E29" s="15">
        <f>IF(1483.18103="","-",1483.18103/7176761.18511*100)</f>
        <v>2.0666439801246737E-2</v>
      </c>
      <c r="F29" s="15">
        <f>IF(2790.17693="","-",2790.17693/9219063.17036*100)</f>
        <v>3.0265297877235878E-2</v>
      </c>
      <c r="G29" s="15">
        <f>IF(OR(5415988.29784="",1787.83245="",1483.18103=""),"-",(1483.18103-1787.83245)/5415988.29784*100)</f>
        <v>-5.6250383724333556E-3</v>
      </c>
      <c r="H29" s="15">
        <f>IF(OR(7176761.18511="",2790.17693="",1483.18103=""),"-",(2790.17693-1483.18103)/7176761.18511*100)</f>
        <v>1.8211500512399559E-2</v>
      </c>
    </row>
    <row r="30" spans="1:8" s="2" customFormat="1" ht="26.4" x14ac:dyDescent="0.3">
      <c r="A30" s="13" t="s">
        <v>228</v>
      </c>
      <c r="B30" s="14" t="s">
        <v>145</v>
      </c>
      <c r="C30" s="10">
        <v>44077.15769</v>
      </c>
      <c r="D30" s="15">
        <f>IF(OR(45992.71787="",44077.15769=""),"-",44077.15769/45992.71787*100)</f>
        <v>95.835079402321043</v>
      </c>
      <c r="E30" s="15">
        <f>IF(45992.71787="","-",45992.71787/7176761.18511*100)</f>
        <v>0.64085618406006717</v>
      </c>
      <c r="F30" s="15">
        <f>IF(44077.15769="","-",44077.15769/9219063.17036*100)</f>
        <v>0.47810885851950186</v>
      </c>
      <c r="G30" s="15">
        <f>IF(OR(5415988.29784="",33761.06054="",45992.71787=""),"-",(45992.71787-33761.06054)/5415988.29784*100)</f>
        <v>0.22584349628078446</v>
      </c>
      <c r="H30" s="15">
        <f>IF(OR(7176761.18511="",44077.15769="",45992.71787=""),"-",(44077.15769-45992.71787)/7176761.18511*100)</f>
        <v>-2.6691151211417106E-2</v>
      </c>
    </row>
    <row r="31" spans="1:8" s="2" customFormat="1" ht="26.4" x14ac:dyDescent="0.3">
      <c r="A31" s="11" t="s">
        <v>229</v>
      </c>
      <c r="B31" s="12" t="s">
        <v>146</v>
      </c>
      <c r="C31" s="9">
        <v>2581600.81898</v>
      </c>
      <c r="D31" s="17" t="s">
        <v>281</v>
      </c>
      <c r="E31" s="17">
        <f>IF(1072287.52547="","-",1072287.52547/7176761.18511*100)</f>
        <v>14.941106410155191</v>
      </c>
      <c r="F31" s="17">
        <f>IF(2581600.81898="","-",2581600.81898/9219063.17036*100)</f>
        <v>28.002854208441114</v>
      </c>
      <c r="G31" s="17">
        <f>IF(5415988.29784="","-",(1072287.52547-590133.57014)/5415988.29784*100)</f>
        <v>8.902418705784358</v>
      </c>
      <c r="H31" s="17">
        <f>IF(7176761.18511="","-",(2581600.81898-1072287.52547)/7176761.18511*100)</f>
        <v>21.030563154887343</v>
      </c>
    </row>
    <row r="32" spans="1:8" s="2" customFormat="1" x14ac:dyDescent="0.3">
      <c r="A32" s="13" t="s">
        <v>230</v>
      </c>
      <c r="B32" s="14" t="s">
        <v>190</v>
      </c>
      <c r="C32" s="10">
        <v>39829.467689999998</v>
      </c>
      <c r="D32" s="15" t="s">
        <v>196</v>
      </c>
      <c r="E32" s="15">
        <f>IF(17940.82072="","-",17940.82072/7176761.18511*100)</f>
        <v>0.24998492017851665</v>
      </c>
      <c r="F32" s="15">
        <f>IF(39829.46769="","-",39829.46769/9219063.17036*100)</f>
        <v>0.43203378644865792</v>
      </c>
      <c r="G32" s="15">
        <f>IF(OR(5415988.29784="",15396.24091="",17940.82072=""),"-",(17940.82072-15396.24091)/5415988.29784*100)</f>
        <v>4.698274202355323E-2</v>
      </c>
      <c r="H32" s="15">
        <f>IF(OR(7176761.18511="",39829.46769="",17940.82072=""),"-",(39829.46769-17940.82072)/7176761.18511*100)</f>
        <v>0.30499338636784395</v>
      </c>
    </row>
    <row r="33" spans="1:8" s="2" customFormat="1" ht="26.4" x14ac:dyDescent="0.3">
      <c r="A33" s="13" t="s">
        <v>231</v>
      </c>
      <c r="B33" s="14" t="s">
        <v>147</v>
      </c>
      <c r="C33" s="10">
        <v>1538732.24101</v>
      </c>
      <c r="D33" s="15" t="s">
        <v>281</v>
      </c>
      <c r="E33" s="15">
        <f>IF(629268.70673="","-",629268.70673/7176761.18511*100)</f>
        <v>8.7681433239770676</v>
      </c>
      <c r="F33" s="15">
        <f>IF(1538732.24101="","-",1538732.24101/9219063.17036*100)</f>
        <v>16.69076578146403</v>
      </c>
      <c r="G33" s="15">
        <f>IF(OR(5415988.29784="",378932.84274="",629268.70673=""),"-",(629268.70673-378932.84274)/5415988.29784*100)</f>
        <v>4.6221640488004514</v>
      </c>
      <c r="H33" s="15">
        <f>IF(OR(7176761.18511="",1538732.24101="",629268.70673=""),"-",(1538732.24101-629268.70673)/7176761.18511*100)</f>
        <v>12.672339385723344</v>
      </c>
    </row>
    <row r="34" spans="1:8" s="2" customFormat="1" ht="26.4" x14ac:dyDescent="0.3">
      <c r="A34" s="13" t="s">
        <v>276</v>
      </c>
      <c r="B34" s="14" t="s">
        <v>191</v>
      </c>
      <c r="C34" s="10">
        <v>850495.60245999997</v>
      </c>
      <c r="D34" s="15" t="s">
        <v>18</v>
      </c>
      <c r="E34" s="15">
        <f>IF(417336.63297="","-",417336.63297/7176761.18511*100)</f>
        <v>5.8151110536584385</v>
      </c>
      <c r="F34" s="15">
        <f>IF(850495.60246="","-",850495.60246/9219063.17036*100)</f>
        <v>9.2254016134134869</v>
      </c>
      <c r="G34" s="15">
        <f>IF(OR(5415988.29784="",186243.68467="",417336.63297=""),"-",(417336.63297-186243.68467)/5415988.29784*100)</f>
        <v>4.2668657240667285</v>
      </c>
      <c r="H34" s="15">
        <f>IF(OR(7176761.18511="",850495.60246="",417336.63297=""),"-",(850495.60246-417336.63297)/7176761.18511*100)</f>
        <v>6.0355773073332504</v>
      </c>
    </row>
    <row r="35" spans="1:8" s="2" customFormat="1" x14ac:dyDescent="0.3">
      <c r="A35" s="13" t="s">
        <v>282</v>
      </c>
      <c r="B35" s="14" t="s">
        <v>284</v>
      </c>
      <c r="C35" s="10">
        <v>152543.50782</v>
      </c>
      <c r="D35" s="15" t="s">
        <v>405</v>
      </c>
      <c r="E35" s="15">
        <f>IF(7741.36505="","-",7741.36505/7176761.18511*100)</f>
        <v>0.1078671123411688</v>
      </c>
      <c r="F35" s="15">
        <f>IF(152543.50782="","-",152543.50782/9219063.17036*100)</f>
        <v>1.6546530271149367</v>
      </c>
      <c r="G35" s="15">
        <f>IF(OR(5415988.29784="",9560.80182="",7741.36505=""),"-",(7741.36505-9560.80182)/5415988.29784*100)</f>
        <v>-3.3593809106375404E-2</v>
      </c>
      <c r="H35" s="15">
        <f>IF(OR(7176761.18511="",152543.50782="",7741.36505=""),"-",(152543.50782-7741.36505)/7176761.18511*100)</f>
        <v>2.0176530754629058</v>
      </c>
    </row>
    <row r="36" spans="1:8" s="2" customFormat="1" ht="26.4" x14ac:dyDescent="0.3">
      <c r="A36" s="11" t="s">
        <v>232</v>
      </c>
      <c r="B36" s="12" t="s">
        <v>148</v>
      </c>
      <c r="C36" s="9">
        <v>61601.228230000001</v>
      </c>
      <c r="D36" s="17" t="s">
        <v>392</v>
      </c>
      <c r="E36" s="17">
        <f>IF(14621.66928="","-",14621.66928/7176761.18511*100)</f>
        <v>0.20373632203808506</v>
      </c>
      <c r="F36" s="17">
        <f>IF(61601.22823="","-",61601.22823/9219063.17036*100)</f>
        <v>0.66819401376977972</v>
      </c>
      <c r="G36" s="17">
        <f>IF(5415988.29784="","-",(14621.66928-12094.6506)/5415988.29784*100)</f>
        <v>4.6658495938918902E-2</v>
      </c>
      <c r="H36" s="17">
        <f>IF(7176761.18511="","-",(61601.22823-14621.66928)/7176761.18511*100)</f>
        <v>0.65460669149017991</v>
      </c>
    </row>
    <row r="37" spans="1:8" s="2" customFormat="1" x14ac:dyDescent="0.3">
      <c r="A37" s="13" t="s">
        <v>233</v>
      </c>
      <c r="B37" s="14" t="s">
        <v>194</v>
      </c>
      <c r="C37" s="10">
        <v>2724.66995</v>
      </c>
      <c r="D37" s="15">
        <f>IF(OR(2214.20829="",2724.66995=""),"-",2724.66995/2214.20829*100)</f>
        <v>123.0539133244777</v>
      </c>
      <c r="E37" s="15">
        <f>IF(2214.20829="","-",2214.20829/7176761.18511*100)</f>
        <v>3.0852472764370833E-2</v>
      </c>
      <c r="F37" s="15">
        <f>IF(2724.66995="","-",2724.66995/9219063.17036*100)</f>
        <v>2.9554737825856582E-2</v>
      </c>
      <c r="G37" s="15">
        <f>IF(OR(5415988.29784="",1804.08578="",2214.20829=""),"-",(2214.20829-1804.08578)/5415988.29784*100)</f>
        <v>7.5724408445188964E-3</v>
      </c>
      <c r="H37" s="15">
        <f>IF(OR(7176761.18511="",2724.66995="",2214.20829=""),"-",(2724.66995-2214.20829)/7176761.18511*100)</f>
        <v>7.1127023295561413E-3</v>
      </c>
    </row>
    <row r="38" spans="1:8" s="2" customFormat="1" ht="26.4" x14ac:dyDescent="0.3">
      <c r="A38" s="13" t="s">
        <v>234</v>
      </c>
      <c r="B38" s="14" t="s">
        <v>149</v>
      </c>
      <c r="C38" s="10">
        <v>55220.75604</v>
      </c>
      <c r="D38" s="15" t="s">
        <v>370</v>
      </c>
      <c r="E38" s="15">
        <f>IF(10109.05939="","-",10109.05939/7176761.18511*100)</f>
        <v>0.1408582385460142</v>
      </c>
      <c r="F38" s="15">
        <f>IF(55220.75604="","-",55220.75604/9219063.17036*100)</f>
        <v>0.598984463166919</v>
      </c>
      <c r="G38" s="15">
        <f>IF(OR(5415988.29784="",8542.84833="",10109.05939=""),"-",(10109.05939-8542.84833)/5415988.29784*100)</f>
        <v>2.8918287371939754E-2</v>
      </c>
      <c r="H38" s="15">
        <f>IF(OR(7176761.18511="",55220.75604="",10109.05939=""),"-",(55220.75604-10109.05939)/7176761.18511*100)</f>
        <v>0.62858015595663941</v>
      </c>
    </row>
    <row r="39" spans="1:8" s="2" customFormat="1" ht="66" customHeight="1" x14ac:dyDescent="0.3">
      <c r="A39" s="13" t="s">
        <v>235</v>
      </c>
      <c r="B39" s="14" t="s">
        <v>192</v>
      </c>
      <c r="C39" s="10">
        <v>3655.80224</v>
      </c>
      <c r="D39" s="15">
        <f>IF(OR(2298.4016="",3655.80224=""),"-",3655.80224/2298.4016*100)</f>
        <v>159.05846219390028</v>
      </c>
      <c r="E39" s="15">
        <f>IF(2298.4016="","-",2298.4016/7176761.18511*100)</f>
        <v>3.2025610727700035E-2</v>
      </c>
      <c r="F39" s="15">
        <f>IF(3655.80224="","-",3655.80224/9219063.17036*100)</f>
        <v>3.9654812777004132E-2</v>
      </c>
      <c r="G39" s="15">
        <f>IF(OR(5415988.29784="",1747.71649="",2298.4016=""),"-",(2298.4016-1747.71649)/5415988.29784*100)</f>
        <v>1.0167767722460254E-2</v>
      </c>
      <c r="H39" s="15">
        <f>IF(OR(7176761.18511="",3655.80224="",2298.4016=""),"-",(3655.80224-2298.4016)/7176761.18511*100)</f>
        <v>1.8913833203984404E-2</v>
      </c>
    </row>
    <row r="40" spans="1:8" s="2" customFormat="1" ht="39.6" x14ac:dyDescent="0.3">
      <c r="A40" s="11" t="s">
        <v>236</v>
      </c>
      <c r="B40" s="12" t="s">
        <v>150</v>
      </c>
      <c r="C40" s="9">
        <v>1081111.56464</v>
      </c>
      <c r="D40" s="17">
        <f>IF(1033731.91138="","-",1081111.56464/1033731.91138*100)</f>
        <v>104.58335983811796</v>
      </c>
      <c r="E40" s="17">
        <f>IF(1033731.91138="","-",1033731.91138/7176761.18511*100)</f>
        <v>14.403877803886486</v>
      </c>
      <c r="F40" s="17">
        <f>IF(1081111.56464="","-",1081111.56464/9219063.17036*100)</f>
        <v>11.726913512382223</v>
      </c>
      <c r="G40" s="17">
        <f>IF(5415988.29784="","-",(1033731.91138-820177.02364)/5415988.29784*100)</f>
        <v>3.9430455901311618</v>
      </c>
      <c r="H40" s="17">
        <f>IF(7176761.18511="","-",(1081111.56464-1033731.91138)/7176761.18511*100)</f>
        <v>0.66018155039492021</v>
      </c>
    </row>
    <row r="41" spans="1:8" s="2" customFormat="1" x14ac:dyDescent="0.3">
      <c r="A41" s="13" t="s">
        <v>237</v>
      </c>
      <c r="B41" s="14" t="s">
        <v>23</v>
      </c>
      <c r="C41" s="10">
        <v>18721.15237</v>
      </c>
      <c r="D41" s="15">
        <f>IF(OR(15522.28619="",18721.15237=""),"-",18721.15237/15522.28619*100)</f>
        <v>120.60821544484099</v>
      </c>
      <c r="E41" s="15">
        <f>IF(15522.28619="","-",15522.28619/7176761.18511*100)</f>
        <v>0.21628539378187608</v>
      </c>
      <c r="F41" s="15">
        <f>IF(18721.15237="","-",18721.15237/9219063.17036*100)</f>
        <v>0.20307000856865748</v>
      </c>
      <c r="G41" s="15">
        <f>IF(OR(5415988.29784="",12918.59312="",15522.28619=""),"-",(15522.28619-12918.59312)/5415988.29784*100)</f>
        <v>4.8074200437958917E-2</v>
      </c>
      <c r="H41" s="15">
        <f>IF(OR(7176761.18511="",18721.15237="",15522.28619=""),"-",(18721.15237-15522.28619)/7176761.18511*100)</f>
        <v>4.4572559926291729E-2</v>
      </c>
    </row>
    <row r="42" spans="1:8" s="2" customFormat="1" x14ac:dyDescent="0.3">
      <c r="A42" s="13" t="s">
        <v>238</v>
      </c>
      <c r="B42" s="14" t="s">
        <v>24</v>
      </c>
      <c r="C42" s="10">
        <v>34223.939449999998</v>
      </c>
      <c r="D42" s="15" t="s">
        <v>91</v>
      </c>
      <c r="E42" s="15">
        <f>IF(16662.77691="","-",16662.77691/7176761.18511*100)</f>
        <v>0.23217683409294892</v>
      </c>
      <c r="F42" s="15">
        <f>IF(34223.93945="","-",34223.93945/9219063.17036*100)</f>
        <v>0.3712301219502715</v>
      </c>
      <c r="G42" s="15">
        <f>IF(OR(5415988.29784="",15830.87955="",16662.77691=""),"-",(16662.77691-15830.87955)/5415988.29784*100)</f>
        <v>1.5360028756557275E-2</v>
      </c>
      <c r="H42" s="15">
        <f>IF(OR(7176761.18511="",34223.93945="",16662.77691=""),"-",(34223.93945-16662.77691)/7176761.18511*100)</f>
        <v>0.24469481548912417</v>
      </c>
    </row>
    <row r="43" spans="1:8" s="2" customFormat="1" ht="17.25" customHeight="1" x14ac:dyDescent="0.3">
      <c r="A43" s="13" t="s">
        <v>239</v>
      </c>
      <c r="B43" s="14" t="s">
        <v>151</v>
      </c>
      <c r="C43" s="10">
        <v>50901.63076</v>
      </c>
      <c r="D43" s="15">
        <f>IF(OR(51103.81508="",50901.63076=""),"-",50901.63076/51103.81508*100)</f>
        <v>99.604365506403994</v>
      </c>
      <c r="E43" s="15">
        <f>IF(51103.81508="","-",51103.81508/7176761.18511*100)</f>
        <v>0.71207350728108032</v>
      </c>
      <c r="F43" s="15">
        <f>IF(50901.63076="","-",50901.63076/9219063.17036*100)</f>
        <v>0.55213452624614467</v>
      </c>
      <c r="G43" s="15">
        <f>IF(OR(5415988.29784="",43007.4513="",51103.81508=""),"-",(51103.81508-43007.4513)/5415988.29784*100)</f>
        <v>0.14949005305696442</v>
      </c>
      <c r="H43" s="15">
        <f>IF(OR(7176761.18511="",50901.63076="",51103.81508=""),"-",(50901.63076-51103.81508)/7176761.18511*100)</f>
        <v>-2.8172084145628622E-3</v>
      </c>
    </row>
    <row r="44" spans="1:8" s="2" customFormat="1" x14ac:dyDescent="0.3">
      <c r="A44" s="13" t="s">
        <v>240</v>
      </c>
      <c r="B44" s="14" t="s">
        <v>152</v>
      </c>
      <c r="C44" s="10">
        <v>279590.37816999998</v>
      </c>
      <c r="D44" s="15">
        <f>IF(OR(336481.24332="",279590.37817=""),"-",279590.37817/336481.24332*100)</f>
        <v>83.092411158295761</v>
      </c>
      <c r="E44" s="15">
        <f>IF(336481.24332="","-",336481.24332/7176761.18511*100)</f>
        <v>4.6884832118716053</v>
      </c>
      <c r="F44" s="15">
        <f>IF(279590.37817="","-",279590.37817/9219063.17036*100)</f>
        <v>3.0327417548119704</v>
      </c>
      <c r="G44" s="15">
        <f>IF(OR(5415988.29784="",258021.81573="",336481.24332=""),"-",(336481.24332-258021.81573)/5415988.29784*100)</f>
        <v>1.4486631668183465</v>
      </c>
      <c r="H44" s="15">
        <f>IF(OR(7176761.18511="",279590.37817="",336481.24332=""),"-",(279590.37817-336481.24332)/7176761.18511*100)</f>
        <v>-0.79270946437558032</v>
      </c>
    </row>
    <row r="45" spans="1:8" s="2" customFormat="1" ht="41.25" customHeight="1" x14ac:dyDescent="0.3">
      <c r="A45" s="13" t="s">
        <v>241</v>
      </c>
      <c r="B45" s="14" t="s">
        <v>153</v>
      </c>
      <c r="C45" s="10">
        <v>155730.15317000001</v>
      </c>
      <c r="D45" s="15">
        <f>IF(OR(140730.94472="",155730.15317=""),"-",155730.15317/140730.94472*100)</f>
        <v>110.65807415692591</v>
      </c>
      <c r="E45" s="15">
        <f>IF(140730.94472="","-",140730.94472/7176761.18511*100)</f>
        <v>1.960925563637004</v>
      </c>
      <c r="F45" s="15">
        <f>IF(155730.15317="","-",155730.15317/9219063.17036*100)</f>
        <v>1.6892188532852717</v>
      </c>
      <c r="G45" s="15">
        <f>IF(OR(5415988.29784="",114099.381="",140730.94472=""),"-",(140730.94472-114099.381)/5415988.29784*100)</f>
        <v>0.49172121975634958</v>
      </c>
      <c r="H45" s="15">
        <f>IF(OR(7176761.18511="",155730.15317="",140730.94472=""),"-",(155730.15317-140730.94472)/7176761.18511*100)</f>
        <v>0.20899690073454924</v>
      </c>
    </row>
    <row r="46" spans="1:8" s="2" customFormat="1" x14ac:dyDescent="0.3">
      <c r="A46" s="13" t="s">
        <v>242</v>
      </c>
      <c r="B46" s="14" t="s">
        <v>154</v>
      </c>
      <c r="C46" s="10">
        <v>137822.18309000001</v>
      </c>
      <c r="D46" s="15">
        <f>IF(OR(88123.18219="",137822.18309=""),"-",137822.18309/88123.18219*100)</f>
        <v>156.3971927305636</v>
      </c>
      <c r="E46" s="15">
        <f>IF(88123.18219="","-",88123.18219/7176761.18511*100)</f>
        <v>1.2278962601240482</v>
      </c>
      <c r="F46" s="15">
        <f>IF(137822.18309="","-",137822.18309/9219063.17036*100)</f>
        <v>1.4949695055036498</v>
      </c>
      <c r="G46" s="15">
        <f>IF(OR(5415988.29784="",72625.95801="",88123.18219=""),"-",(88123.18219-72625.95801)/5415988.29784*100)</f>
        <v>0.28613843545748791</v>
      </c>
      <c r="H46" s="15">
        <f>IF(OR(7176761.18511="",137822.18309="",88123.18219=""),"-",(137822.18309-88123.18219)/7176761.18511*100)</f>
        <v>0.69249902035354205</v>
      </c>
    </row>
    <row r="47" spans="1:8" s="2" customFormat="1" ht="15" customHeight="1" x14ac:dyDescent="0.3">
      <c r="A47" s="13" t="s">
        <v>243</v>
      </c>
      <c r="B47" s="14" t="s">
        <v>25</v>
      </c>
      <c r="C47" s="10">
        <v>80339.106520000001</v>
      </c>
      <c r="D47" s="15">
        <f>IF(OR(73139.86203="",80339.10652=""),"-",80339.10652/73139.86203*100)</f>
        <v>109.84312014021447</v>
      </c>
      <c r="E47" s="15">
        <f>IF(73139.86203="","-",73139.86203/7176761.18511*100)</f>
        <v>1.0191207446298629</v>
      </c>
      <c r="F47" s="15">
        <f>IF(80339.10652="","-",80339.10652/9219063.17036*100)</f>
        <v>0.87144544988363259</v>
      </c>
      <c r="G47" s="15">
        <f>IF(OR(5415988.29784="",47325.8952="",73139.86203=""),"-",(73139.86203-47325.8952)/5415988.29784*100)</f>
        <v>0.47662523274459639</v>
      </c>
      <c r="H47" s="15">
        <f>IF(OR(7176761.18511="",80339.10652="",73139.86203=""),"-",(80339.10652-73139.86203)/7176761.18511*100)</f>
        <v>0.10031327926776558</v>
      </c>
    </row>
    <row r="48" spans="1:8" s="2" customFormat="1" x14ac:dyDescent="0.3">
      <c r="A48" s="13" t="s">
        <v>244</v>
      </c>
      <c r="B48" s="14" t="s">
        <v>26</v>
      </c>
      <c r="C48" s="10">
        <v>152461.68995</v>
      </c>
      <c r="D48" s="15">
        <f>IF(OR(157811.50933="",152461.68995=""),"-",152461.68995/157811.50933*100)</f>
        <v>96.609994161570953</v>
      </c>
      <c r="E48" s="15">
        <f>IF(157811.50933="","-",157811.50933/7176761.18511*100)</f>
        <v>2.1989237938893629</v>
      </c>
      <c r="F48" s="15">
        <f>IF(152461.68995="","-",152461.68995/9219063.17036*100)</f>
        <v>1.6537655413857679</v>
      </c>
      <c r="G48" s="15">
        <f>IF(OR(5415988.29784="",123213.96852="",157811.50933=""),"-",(157811.50933-123213.96852)/5415988.29784*100)</f>
        <v>0.63880383241961891</v>
      </c>
      <c r="H48" s="15">
        <f>IF(OR(7176761.18511="",152461.68995="",157811.50933=""),"-",(152461.68995-157811.50933)/7176761.18511*100)</f>
        <v>-7.4543644995454905E-2</v>
      </c>
    </row>
    <row r="49" spans="1:8" s="2" customFormat="1" x14ac:dyDescent="0.3">
      <c r="A49" s="13" t="s">
        <v>245</v>
      </c>
      <c r="B49" s="14" t="s">
        <v>155</v>
      </c>
      <c r="C49" s="10">
        <v>171321.33116</v>
      </c>
      <c r="D49" s="15">
        <f>IF(OR(154156.29161="",171321.33116=""),"-",171321.33116/154156.29161*100)</f>
        <v>111.13482905610226</v>
      </c>
      <c r="E49" s="15">
        <f>IF(154156.29161="","-",154156.29161/7176761.18511*100)</f>
        <v>2.1479924945786975</v>
      </c>
      <c r="F49" s="15">
        <f>IF(171321.33116="","-",171321.33116/9219063.17036*100)</f>
        <v>1.8583377507468579</v>
      </c>
      <c r="G49" s="15">
        <f>IF(OR(5415988.29784="",133133.08121="",154156.29161=""),"-",(154156.29161-133133.08121)/5415988.29784*100)</f>
        <v>0.38816942068328397</v>
      </c>
      <c r="H49" s="15">
        <f>IF(OR(7176761.18511="",171321.33116="",154156.29161=""),"-",(171321.33116-154156.29161)/7176761.18511*100)</f>
        <v>0.23917529240924468</v>
      </c>
    </row>
    <row r="50" spans="1:8" s="2" customFormat="1" ht="26.4" x14ac:dyDescent="0.3">
      <c r="A50" s="11" t="s">
        <v>246</v>
      </c>
      <c r="B50" s="12" t="s">
        <v>331</v>
      </c>
      <c r="C50" s="9">
        <v>1302129.6429900001</v>
      </c>
      <c r="D50" s="17">
        <f>IF(1314633.9693="","-",1302129.64299/1314633.9693*100)</f>
        <v>99.048835903984894</v>
      </c>
      <c r="E50" s="17">
        <f>IF(1314633.9693="","-",1314633.9693/7176761.18511*100)</f>
        <v>18.317928316014466</v>
      </c>
      <c r="F50" s="17">
        <f>IF(1302129.64299="","-",1302129.64299/9219063.17036*100)</f>
        <v>14.124316309887618</v>
      </c>
      <c r="G50" s="17">
        <f>IF(5415988.29784="","-",(1314633.9693-1065792.39011)/5415988.29784*100)</f>
        <v>4.5945737971635339</v>
      </c>
      <c r="H50" s="17">
        <f>IF(7176761.18511="","-",(1302129.64299-1314633.9693)/7176761.18511*100)</f>
        <v>-0.17423355727571505</v>
      </c>
    </row>
    <row r="51" spans="1:8" s="2" customFormat="1" x14ac:dyDescent="0.3">
      <c r="A51" s="13" t="s">
        <v>247</v>
      </c>
      <c r="B51" s="14" t="s">
        <v>156</v>
      </c>
      <c r="C51" s="10">
        <v>55761.080009999998</v>
      </c>
      <c r="D51" s="15">
        <f>IF(OR(55153.72528="",55761.08001=""),"-",55761.08001/55153.72528*100)</f>
        <v>101.10120345800149</v>
      </c>
      <c r="E51" s="15">
        <f>IF(55153.72528="","-",55153.72528/7176761.18511*100)</f>
        <v>0.76850439714268748</v>
      </c>
      <c r="F51" s="15">
        <f>IF(55761.08001="","-",55761.08001/9219063.17036*100)</f>
        <v>0.60484540543421128</v>
      </c>
      <c r="G51" s="15">
        <f>IF(OR(5415988.29784="",48160.38203="",55153.72528=""),"-",(55153.72528-48160.38203)/5415988.29784*100)</f>
        <v>0.12912404653438925</v>
      </c>
      <c r="H51" s="15">
        <f>IF(OR(7176761.18511="",55761.08001="",55153.72528=""),"-",(55761.08001-55153.72528)/7176761.18511*100)</f>
        <v>8.4627969962287383E-3</v>
      </c>
    </row>
    <row r="52" spans="1:8" s="2" customFormat="1" x14ac:dyDescent="0.3">
      <c r="A52" s="13" t="s">
        <v>248</v>
      </c>
      <c r="B52" s="14" t="s">
        <v>27</v>
      </c>
      <c r="C52" s="10">
        <v>85229.191309999995</v>
      </c>
      <c r="D52" s="15">
        <f>IF(OR(76233.94714="",85229.19131=""),"-",85229.19131/76233.94714*100)</f>
        <v>111.79952568044347</v>
      </c>
      <c r="E52" s="15">
        <f>IF(76233.94714="","-",76233.94714/7176761.18511*100)</f>
        <v>1.0622332995859822</v>
      </c>
      <c r="F52" s="15">
        <f>IF(85229.19131="","-",85229.19131/9219063.17036*100)</f>
        <v>0.92448863550494387</v>
      </c>
      <c r="G52" s="15">
        <f>IF(OR(5415988.29784="",60628.04558="",76233.94714=""),"-",(76233.94714-60628.04558)/5415988.29784*100)</f>
        <v>0.28814503838983441</v>
      </c>
      <c r="H52" s="15">
        <f>IF(OR(7176761.18511="",85229.19131="",76233.94714=""),"-",(85229.19131-76233.94714)/7176761.18511*100)</f>
        <v>0.12533849097086988</v>
      </c>
    </row>
    <row r="53" spans="1:8" s="2" customFormat="1" ht="14.25" customHeight="1" x14ac:dyDescent="0.3">
      <c r="A53" s="13" t="s">
        <v>249</v>
      </c>
      <c r="B53" s="14" t="s">
        <v>157</v>
      </c>
      <c r="C53" s="10">
        <v>108607.18343999999</v>
      </c>
      <c r="D53" s="15">
        <f>IF(OR(115727.46096="",108607.18344=""),"-",108607.18344/115727.46096*100)</f>
        <v>93.847374287023328</v>
      </c>
      <c r="E53" s="15">
        <f>IF(115727.46096="","-",115727.46096/7176761.18511*100)</f>
        <v>1.6125304712675377</v>
      </c>
      <c r="F53" s="15">
        <f>IF(108607.18344="","-",108607.18344/9219063.17036*100)</f>
        <v>1.1780718000629442</v>
      </c>
      <c r="G53" s="15">
        <f>IF(OR(5415988.29784="",90824.17749="",115727.46096=""),"-",(115727.46096-90824.17749)/5415988.29784*100)</f>
        <v>0.45981051103695886</v>
      </c>
      <c r="H53" s="15">
        <f>IF(OR(7176761.18511="",108607.18344="",115727.46096=""),"-",(108607.18344-115727.46096)/7176761.18511*100)</f>
        <v>-9.9212964404790466E-2</v>
      </c>
    </row>
    <row r="54" spans="1:8" s="2" customFormat="1" ht="26.25" customHeight="1" x14ac:dyDescent="0.3">
      <c r="A54" s="13" t="s">
        <v>250</v>
      </c>
      <c r="B54" s="14" t="s">
        <v>158</v>
      </c>
      <c r="C54" s="10">
        <v>144314.59460000001</v>
      </c>
      <c r="D54" s="15">
        <f>IF(OR(113893.82411="",144314.5946=""),"-",144314.5946/113893.82411*100)</f>
        <v>126.70976299875511</v>
      </c>
      <c r="E54" s="15">
        <f>IF(113893.82411="","-",113893.82411/7176761.18511*100)</f>
        <v>1.5869808284313744</v>
      </c>
      <c r="F54" s="15">
        <f>IF(144314.5946="","-",144314.5946/9219063.17036*100)</f>
        <v>1.5653932718888681</v>
      </c>
      <c r="G54" s="15">
        <f>IF(OR(5415988.29784="",93604.56607="",113893.82411=""),"-",(113893.82411-93604.56607)/5415988.29784*100)</f>
        <v>0.37461783379575886</v>
      </c>
      <c r="H54" s="15">
        <f>IF(OR(7176761.18511="",144314.5946="",113893.82411=""),"-",(144314.5946-113893.82411)/7176761.18511*100)</f>
        <v>0.42387881810970057</v>
      </c>
    </row>
    <row r="55" spans="1:8" s="2" customFormat="1" ht="16.5" customHeight="1" x14ac:dyDescent="0.3">
      <c r="A55" s="13" t="s">
        <v>251</v>
      </c>
      <c r="B55" s="14" t="s">
        <v>159</v>
      </c>
      <c r="C55" s="10">
        <v>322301.33857000002</v>
      </c>
      <c r="D55" s="15">
        <f>IF(OR(321654.36073="",322301.33857=""),"-",322301.33857/321654.36073*100)</f>
        <v>100.2011407022531</v>
      </c>
      <c r="E55" s="15">
        <f>IF(321654.36073="","-",321654.36073/7176761.18511*100)</f>
        <v>4.4818874758902814</v>
      </c>
      <c r="F55" s="15">
        <f>IF(322301.33857="","-",322301.33857/9219063.17036*100)</f>
        <v>3.4960313495434514</v>
      </c>
      <c r="G55" s="15">
        <f>IF(OR(5415988.29784="",261362.05249="",321654.36073=""),"-",(321654.36073-261362.05249)/5415988.29784*100)</f>
        <v>1.1132281852242136</v>
      </c>
      <c r="H55" s="15">
        <f>IF(OR(7176761.18511="",322301.33857="",321654.36073=""),"-",(322301.33857-321654.36073)/7176761.18511*100)</f>
        <v>9.0148999431989667E-3</v>
      </c>
    </row>
    <row r="56" spans="1:8" s="2" customFormat="1" ht="16.5" customHeight="1" x14ac:dyDescent="0.3">
      <c r="A56" s="13" t="s">
        <v>252</v>
      </c>
      <c r="B56" s="14" t="s">
        <v>28</v>
      </c>
      <c r="C56" s="10">
        <v>166367.06107</v>
      </c>
      <c r="D56" s="15">
        <f>IF(OR(164552.58756="",166367.06107=""),"-",166367.06107/164552.58756*100)</f>
        <v>101.1026709071581</v>
      </c>
      <c r="E56" s="15">
        <f>IF(164552.58756="","-",164552.58756/7176761.18511*100)</f>
        <v>2.2928530477146967</v>
      </c>
      <c r="F56" s="15">
        <f>IF(166367.06107="","-",166367.06107/9219063.17036*100)</f>
        <v>1.8045983414549425</v>
      </c>
      <c r="G56" s="15">
        <f>IF(OR(5415988.29784="",139176.35584="",164552.58756=""),"-",(164552.58756-139176.35584)/5415988.29784*100)</f>
        <v>0.46854295697279363</v>
      </c>
      <c r="H56" s="15">
        <f>IF(OR(7176761.18511="",166367.06107="",164552.58756=""),"-",(166367.06107-164552.58756)/7176761.18511*100)</f>
        <v>2.5282623501037823E-2</v>
      </c>
    </row>
    <row r="57" spans="1:8" s="2" customFormat="1" ht="15.75" customHeight="1" x14ac:dyDescent="0.3">
      <c r="A57" s="13" t="s">
        <v>253</v>
      </c>
      <c r="B57" s="14" t="s">
        <v>160</v>
      </c>
      <c r="C57" s="10">
        <v>176075.78583000001</v>
      </c>
      <c r="D57" s="15">
        <f>IF(OR(176873.35715="",176075.78583=""),"-",176075.78583/176873.35715*100)</f>
        <v>99.549072097204785</v>
      </c>
      <c r="E57" s="15">
        <f>IF(176873.35715="","-",176873.35715/7176761.18511*100)</f>
        <v>2.4645289509837442</v>
      </c>
      <c r="F57" s="15">
        <f>IF(176075.78583="","-",176075.78583/9219063.17036*100)</f>
        <v>1.9099097443664041</v>
      </c>
      <c r="G57" s="15">
        <f>IF(OR(5415988.29784="",133031.75697="",176873.35715=""),"-",(176873.35715-133031.75697)/5415988.29784*100)</f>
        <v>0.80948476564258609</v>
      </c>
      <c r="H57" s="15">
        <f>IF(OR(7176761.18511="",176075.78583="",176873.35715=""),"-",(176075.78583-176873.35715)/7176761.18511*100)</f>
        <v>-1.1113248712451947E-2</v>
      </c>
    </row>
    <row r="58" spans="1:8" s="2" customFormat="1" x14ac:dyDescent="0.3">
      <c r="A58" s="13" t="s">
        <v>254</v>
      </c>
      <c r="B58" s="14" t="s">
        <v>29</v>
      </c>
      <c r="C58" s="10">
        <v>35438.48272</v>
      </c>
      <c r="D58" s="15">
        <f>IF(OR(73483.50696="",35438.48272=""),"-",35438.48272/73483.50696*100)</f>
        <v>48.226444526239852</v>
      </c>
      <c r="E58" s="15">
        <f>IF(73483.50696="","-",73483.50696/7176761.18511*100)</f>
        <v>1.0239090456633844</v>
      </c>
      <c r="F58" s="15">
        <f>IF(35438.48272="","-",35438.48272/9219063.17036*100)</f>
        <v>0.38440438106485109</v>
      </c>
      <c r="G58" s="15">
        <f>IF(OR(5415988.29784="",65444.0417="",73483.50696=""),"-",(73483.50696-65444.0417)/5415988.29784*100)</f>
        <v>0.14843948727153436</v>
      </c>
      <c r="H58" s="15">
        <f>IF(OR(7176761.18511="",35438.48272="",73483.50696=""),"-",(35438.48272-73483.50696)/7176761.18511*100)</f>
        <v>-0.53011411775738038</v>
      </c>
    </row>
    <row r="59" spans="1:8" s="2" customFormat="1" x14ac:dyDescent="0.3">
      <c r="A59" s="13" t="s">
        <v>255</v>
      </c>
      <c r="B59" s="14" t="s">
        <v>30</v>
      </c>
      <c r="C59" s="10">
        <v>208034.92543999999</v>
      </c>
      <c r="D59" s="15">
        <f>IF(OR(217061.19941="",208034.92544=""),"-",208034.92544/217061.19941*100)</f>
        <v>95.841599514544939</v>
      </c>
      <c r="E59" s="15">
        <f>IF(217061.19941="","-",217061.19941/7176761.18511*100)</f>
        <v>3.0245007993347777</v>
      </c>
      <c r="F59" s="15">
        <f>IF(208034.92544="","-",208034.92544/9219063.17036*100)</f>
        <v>2.2565733805670005</v>
      </c>
      <c r="G59" s="15">
        <f>IF(OR(5415988.29784="",173561.01194="",217061.19941=""),"-",(217061.19941-173561.01194)/5415988.29784*100)</f>
        <v>0.80318097229546659</v>
      </c>
      <c r="H59" s="15">
        <f>IF(OR(7176761.18511="",208034.92544="",217061.19941=""),"-",(208034.92544-217061.19941)/7176761.18511*100)</f>
        <v>-0.12577085592212947</v>
      </c>
    </row>
    <row r="60" spans="1:8" s="2" customFormat="1" ht="26.4" x14ac:dyDescent="0.3">
      <c r="A60" s="11" t="s">
        <v>256</v>
      </c>
      <c r="B60" s="12" t="s">
        <v>161</v>
      </c>
      <c r="C60" s="9">
        <v>2028852.6311600001</v>
      </c>
      <c r="D60" s="17">
        <f>IF(1823188.16762="","-",2028852.63116/1823188.16762*100)</f>
        <v>111.28048476798067</v>
      </c>
      <c r="E60" s="17">
        <f>IF(1823188.16762="","-",1823188.16762/7176761.18511*100)</f>
        <v>25.404052337740641</v>
      </c>
      <c r="F60" s="17">
        <f>IF(2028852.63116="","-",2028852.63116/9219063.17036*100)</f>
        <v>22.007145342955432</v>
      </c>
      <c r="G60" s="17">
        <f>IF(5415988.29784="","-",(1823188.16762-1419914.64371)/5415988.29784*100)</f>
        <v>7.4459821870522358</v>
      </c>
      <c r="H60" s="17">
        <f>IF(7176761.18511="","-",(2028852.63116-1823188.16762)/7176761.18511*100)</f>
        <v>2.8657002544086727</v>
      </c>
    </row>
    <row r="61" spans="1:8" s="2" customFormat="1" ht="27" customHeight="1" x14ac:dyDescent="0.3">
      <c r="A61" s="13" t="s">
        <v>257</v>
      </c>
      <c r="B61" s="14" t="s">
        <v>162</v>
      </c>
      <c r="C61" s="10">
        <v>36230.49123</v>
      </c>
      <c r="D61" s="15">
        <f>IF(OR(27052.87506="",36230.49123=""),"-",36230.49123/27052.87506*100)</f>
        <v>133.92473498526556</v>
      </c>
      <c r="E61" s="15">
        <f>IF(27052.87506="","-",27052.87506/7176761.18511*100)</f>
        <v>0.3769510279390097</v>
      </c>
      <c r="F61" s="15">
        <f>IF(36230.49123="","-",36230.49123/9219063.17036*100)</f>
        <v>0.39299536797278739</v>
      </c>
      <c r="G61" s="15">
        <f>IF(OR(5415988.29784="",20407.21285="",27052.87506=""),"-",(27052.87506-20407.21285)/5415988.29784*100)</f>
        <v>0.12270451567722952</v>
      </c>
      <c r="H61" s="15">
        <f>IF(OR(7176761.18511="",36230.49123="",27052.87506=""),"-",(36230.49123-27052.87506)/7176761.18511*100)</f>
        <v>0.12787963725254337</v>
      </c>
    </row>
    <row r="62" spans="1:8" s="2" customFormat="1" ht="26.4" x14ac:dyDescent="0.3">
      <c r="A62" s="13" t="s">
        <v>258</v>
      </c>
      <c r="B62" s="14" t="s">
        <v>163</v>
      </c>
      <c r="C62" s="10">
        <v>288514.21604000003</v>
      </c>
      <c r="D62" s="15">
        <f>IF(OR(248330.88095="",288514.21604=""),"-",288514.21604/248330.88095*100)</f>
        <v>116.18136855806134</v>
      </c>
      <c r="E62" s="15">
        <f>IF(248330.88095="","-",248330.88095/7176761.18511*100)</f>
        <v>3.4602082268701513</v>
      </c>
      <c r="F62" s="15">
        <f>IF(288514.21604="","-",288514.21604/9219063.17036*100)</f>
        <v>3.1295394196624611</v>
      </c>
      <c r="G62" s="15">
        <f>IF(OR(5415988.29784="",165936.49137="",248330.88095=""),"-",(248330.88095-165936.49137)/5415988.29784*100)</f>
        <v>1.5213177180028334</v>
      </c>
      <c r="H62" s="15">
        <f>IF(OR(7176761.18511="",288514.21604="",248330.88095=""),"-",(288514.21604-248330.88095)/7176761.18511*100)</f>
        <v>0.5599090460662185</v>
      </c>
    </row>
    <row r="63" spans="1:8" s="2" customFormat="1" ht="27.75" customHeight="1" x14ac:dyDescent="0.3">
      <c r="A63" s="13" t="s">
        <v>259</v>
      </c>
      <c r="B63" s="14" t="s">
        <v>164</v>
      </c>
      <c r="C63" s="10">
        <v>13322.24512</v>
      </c>
      <c r="D63" s="15">
        <f>IF(OR(17537.48568="",13322.24512=""),"-",13322.24512/17537.48568*100)</f>
        <v>75.964396282831331</v>
      </c>
      <c r="E63" s="15">
        <f>IF(17537.48568="","-",17537.48568/7176761.18511*100)</f>
        <v>0.24436490538915992</v>
      </c>
      <c r="F63" s="15">
        <f>IF(13322.24512="","-",13322.24512/9219063.17036*100)</f>
        <v>0.14450758036708158</v>
      </c>
      <c r="G63" s="15">
        <f>IF(OR(5415988.29784="",14603.23176="",17537.48568=""),"-",(17537.48568-14603.23176)/5415988.29784*100)</f>
        <v>5.4177626660867007E-2</v>
      </c>
      <c r="H63" s="15">
        <f>IF(OR(7176761.18511="",13322.24512="",17537.48568=""),"-",(13322.24512-17537.48568)/7176761.18511*100)</f>
        <v>-5.8734580283172598E-2</v>
      </c>
    </row>
    <row r="64" spans="1:8" s="2" customFormat="1" ht="39.6" x14ac:dyDescent="0.3">
      <c r="A64" s="13" t="s">
        <v>260</v>
      </c>
      <c r="B64" s="14" t="s">
        <v>165</v>
      </c>
      <c r="C64" s="10">
        <v>249244.15906999999</v>
      </c>
      <c r="D64" s="15">
        <f>IF(OR(251383.07228="",249244.15907=""),"-",249244.15907/251383.07228*100)</f>
        <v>99.14914190895972</v>
      </c>
      <c r="E64" s="15">
        <f>IF(251383.07228="","-",251383.07228/7176761.18511*100)</f>
        <v>3.5027370396768607</v>
      </c>
      <c r="F64" s="15">
        <f>IF(249244.15907="","-",249244.15907/9219063.17036*100)</f>
        <v>2.7035736111597455</v>
      </c>
      <c r="G64" s="15">
        <f>IF(OR(5415988.29784="",203430.90294="",251383.07228=""),"-",(251383.07228-203430.90294)/5415988.29784*100)</f>
        <v>0.88538170141771233</v>
      </c>
      <c r="H64" s="15">
        <f>IF(OR(7176761.18511="",249244.15907="",251383.07228=""),"-",(249244.15907-251383.07228)/7176761.18511*100)</f>
        <v>-2.9803321509955124E-2</v>
      </c>
    </row>
    <row r="65" spans="1:8" s="2" customFormat="1" ht="26.25" customHeight="1" x14ac:dyDescent="0.3">
      <c r="A65" s="13" t="s">
        <v>261</v>
      </c>
      <c r="B65" s="14" t="s">
        <v>166</v>
      </c>
      <c r="C65" s="10">
        <v>103160.09746999999</v>
      </c>
      <c r="D65" s="15">
        <f>IF(OR(78483.85245="",103160.09747=""),"-",103160.09747/78483.85245*100)</f>
        <v>131.44117452149862</v>
      </c>
      <c r="E65" s="15">
        <f>IF(78483.85245="","-",78483.85245/7176761.18511*100)</f>
        <v>1.0935831697010421</v>
      </c>
      <c r="F65" s="15">
        <f>IF(103160.09747="","-",103160.09747/9219063.17036*100)</f>
        <v>1.1189867729908574</v>
      </c>
      <c r="G65" s="15">
        <f>IF(OR(5415988.29784="",62811.95051="",78483.85245=""),"-",(78483.85245-62811.95051)/5415988.29784*100)</f>
        <v>0.28936365956053228</v>
      </c>
      <c r="H65" s="15">
        <f>IF(OR(7176761.18511="",103160.09747="",78483.85245=""),"-",(103160.09747-78483.85245)/7176761.18511*100)</f>
        <v>0.34383539292344123</v>
      </c>
    </row>
    <row r="66" spans="1:8" s="2" customFormat="1" ht="42" customHeight="1" x14ac:dyDescent="0.3">
      <c r="A66" s="13" t="s">
        <v>262</v>
      </c>
      <c r="B66" s="14" t="s">
        <v>167</v>
      </c>
      <c r="C66" s="10">
        <v>198907.60011999999</v>
      </c>
      <c r="D66" s="15">
        <f>IF(OR(195500.74303="",198907.60012=""),"-",198907.60012/195500.74303*100)</f>
        <v>101.74263127454057</v>
      </c>
      <c r="E66" s="15">
        <f>IF(195500.74303="","-",195500.74303/7176761.18511*100)</f>
        <v>2.7240803753595086</v>
      </c>
      <c r="F66" s="15">
        <f>IF(198907.60012="","-",198907.60012/9219063.17036*100)</f>
        <v>2.1575684692074057</v>
      </c>
      <c r="G66" s="15">
        <f>IF(OR(5415988.29784="",175528.10574="",195500.74303=""),"-",(195500.74303-175528.10574)/5415988.29784*100)</f>
        <v>0.36877179549973332</v>
      </c>
      <c r="H66" s="15">
        <f>IF(OR(7176761.18511="",198907.60012="",195500.74303=""),"-",(198907.60012-195500.74303)/7176761.18511*100)</f>
        <v>4.7470676564636979E-2</v>
      </c>
    </row>
    <row r="67" spans="1:8" s="2" customFormat="1" ht="52.8" x14ac:dyDescent="0.3">
      <c r="A67" s="13" t="s">
        <v>263</v>
      </c>
      <c r="B67" s="14" t="s">
        <v>168</v>
      </c>
      <c r="C67" s="10">
        <v>582328.26506000001</v>
      </c>
      <c r="D67" s="15">
        <f>IF(OR(538500.76183="",582328.26506=""),"-",582328.26506/538500.76183*100)</f>
        <v>108.13880059910407</v>
      </c>
      <c r="E67" s="15">
        <f>IF(538500.76183="","-",538500.76183/7176761.18511*100)</f>
        <v>7.5033953052144957</v>
      </c>
      <c r="F67" s="15">
        <f>IF(582328.26506="","-",582328.26506/9219063.17036*100)</f>
        <v>6.3165666000882856</v>
      </c>
      <c r="G67" s="15">
        <f>IF(OR(5415988.29784="",426929.56077="",538500.76183=""),"-",(538500.76183-426929.56077)/5415988.29784*100)</f>
        <v>2.0600340127118946</v>
      </c>
      <c r="H67" s="15">
        <f>IF(OR(7176761.18511="",582328.26506="",538500.76183=""),"-",(582328.26506-538500.76183)/7176761.18511*100)</f>
        <v>0.61068638205394421</v>
      </c>
    </row>
    <row r="68" spans="1:8" s="2" customFormat="1" ht="26.4" x14ac:dyDescent="0.3">
      <c r="A68" s="13" t="s">
        <v>264</v>
      </c>
      <c r="B68" s="14" t="s">
        <v>169</v>
      </c>
      <c r="C68" s="10">
        <v>547507.43316000002</v>
      </c>
      <c r="D68" s="15">
        <f>IF(OR(461044.78265="",547507.43316=""),"-",547507.43316/461044.78265*100)</f>
        <v>118.75363386893324</v>
      </c>
      <c r="E68" s="15">
        <f>IF(461044.78265="","-",461044.78265/7176761.18511*100)</f>
        <v>6.4241343798168122</v>
      </c>
      <c r="F68" s="15">
        <f>IF(547507.43316="","-",547507.43316/9219063.17036*100)</f>
        <v>5.938861932525624</v>
      </c>
      <c r="G68" s="15">
        <f>IF(OR(5415988.29784="",297732.33823="",461044.78265=""),"-",(461044.78265-297732.33823)/5415988.29784*100)</f>
        <v>3.0153766115988865</v>
      </c>
      <c r="H68" s="15">
        <f>IF(OR(7176761.18511="",547507.43316="",461044.78265=""),"-",(547507.43316-461044.78265)/7176761.18511*100)</f>
        <v>1.2047586408391096</v>
      </c>
    </row>
    <row r="69" spans="1:8" s="2" customFormat="1" x14ac:dyDescent="0.3">
      <c r="A69" s="13" t="s">
        <v>265</v>
      </c>
      <c r="B69" s="14" t="s">
        <v>31</v>
      </c>
      <c r="C69" s="10">
        <v>9638.1238900000008</v>
      </c>
      <c r="D69" s="15" t="s">
        <v>197</v>
      </c>
      <c r="E69" s="15">
        <f>IF(5353.71369="","-",5353.71369/7176761.18511*100)</f>
        <v>7.459790777360166E-2</v>
      </c>
      <c r="F69" s="15">
        <f>IF(9638.12389="","-",9638.12389/9219063.17036*100)</f>
        <v>0.10454558898118099</v>
      </c>
      <c r="G69" s="15">
        <f>IF(OR(5415988.29784="",52534.84954="",5353.71369=""),"-",(5353.71369-52534.84954)/5415988.29784*100)</f>
        <v>-0.87114545407745336</v>
      </c>
      <c r="H69" s="15">
        <f>IF(OR(7176761.18511="",9638.12389="",5353.71369=""),"-",(9638.12389-5353.71369)/7176761.18511*100)</f>
        <v>5.9698380501905089E-2</v>
      </c>
    </row>
    <row r="70" spans="1:8" x14ac:dyDescent="0.3">
      <c r="A70" s="11" t="s">
        <v>266</v>
      </c>
      <c r="B70" s="12" t="s">
        <v>32</v>
      </c>
      <c r="C70" s="9">
        <v>820778.10470000003</v>
      </c>
      <c r="D70" s="17">
        <f>IF(830355.98858="","-",820778.1047/830355.98858*100)</f>
        <v>98.846532811020111</v>
      </c>
      <c r="E70" s="17">
        <f>IF(830355.98858="","-",830355.98858/7176761.18511*100)</f>
        <v>11.57006576034302</v>
      </c>
      <c r="F70" s="17">
        <f>IF(820778.1047="","-",820778.1047/9219063.17036*100)</f>
        <v>8.9030532661807218</v>
      </c>
      <c r="G70" s="17">
        <f>IF(5415988.29784="","-",(830355.98858-604985.59707)/5415988.29784*100)</f>
        <v>4.1612052891599127</v>
      </c>
      <c r="H70" s="17">
        <f>IF(7176761.18511="","-",(820778.1047-830355.98858)/7176761.18511*100)</f>
        <v>-0.13345691228895443</v>
      </c>
    </row>
    <row r="71" spans="1:8" ht="39.75" customHeight="1" x14ac:dyDescent="0.3">
      <c r="A71" s="13" t="s">
        <v>267</v>
      </c>
      <c r="B71" s="14" t="s">
        <v>195</v>
      </c>
      <c r="C71" s="10">
        <v>67417.837350000002</v>
      </c>
      <c r="D71" s="15">
        <f>IF(OR(76781.73868="",67417.83735=""),"-",67417.83735/76781.73868*100)</f>
        <v>87.804520331291897</v>
      </c>
      <c r="E71" s="15">
        <f>IF(76781.73868="","-",76781.73868/7176761.18511*100)</f>
        <v>1.0698661513121415</v>
      </c>
      <c r="F71" s="15">
        <f>IF(67417.83735="","-",67417.83735/9219063.17036*100)</f>
        <v>0.7312872913893631</v>
      </c>
      <c r="G71" s="15">
        <f>IF(OR(5415988.29784="",56118.0824="",76781.73868=""),"-",(76781.73868-56118.0824)/5415988.29784*100)</f>
        <v>0.38153066704817395</v>
      </c>
      <c r="H71" s="15">
        <f>IF(OR(7176761.18511="",67417.83735="",76781.73868=""),"-",(67417.83735-76781.73868)/7176761.18511*100)</f>
        <v>-0.1304753089656622</v>
      </c>
    </row>
    <row r="72" spans="1:8" x14ac:dyDescent="0.3">
      <c r="A72" s="13" t="s">
        <v>268</v>
      </c>
      <c r="B72" s="14" t="s">
        <v>170</v>
      </c>
      <c r="C72" s="10">
        <v>74256.16403</v>
      </c>
      <c r="D72" s="15">
        <f>IF(OR(79138.59015="",74256.16403=""),"-",74256.16403/79138.59015*100)</f>
        <v>93.830536896417016</v>
      </c>
      <c r="E72" s="15">
        <f>IF(79138.59015="","-",79138.59015/7176761.18511*100)</f>
        <v>1.1027061944626633</v>
      </c>
      <c r="F72" s="15">
        <f>IF(74256.16403="","-",74256.16403/9219063.17036*100)</f>
        <v>0.80546323045859247</v>
      </c>
      <c r="G72" s="15">
        <f>IF(OR(5415988.29784="",57427.48198="",79138.59015=""),"-",(79138.59015-57427.48198)/5415988.29784*100)</f>
        <v>0.40087066249125419</v>
      </c>
      <c r="H72" s="15">
        <f>IF(OR(7176761.18511="",74256.16403="",79138.59015=""),"-",(74256.16403-79138.59015)/7176761.18511*100)</f>
        <v>-6.8031051808297979E-2</v>
      </c>
    </row>
    <row r="73" spans="1:8" x14ac:dyDescent="0.3">
      <c r="A73" s="13" t="s">
        <v>269</v>
      </c>
      <c r="B73" s="14" t="s">
        <v>171</v>
      </c>
      <c r="C73" s="10">
        <v>17193.425780000001</v>
      </c>
      <c r="D73" s="15">
        <f>IF(OR(12545.83337="",17193.42578=""),"-",17193.42578/12545.83337*100)</f>
        <v>137.04490784257882</v>
      </c>
      <c r="E73" s="15">
        <f>IF(12545.83337="","-",12545.83337/7176761.18511*100)</f>
        <v>0.17481191092201165</v>
      </c>
      <c r="F73" s="15">
        <f>IF(17193.42578="","-",17193.42578/9219063.17036*100)</f>
        <v>0.18649862206474721</v>
      </c>
      <c r="G73" s="15">
        <f>IF(OR(5415988.29784="",9207.51616="",12545.83337=""),"-",(12545.83337-9207.51616)/5415988.29784*100)</f>
        <v>6.1638190971191456E-2</v>
      </c>
      <c r="H73" s="15">
        <f>IF(OR(7176761.18511="",17193.42578="",12545.83337=""),"-",(17193.42578-12545.83337)/7176761.18511*100)</f>
        <v>6.4758911298910191E-2</v>
      </c>
    </row>
    <row r="74" spans="1:8" x14ac:dyDescent="0.3">
      <c r="A74" s="13" t="s">
        <v>270</v>
      </c>
      <c r="B74" s="14" t="s">
        <v>172</v>
      </c>
      <c r="C74" s="10">
        <v>203846.50261</v>
      </c>
      <c r="D74" s="15">
        <f>IF(OR(200368.29076="",203846.50261=""),"-",203846.50261/200368.29076*100)</f>
        <v>101.73590932817118</v>
      </c>
      <c r="E74" s="15">
        <f>IF(200368.29076="","-",200368.29076/7176761.18511*100)</f>
        <v>2.7919041137346818</v>
      </c>
      <c r="F74" s="15">
        <f>IF(203846.50261="","-",203846.50261/9219063.17036*100)</f>
        <v>2.2111411847722469</v>
      </c>
      <c r="G74" s="15">
        <f>IF(OR(5415988.29784="",138522.66542="",200368.29076=""),"-",(200368.29076-138522.66542)/5415988.29784*100)</f>
        <v>1.1419084004421727</v>
      </c>
      <c r="H74" s="15">
        <f>IF(OR(7176761.18511="",203846.50261="",200368.29076=""),"-",(203846.50261-200368.29076)/7176761.18511*100)</f>
        <v>4.8464923943915252E-2</v>
      </c>
    </row>
    <row r="75" spans="1:8" x14ac:dyDescent="0.3">
      <c r="A75" s="13" t="s">
        <v>271</v>
      </c>
      <c r="B75" s="14" t="s">
        <v>173</v>
      </c>
      <c r="C75" s="10">
        <v>58823.670050000001</v>
      </c>
      <c r="D75" s="15">
        <f>IF(OR(51446.46042="",58823.67005=""),"-",58823.67005/51446.46042*100)</f>
        <v>114.33958637732069</v>
      </c>
      <c r="E75" s="15">
        <f>IF(51446.46042="","-",51446.46042/7176761.18511*100)</f>
        <v>0.71684788016547984</v>
      </c>
      <c r="F75" s="15">
        <f>IF(58823.67005="","-",58823.67005/9219063.17036*100)</f>
        <v>0.63806559259863449</v>
      </c>
      <c r="G75" s="15">
        <f>IF(OR(5415988.29784="",39513.67574="",51446.46042=""),"-",(51446.46042-39513.67574)/5415988.29784*100)</f>
        <v>0.22032515625558177</v>
      </c>
      <c r="H75" s="15">
        <f>IF(OR(7176761.18511="",58823.67005="",51446.46042=""),"-",(58823.67005-51446.46042)/7176761.18511*100)</f>
        <v>0.10279302097032125</v>
      </c>
    </row>
    <row r="76" spans="1:8" ht="27.75" customHeight="1" x14ac:dyDescent="0.3">
      <c r="A76" s="13" t="s">
        <v>272</v>
      </c>
      <c r="B76" s="14" t="s">
        <v>367</v>
      </c>
      <c r="C76" s="10">
        <v>77878.196020000003</v>
      </c>
      <c r="D76" s="15">
        <f>IF(OR(90534.12463="",77878.19602=""),"-",77878.19602/90534.12463*100)</f>
        <v>86.020819595127278</v>
      </c>
      <c r="E76" s="15">
        <f>IF(90534.12463="","-",90534.12463/7176761.18511*100)</f>
        <v>1.2614899993862951</v>
      </c>
      <c r="F76" s="15">
        <f>IF(77878.19602="","-",77878.19602/9219063.17036*100)</f>
        <v>0.84475173432355266</v>
      </c>
      <c r="G76" s="15">
        <f>IF(OR(5415988.29784="",62466.82587="",90534.12463=""),"-",(90534.12463-62466.82587)/5415988.29784*100)</f>
        <v>0.51823041735880016</v>
      </c>
      <c r="H76" s="15">
        <f>IF(OR(7176761.18511="",77878.19602="",90534.12463=""),"-",(77878.19602-90534.12463)/7176761.18511*100)</f>
        <v>-0.1763459628036379</v>
      </c>
    </row>
    <row r="77" spans="1:8" ht="27.75" customHeight="1" x14ac:dyDescent="0.3">
      <c r="A77" s="13" t="s">
        <v>273</v>
      </c>
      <c r="B77" s="14" t="s">
        <v>174</v>
      </c>
      <c r="C77" s="10">
        <v>16335.295029999999</v>
      </c>
      <c r="D77" s="15">
        <f>IF(OR(17059.28539="",16335.29503=""),"-",16335.29503/17059.28539*100)</f>
        <v>95.756033482947657</v>
      </c>
      <c r="E77" s="15">
        <f>IF(17059.28539="","-",17059.28539/7176761.18511*100)</f>
        <v>0.23770172853729321</v>
      </c>
      <c r="F77" s="15">
        <f>IF(16335.29503="","-",16335.29503/9219063.17036*100)</f>
        <v>0.17719040132536712</v>
      </c>
      <c r="G77" s="15">
        <f>IF(OR(5415988.29784="",11173.92497="",17059.28539=""),"-",(17059.28539-11173.92497)/5415988.29784*100)</f>
        <v>0.10866641684486643</v>
      </c>
      <c r="H77" s="15">
        <f>IF(OR(7176761.18511="",16335.29503="",17059.28539=""),"-",(16335.29503-17059.28539)/7176761.18511*100)</f>
        <v>-1.008798176957737E-2</v>
      </c>
    </row>
    <row r="78" spans="1:8" x14ac:dyDescent="0.3">
      <c r="A78" s="13" t="s">
        <v>274</v>
      </c>
      <c r="B78" s="14" t="s">
        <v>33</v>
      </c>
      <c r="C78" s="10">
        <v>305027.01383000001</v>
      </c>
      <c r="D78" s="15">
        <f>IF(OR(302481.66518="",305027.01383=""),"-",305027.01383/302481.66518*100)</f>
        <v>100.84148857369102</v>
      </c>
      <c r="E78" s="15">
        <f>IF(302481.66518="","-",302481.66518/7176761.18511*100)</f>
        <v>4.2147377818224534</v>
      </c>
      <c r="F78" s="15">
        <f>IF(305027.01383="","-",305027.01383/9219063.17036*100)</f>
        <v>3.3086552092482173</v>
      </c>
      <c r="G78" s="15">
        <f>IF(OR(5415988.29784="",230555.42453="",302481.66518=""),"-",(302481.66518-230555.42453)/5415988.29784*100)</f>
        <v>1.3280353777478726</v>
      </c>
      <c r="H78" s="15">
        <f>IF(OR(7176761.18511="",305027.01383="",302481.66518=""),"-",(305027.01383-302481.66518)/7176761.18511*100)</f>
        <v>3.5466536845073893E-2</v>
      </c>
    </row>
    <row r="79" spans="1:8" ht="26.4" x14ac:dyDescent="0.3">
      <c r="A79" s="11" t="s">
        <v>277</v>
      </c>
      <c r="B79" s="12" t="s">
        <v>175</v>
      </c>
      <c r="C79" s="9">
        <v>20119.583170000002</v>
      </c>
      <c r="D79" s="17" t="s">
        <v>406</v>
      </c>
      <c r="E79" s="17">
        <f>IF(946.6054="","-",946.6054/7176761.18511*100)</f>
        <v>1.3189869017293923E-2</v>
      </c>
      <c r="F79" s="17">
        <f>IF(20119.58317="","-",20119.58317/9219063.17036*100)</f>
        <v>0.21823891211295759</v>
      </c>
      <c r="G79" s="17">
        <f>IF(5415988.29784="","-",(946.6054-838.36695)/5415988.29784*100)</f>
        <v>1.9984985943039724E-3</v>
      </c>
      <c r="H79" s="17">
        <f>IF(7176761.18511="","-",(20119.58317-946.6054)/7176761.18511*100)</f>
        <v>0.26715362648236335</v>
      </c>
    </row>
    <row r="80" spans="1:8" ht="26.4" x14ac:dyDescent="0.3">
      <c r="A80" s="13" t="s">
        <v>318</v>
      </c>
      <c r="B80" s="14" t="s">
        <v>319</v>
      </c>
      <c r="C80" s="10">
        <v>333.24464999999998</v>
      </c>
      <c r="D80" s="15" t="s">
        <v>343</v>
      </c>
      <c r="E80" s="15">
        <f>IF(83.0007="","-",83.0007/7176761.18511*100)</f>
        <v>1.156520300162779E-3</v>
      </c>
      <c r="F80" s="15">
        <f>IF(333.24465="","-",333.24465/9219063.17036*100)</f>
        <v>3.614734424115969E-3</v>
      </c>
      <c r="G80" s="15">
        <f>IF(OR(5415988.29784="",129.69316="",83.0007=""),"-",(83.0007-129.69316)/5415988.29784*100)</f>
        <v>-8.6212261608138729E-4</v>
      </c>
      <c r="H80" s="15">
        <f>IF(OR(7176761.18511="",333.24465="",83.0007=""),"-",(333.24465-83.0007)/7176761.18511*100)</f>
        <v>3.4868646670199103E-3</v>
      </c>
    </row>
    <row r="81" spans="1:8" x14ac:dyDescent="0.3">
      <c r="A81" s="13" t="s">
        <v>309</v>
      </c>
      <c r="B81" s="14" t="s">
        <v>310</v>
      </c>
      <c r="C81" s="10">
        <v>405.48435999999998</v>
      </c>
      <c r="D81" s="15" t="s">
        <v>101</v>
      </c>
      <c r="E81" s="15">
        <f>IF(208.31176="","-",208.31176/7176761.18511*100)</f>
        <v>2.9025873179700508E-3</v>
      </c>
      <c r="F81" s="15">
        <f>IF(405.48436="","-",405.48436/9219063.17036*100)</f>
        <v>4.3983249979636053E-3</v>
      </c>
      <c r="G81" s="15">
        <f>IF(OR(5415988.29784="",1.59182="",208.31176=""),"-",(208.31176-1.59182)/5415988.29784*100)</f>
        <v>3.8168461346647269E-3</v>
      </c>
      <c r="H81" s="15">
        <f>IF(OR(7176761.18511="",405.48436="",208.31176=""),"-",(405.48436-208.31176)/7176761.18511*100)</f>
        <v>2.74737579967248E-3</v>
      </c>
    </row>
    <row r="82" spans="1:8" ht="26.4" x14ac:dyDescent="0.3">
      <c r="A82" s="37" t="s">
        <v>311</v>
      </c>
      <c r="B82" s="38" t="s">
        <v>317</v>
      </c>
      <c r="C82" s="46">
        <v>19380.854159999999</v>
      </c>
      <c r="D82" s="19" t="s">
        <v>407</v>
      </c>
      <c r="E82" s="19">
        <f>IF(655.29294="","-",655.29294/7176761.18511*100)</f>
        <v>9.1307613991610925E-3</v>
      </c>
      <c r="F82" s="19">
        <f>IF(19380.85416="","-",19380.85416/9219063.17036*100)</f>
        <v>0.21022585269087796</v>
      </c>
      <c r="G82" s="19">
        <f>IF(OR(5415988.29784="",707.08197="",655.29294=""),"-",(655.29294-707.08197)/5415988.29784*100)</f>
        <v>-9.5622492427936689E-4</v>
      </c>
      <c r="H82" s="19">
        <f>IF(OR(7176761.18511="",19380.85416="",655.29294=""),"-",(19380.85416-655.29294)/7176761.18511*100)</f>
        <v>0.26091938601567088</v>
      </c>
    </row>
    <row r="83" spans="1:8" x14ac:dyDescent="0.3">
      <c r="A83" s="20" t="s">
        <v>280</v>
      </c>
      <c r="B83" s="21"/>
    </row>
    <row r="84" spans="1:8" x14ac:dyDescent="0.3">
      <c r="A84" s="21" t="s">
        <v>410</v>
      </c>
      <c r="B84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5"/>
  <sheetViews>
    <sheetView zoomScale="99" zoomScaleNormal="99" workbookViewId="0">
      <selection activeCell="B1" sqref="B1:E1"/>
    </sheetView>
  </sheetViews>
  <sheetFormatPr defaultRowHeight="15.6" x14ac:dyDescent="0.3"/>
  <cols>
    <col min="1" max="1" width="7" customWidth="1"/>
    <col min="2" max="2" width="39" customWidth="1"/>
    <col min="3" max="3" width="14.8984375" customWidth="1"/>
    <col min="4" max="4" width="14.19921875" customWidth="1"/>
    <col min="5" max="5" width="11.5" customWidth="1"/>
  </cols>
  <sheetData>
    <row r="1" spans="1:5" ht="16.2" x14ac:dyDescent="0.35">
      <c r="B1" s="83" t="s">
        <v>130</v>
      </c>
      <c r="C1" s="83"/>
      <c r="D1" s="83"/>
      <c r="E1" s="83"/>
    </row>
    <row r="2" spans="1:5" ht="16.2" x14ac:dyDescent="0.35">
      <c r="B2" s="83" t="s">
        <v>279</v>
      </c>
      <c r="C2" s="83"/>
      <c r="D2" s="83"/>
      <c r="E2" s="83"/>
    </row>
    <row r="3" spans="1:5" x14ac:dyDescent="0.3">
      <c r="A3" s="96"/>
      <c r="B3" s="96"/>
      <c r="C3" s="96"/>
      <c r="D3" s="96"/>
      <c r="E3" s="96"/>
    </row>
    <row r="4" spans="1:5" ht="41.25" customHeight="1" x14ac:dyDescent="0.3">
      <c r="A4" s="50" t="s">
        <v>278</v>
      </c>
      <c r="B4" s="52"/>
      <c r="C4" s="50">
        <v>2021</v>
      </c>
      <c r="D4" s="51">
        <v>2022</v>
      </c>
      <c r="E4" s="51" t="s">
        <v>413</v>
      </c>
    </row>
    <row r="5" spans="1:5" s="41" customFormat="1" ht="15.75" customHeight="1" x14ac:dyDescent="0.25">
      <c r="A5" s="62"/>
      <c r="B5" s="39" t="s">
        <v>285</v>
      </c>
      <c r="C5" s="61">
        <v>-4032256.6464399998</v>
      </c>
      <c r="D5" s="61">
        <v>-4883986.9730200004</v>
      </c>
      <c r="E5" s="63">
        <f>IF(-4032256.64644="","-",-4883986.97302/-4032256.64644*100)</f>
        <v>121.12291952775318</v>
      </c>
    </row>
    <row r="6" spans="1:5" x14ac:dyDescent="0.3">
      <c r="A6" s="25"/>
      <c r="B6" s="34" t="s">
        <v>120</v>
      </c>
      <c r="C6" s="68"/>
      <c r="D6" s="68"/>
      <c r="E6" s="17"/>
    </row>
    <row r="7" spans="1:5" x14ac:dyDescent="0.3">
      <c r="A7" s="11" t="s">
        <v>206</v>
      </c>
      <c r="B7" s="12" t="s">
        <v>176</v>
      </c>
      <c r="C7" s="69">
        <v>41640.834790000001</v>
      </c>
      <c r="D7" s="17">
        <v>7368.1923100000004</v>
      </c>
      <c r="E7" s="17">
        <f>IF(41640.83479="","-",7368.19231/41640.83479*100)</f>
        <v>17.694631596985811</v>
      </c>
    </row>
    <row r="8" spans="1:5" x14ac:dyDescent="0.3">
      <c r="A8" s="13" t="s">
        <v>207</v>
      </c>
      <c r="B8" s="14" t="s">
        <v>21</v>
      </c>
      <c r="C8" s="70">
        <v>1564.59321</v>
      </c>
      <c r="D8" s="15">
        <v>-2437.9843000000001</v>
      </c>
      <c r="E8" s="15" t="s">
        <v>20</v>
      </c>
    </row>
    <row r="9" spans="1:5" x14ac:dyDescent="0.3">
      <c r="A9" s="13" t="s">
        <v>208</v>
      </c>
      <c r="B9" s="14" t="s">
        <v>177</v>
      </c>
      <c r="C9" s="70">
        <v>-56437.751459999999</v>
      </c>
      <c r="D9" s="15">
        <v>-74321.679099999994</v>
      </c>
      <c r="E9" s="15">
        <f>IF(OR(-56437.75146="",-74321.6791="",-56437.75146=0,-74321.6791=0),"-",-74321.6791/-56437.75146*100)</f>
        <v>131.68788120957501</v>
      </c>
    </row>
    <row r="10" spans="1:5" x14ac:dyDescent="0.3">
      <c r="A10" s="13" t="s">
        <v>209</v>
      </c>
      <c r="B10" s="14" t="s">
        <v>178</v>
      </c>
      <c r="C10" s="70">
        <v>-83426.605039999995</v>
      </c>
      <c r="D10" s="15">
        <v>-99669.051829999997</v>
      </c>
      <c r="E10" s="15">
        <f>IF(OR(-83426.60504="",-99669.05183="",-83426.60504=0,-99669.05183=0),"-",-99669.05183/-83426.60504*100)</f>
        <v>119.46914510330649</v>
      </c>
    </row>
    <row r="11" spans="1:5" x14ac:dyDescent="0.3">
      <c r="A11" s="13" t="s">
        <v>210</v>
      </c>
      <c r="B11" s="14" t="s">
        <v>179</v>
      </c>
      <c r="C11" s="70">
        <v>-77011.328880000001</v>
      </c>
      <c r="D11" s="15">
        <v>-80920.963619999995</v>
      </c>
      <c r="E11" s="15">
        <f>IF(OR(-77011.32888="",-80920.96362="",-77011.32888=0,-80920.96362=0),"-",-80920.96362/-77011.32888*100)</f>
        <v>105.07670078786984</v>
      </c>
    </row>
    <row r="12" spans="1:5" x14ac:dyDescent="0.3">
      <c r="A12" s="13" t="s">
        <v>211</v>
      </c>
      <c r="B12" s="14" t="s">
        <v>180</v>
      </c>
      <c r="C12" s="70">
        <v>286236.89302000002</v>
      </c>
      <c r="D12" s="15">
        <v>279137.09502000001</v>
      </c>
      <c r="E12" s="15">
        <f>IF(OR(286236.89302="",279137.09502="",286236.89302=0,279137.09502=0),"-",279137.09502/286236.89302*100)</f>
        <v>97.519607649072711</v>
      </c>
    </row>
    <row r="13" spans="1:5" x14ac:dyDescent="0.3">
      <c r="A13" s="13" t="s">
        <v>212</v>
      </c>
      <c r="B13" s="14" t="s">
        <v>181</v>
      </c>
      <c r="C13" s="70">
        <v>140406.85076999999</v>
      </c>
      <c r="D13" s="15">
        <v>168716.27064</v>
      </c>
      <c r="E13" s="15">
        <f>IF(OR(140406.85077="",168716.27064="",140406.85077=0,168716.27064=0),"-",168716.27064/140406.85077*100)</f>
        <v>120.16242064738962</v>
      </c>
    </row>
    <row r="14" spans="1:5" x14ac:dyDescent="0.3">
      <c r="A14" s="13" t="s">
        <v>213</v>
      </c>
      <c r="B14" s="14" t="s">
        <v>139</v>
      </c>
      <c r="C14" s="70">
        <v>13612.684370000001</v>
      </c>
      <c r="D14" s="15">
        <v>2530.4603999999999</v>
      </c>
      <c r="E14" s="15">
        <f>IF(OR(13612.68437="",2530.4604="",13612.68437=0,2530.4604=0),"-",2530.4604/13612.68437*100)</f>
        <v>18.588988998942018</v>
      </c>
    </row>
    <row r="15" spans="1:5" ht="17.25" customHeight="1" x14ac:dyDescent="0.3">
      <c r="A15" s="13" t="s">
        <v>214</v>
      </c>
      <c r="B15" s="14" t="s">
        <v>182</v>
      </c>
      <c r="C15" s="70">
        <v>-59466.526619999997</v>
      </c>
      <c r="D15" s="15">
        <v>-63797.995130000003</v>
      </c>
      <c r="E15" s="15">
        <f>IF(OR(-59466.52662="",-63797.99513="",-59466.52662=0,-63797.99513=0),"-",-63797.99513/-59466.52662*100)</f>
        <v>107.28387675587435</v>
      </c>
    </row>
    <row r="16" spans="1:5" ht="15.75" customHeight="1" x14ac:dyDescent="0.3">
      <c r="A16" s="13" t="s">
        <v>215</v>
      </c>
      <c r="B16" s="14" t="s">
        <v>140</v>
      </c>
      <c r="C16" s="70">
        <v>-17982.149509999999</v>
      </c>
      <c r="D16" s="15">
        <v>-3149.6099599999998</v>
      </c>
      <c r="E16" s="15">
        <f>IF(OR(-17982.14951="",-3149.60996="",-17982.14951=0,-3149.60996=0),"-",-3149.60996/-17982.14951*100)</f>
        <v>17.515202830720984</v>
      </c>
    </row>
    <row r="17" spans="1:5" x14ac:dyDescent="0.3">
      <c r="A17" s="13" t="s">
        <v>216</v>
      </c>
      <c r="B17" s="14" t="s">
        <v>183</v>
      </c>
      <c r="C17" s="70">
        <v>-105855.82507000001</v>
      </c>
      <c r="D17" s="15">
        <v>-118718.34981</v>
      </c>
      <c r="E17" s="15">
        <f>IF(OR(-105855.82507="",-118718.34981="",-105855.82507=0,-118718.34981=0),"-",-118718.34981/-105855.82507*100)</f>
        <v>112.15098435206028</v>
      </c>
    </row>
    <row r="18" spans="1:5" x14ac:dyDescent="0.3">
      <c r="A18" s="11" t="s">
        <v>217</v>
      </c>
      <c r="B18" s="12" t="s">
        <v>184</v>
      </c>
      <c r="C18" s="69">
        <v>77710.28198</v>
      </c>
      <c r="D18" s="17">
        <v>60672.917730000001</v>
      </c>
      <c r="E18" s="17">
        <f>IF(77710.28198="","-",60672.91773/77710.28198*100)</f>
        <v>78.075791496439507</v>
      </c>
    </row>
    <row r="19" spans="1:5" x14ac:dyDescent="0.3">
      <c r="A19" s="13" t="s">
        <v>218</v>
      </c>
      <c r="B19" s="14" t="s">
        <v>185</v>
      </c>
      <c r="C19" s="70">
        <v>119208.91257</v>
      </c>
      <c r="D19" s="15">
        <v>98325.832580000002</v>
      </c>
      <c r="E19" s="15">
        <f>IF(OR(119208.91257="",98325.83258="",119208.91257=0,98325.83258=0),"-",98325.83258/119208.91257*100)</f>
        <v>82.481947415016165</v>
      </c>
    </row>
    <row r="20" spans="1:5" x14ac:dyDescent="0.3">
      <c r="A20" s="13" t="s">
        <v>219</v>
      </c>
      <c r="B20" s="14" t="s">
        <v>186</v>
      </c>
      <c r="C20" s="70">
        <v>-41498.630590000001</v>
      </c>
      <c r="D20" s="15">
        <v>-37652.914850000001</v>
      </c>
      <c r="E20" s="15">
        <f>IF(OR(-41498.63059="",-37652.91485="",-41498.63059=0,-37652.91485=0),"-",-37652.91485/-41498.63059*100)</f>
        <v>90.732909290441242</v>
      </c>
    </row>
    <row r="21" spans="1:5" ht="16.5" customHeight="1" x14ac:dyDescent="0.3">
      <c r="A21" s="11" t="s">
        <v>220</v>
      </c>
      <c r="B21" s="12" t="s">
        <v>22</v>
      </c>
      <c r="C21" s="69">
        <v>178933.60612000001</v>
      </c>
      <c r="D21" s="17">
        <v>210633.78508999999</v>
      </c>
      <c r="E21" s="17">
        <f>IF(178933.60612="","-",210633.78509/178933.60612*100)</f>
        <v>117.71616839194566</v>
      </c>
    </row>
    <row r="22" spans="1:5" x14ac:dyDescent="0.3">
      <c r="A22" s="13" t="s">
        <v>221</v>
      </c>
      <c r="B22" s="14" t="s">
        <v>193</v>
      </c>
      <c r="C22" s="70">
        <v>1151.6613600000001</v>
      </c>
      <c r="D22" s="15">
        <v>1113.1003000000001</v>
      </c>
      <c r="E22" s="15">
        <f>IF(OR(1151.66136="",1113.1003="",1151.66136=0,1113.1003=0),"-",1113.1003/1151.66136*100)</f>
        <v>96.651701503643395</v>
      </c>
    </row>
    <row r="23" spans="1:5" x14ac:dyDescent="0.3">
      <c r="A23" s="13" t="s">
        <v>222</v>
      </c>
      <c r="B23" s="14" t="s">
        <v>187</v>
      </c>
      <c r="C23" s="70">
        <v>208507.90484999999</v>
      </c>
      <c r="D23" s="15">
        <v>259982.67515</v>
      </c>
      <c r="E23" s="15">
        <f>IF(OR(208507.90485="",259982.67515="",208507.90485=0,259982.67515=0),"-",259982.67515/208507.90485*100)</f>
        <v>124.68720326791967</v>
      </c>
    </row>
    <row r="24" spans="1:5" ht="17.25" customHeight="1" x14ac:dyDescent="0.3">
      <c r="A24" s="13" t="s">
        <v>275</v>
      </c>
      <c r="B24" s="14" t="s">
        <v>188</v>
      </c>
      <c r="C24" s="70">
        <v>-2887.2639100000001</v>
      </c>
      <c r="D24" s="15">
        <v>-4234.4148599999999</v>
      </c>
      <c r="E24" s="15">
        <f>IF(OR(-2887.26391="",-4234.41486="",-2887.26391=0,-4234.41486=0),"-",-4234.41486/-2887.26391*100)</f>
        <v>146.65839327448248</v>
      </c>
    </row>
    <row r="25" spans="1:5" x14ac:dyDescent="0.3">
      <c r="A25" s="13" t="s">
        <v>223</v>
      </c>
      <c r="B25" s="14" t="s">
        <v>189</v>
      </c>
      <c r="C25" s="70">
        <v>-54671.076780000003</v>
      </c>
      <c r="D25" s="15">
        <v>-52510.220249999998</v>
      </c>
      <c r="E25" s="15">
        <f>IF(OR(-54671.07678="",-52510.22025="",-54671.07678=0,-52510.22025=0),"-",-52510.22025/-54671.07678*100)</f>
        <v>96.047532521271833</v>
      </c>
    </row>
    <row r="26" spans="1:5" x14ac:dyDescent="0.3">
      <c r="A26" s="13" t="s">
        <v>224</v>
      </c>
      <c r="B26" s="14" t="s">
        <v>141</v>
      </c>
      <c r="C26" s="70">
        <v>4699.7452400000002</v>
      </c>
      <c r="D26" s="15">
        <v>3905.8607999999999</v>
      </c>
      <c r="E26" s="15">
        <f>IF(OR(4699.74524="",3905.8608="",4699.74524=0,3905.8608=0),"-",3905.8608/4699.74524*100)</f>
        <v>83.107926079840013</v>
      </c>
    </row>
    <row r="27" spans="1:5" ht="28.5" customHeight="1" x14ac:dyDescent="0.3">
      <c r="A27" s="13" t="s">
        <v>225</v>
      </c>
      <c r="B27" s="14" t="s">
        <v>142</v>
      </c>
      <c r="C27" s="70">
        <v>-10248.482840000001</v>
      </c>
      <c r="D27" s="15">
        <v>-8758.0206199999993</v>
      </c>
      <c r="E27" s="15">
        <f>IF(OR(-10248.48284="",-8758.02062="",-10248.48284=0,-8758.02062=0),"-",-8758.02062/-10248.48284*100)</f>
        <v>85.456752543091525</v>
      </c>
    </row>
    <row r="28" spans="1:5" ht="26.4" x14ac:dyDescent="0.3">
      <c r="A28" s="13" t="s">
        <v>226</v>
      </c>
      <c r="B28" s="14" t="s">
        <v>143</v>
      </c>
      <c r="C28" s="70">
        <v>-12011.424370000001</v>
      </c>
      <c r="D28" s="15">
        <v>-2503.0753500000001</v>
      </c>
      <c r="E28" s="15">
        <f>IF(OR(-12011.42437="",-2503.07535="",-12011.42437=0,-2503.07535=0),"-",-2503.07535/-12011.42437*100)</f>
        <v>20.83912176354152</v>
      </c>
    </row>
    <row r="29" spans="1:5" x14ac:dyDescent="0.3">
      <c r="A29" s="13" t="s">
        <v>227</v>
      </c>
      <c r="B29" s="14" t="s">
        <v>144</v>
      </c>
      <c r="C29" s="70">
        <v>85814.848979999995</v>
      </c>
      <c r="D29" s="15">
        <v>52979.104570000003</v>
      </c>
      <c r="E29" s="15">
        <f>IF(OR(85814.84898="",52979.10457="",85814.84898=0,52979.10457=0),"-",52979.10457/85814.84898*100)</f>
        <v>61.736523689912119</v>
      </c>
    </row>
    <row r="30" spans="1:5" x14ac:dyDescent="0.3">
      <c r="A30" s="13" t="s">
        <v>228</v>
      </c>
      <c r="B30" s="14" t="s">
        <v>145</v>
      </c>
      <c r="C30" s="70">
        <v>-41422.306409999997</v>
      </c>
      <c r="D30" s="15">
        <v>-39341.224649999996</v>
      </c>
      <c r="E30" s="15">
        <f>IF(OR(-41422.30641="",-39341.22465="",-41422.30641=0,-39341.22465=0),"-",-39341.22465/-41422.30641*100)</f>
        <v>94.975939438520513</v>
      </c>
    </row>
    <row r="31" spans="1:5" ht="15.75" customHeight="1" x14ac:dyDescent="0.3">
      <c r="A31" s="11" t="s">
        <v>229</v>
      </c>
      <c r="B31" s="12" t="s">
        <v>146</v>
      </c>
      <c r="C31" s="69">
        <v>-1056637.08822</v>
      </c>
      <c r="D31" s="17">
        <v>-1989498.35329</v>
      </c>
      <c r="E31" s="17" t="s">
        <v>101</v>
      </c>
    </row>
    <row r="32" spans="1:5" x14ac:dyDescent="0.3">
      <c r="A32" s="13" t="s">
        <v>230</v>
      </c>
      <c r="B32" s="14" t="s">
        <v>190</v>
      </c>
      <c r="C32" s="70">
        <v>-17550.70493</v>
      </c>
      <c r="D32" s="15">
        <v>-39016.314059999997</v>
      </c>
      <c r="E32" s="15" t="s">
        <v>196</v>
      </c>
    </row>
    <row r="33" spans="1:5" x14ac:dyDescent="0.3">
      <c r="A33" s="13" t="s">
        <v>231</v>
      </c>
      <c r="B33" s="14" t="s">
        <v>147</v>
      </c>
      <c r="C33" s="70">
        <v>-614014.57914000005</v>
      </c>
      <c r="D33" s="15">
        <v>-977993.12575999997</v>
      </c>
      <c r="E33" s="15">
        <f>IF(OR(-614014.57914="",-977993.12576="",-614014.57914=0,-977993.12576=0),"-",-977993.12576/-614014.57914*100)</f>
        <v>159.27848604666602</v>
      </c>
    </row>
    <row r="34" spans="1:5" x14ac:dyDescent="0.3">
      <c r="A34" s="13" t="s">
        <v>276</v>
      </c>
      <c r="B34" s="14" t="s">
        <v>191</v>
      </c>
      <c r="C34" s="70">
        <v>-417336.63296999998</v>
      </c>
      <c r="D34" s="15">
        <v>-841892.98603000003</v>
      </c>
      <c r="E34" s="15" t="s">
        <v>18</v>
      </c>
    </row>
    <row r="35" spans="1:5" x14ac:dyDescent="0.3">
      <c r="A35" s="13" t="s">
        <v>282</v>
      </c>
      <c r="B35" s="14" t="s">
        <v>284</v>
      </c>
      <c r="C35" s="70">
        <v>-7735.1711800000003</v>
      </c>
      <c r="D35" s="15">
        <v>-130595.92744</v>
      </c>
      <c r="E35" s="15" t="s">
        <v>372</v>
      </c>
    </row>
    <row r="36" spans="1:5" ht="26.4" x14ac:dyDescent="0.3">
      <c r="A36" s="11" t="s">
        <v>232</v>
      </c>
      <c r="B36" s="12" t="s">
        <v>148</v>
      </c>
      <c r="C36" s="69">
        <v>106469.27718</v>
      </c>
      <c r="D36" s="17">
        <v>314433.81537999999</v>
      </c>
      <c r="E36" s="17" t="s">
        <v>342</v>
      </c>
    </row>
    <row r="37" spans="1:5" x14ac:dyDescent="0.3">
      <c r="A37" s="13" t="s">
        <v>233</v>
      </c>
      <c r="B37" s="14" t="s">
        <v>194</v>
      </c>
      <c r="C37" s="70">
        <v>-2203.3456900000001</v>
      </c>
      <c r="D37" s="15">
        <v>-2721.8909699999999</v>
      </c>
      <c r="E37" s="15">
        <f>IF(OR(-2203.34569="",-2721.89097="",-2203.34569=0,-2721.89097=0),"-",-2721.89097/-2203.34569*100)</f>
        <v>123.53444955793569</v>
      </c>
    </row>
    <row r="38" spans="1:5" ht="14.25" customHeight="1" x14ac:dyDescent="0.3">
      <c r="A38" s="13" t="s">
        <v>234</v>
      </c>
      <c r="B38" s="14" t="s">
        <v>149</v>
      </c>
      <c r="C38" s="70">
        <v>110967.46214</v>
      </c>
      <c r="D38" s="15">
        <v>320799.39091999998</v>
      </c>
      <c r="E38" s="15" t="s">
        <v>348</v>
      </c>
    </row>
    <row r="39" spans="1:5" ht="40.5" customHeight="1" x14ac:dyDescent="0.3">
      <c r="A39" s="13" t="s">
        <v>235</v>
      </c>
      <c r="B39" s="14" t="s">
        <v>192</v>
      </c>
      <c r="C39" s="70">
        <v>-2294.8392699999999</v>
      </c>
      <c r="D39" s="15">
        <v>-3643.6845699999999</v>
      </c>
      <c r="E39" s="15">
        <f>IF(OR(-2294.83927="",-3643.68457="",-2294.83927=0,-3643.68457=0),"-",-3643.68457/-2294.83927*100)</f>
        <v>158.77733214840794</v>
      </c>
    </row>
    <row r="40" spans="1:5" ht="15" customHeight="1" x14ac:dyDescent="0.3">
      <c r="A40" s="11" t="s">
        <v>236</v>
      </c>
      <c r="B40" s="12" t="s">
        <v>150</v>
      </c>
      <c r="C40" s="69">
        <v>-881094.45071999996</v>
      </c>
      <c r="D40" s="17">
        <v>-934696.08802999998</v>
      </c>
      <c r="E40" s="17">
        <f>IF(-881094.45072="","-",-934696.08803/-881094.45072*100)</f>
        <v>106.08352910022288</v>
      </c>
    </row>
    <row r="41" spans="1:5" x14ac:dyDescent="0.3">
      <c r="A41" s="13" t="s">
        <v>237</v>
      </c>
      <c r="B41" s="14" t="s">
        <v>23</v>
      </c>
      <c r="C41" s="70">
        <v>20976.184150000001</v>
      </c>
      <c r="D41" s="15">
        <v>31277.248759999999</v>
      </c>
      <c r="E41" s="15">
        <f>IF(OR(20976.18415="",31277.24876="",20976.18415=0,31277.24876=0),"-",31277.24876/20976.18415*100)</f>
        <v>149.10838185028041</v>
      </c>
    </row>
    <row r="42" spans="1:5" x14ac:dyDescent="0.3">
      <c r="A42" s="13" t="s">
        <v>238</v>
      </c>
      <c r="B42" s="14" t="s">
        <v>24</v>
      </c>
      <c r="C42" s="70">
        <v>-15178.615970000001</v>
      </c>
      <c r="D42" s="15">
        <v>-25874.517189999999</v>
      </c>
      <c r="E42" s="15" t="s">
        <v>99</v>
      </c>
    </row>
    <row r="43" spans="1:5" x14ac:dyDescent="0.3">
      <c r="A43" s="13" t="s">
        <v>239</v>
      </c>
      <c r="B43" s="14" t="s">
        <v>151</v>
      </c>
      <c r="C43" s="70">
        <v>-48150.770270000001</v>
      </c>
      <c r="D43" s="15">
        <v>-47608.010569999999</v>
      </c>
      <c r="E43" s="15">
        <f>IF(OR(-48150.77027="",-47608.01057="",-48150.77027=0,-47608.01057=0),"-",-47608.01057/-48150.77027*100)</f>
        <v>98.872791241019527</v>
      </c>
    </row>
    <row r="44" spans="1:5" x14ac:dyDescent="0.3">
      <c r="A44" s="13" t="s">
        <v>240</v>
      </c>
      <c r="B44" s="14" t="s">
        <v>152</v>
      </c>
      <c r="C44" s="70">
        <v>-250108.17170000001</v>
      </c>
      <c r="D44" s="15">
        <v>-234011.86314999999</v>
      </c>
      <c r="E44" s="15">
        <f>IF(OR(-250108.1717="",-234011.86315="",-250108.1717=0,-234011.86315=0),"-",-234011.86315/-250108.1717*100)</f>
        <v>93.56426123921004</v>
      </c>
    </row>
    <row r="45" spans="1:5" ht="28.5" customHeight="1" x14ac:dyDescent="0.3">
      <c r="A45" s="13" t="s">
        <v>241</v>
      </c>
      <c r="B45" s="14" t="s">
        <v>153</v>
      </c>
      <c r="C45" s="70">
        <v>-127562.19373</v>
      </c>
      <c r="D45" s="15">
        <v>-136458.85832999999</v>
      </c>
      <c r="E45" s="15">
        <f>IF(OR(-127562.19373="",-136458.85833="",-127562.19373=0,-136458.85833=0),"-",-136458.85833/-127562.19373*100)</f>
        <v>106.97437409929684</v>
      </c>
    </row>
    <row r="46" spans="1:5" x14ac:dyDescent="0.3">
      <c r="A46" s="13" t="s">
        <v>242</v>
      </c>
      <c r="B46" s="14" t="s">
        <v>154</v>
      </c>
      <c r="C46" s="70">
        <v>-87946.735320000007</v>
      </c>
      <c r="D46" s="15">
        <v>-137556.06703000001</v>
      </c>
      <c r="E46" s="15">
        <f>IF(OR(-87946.73532="",-137556.06703="",-87946.73532=0,-137556.06703=0),"-",-137556.06703/-87946.73532*100)</f>
        <v>156.40838347153328</v>
      </c>
    </row>
    <row r="47" spans="1:5" x14ac:dyDescent="0.3">
      <c r="A47" s="13" t="s">
        <v>243</v>
      </c>
      <c r="B47" s="14" t="s">
        <v>25</v>
      </c>
      <c r="C47" s="70">
        <v>-70083.720520000003</v>
      </c>
      <c r="D47" s="15">
        <v>-74296.45233</v>
      </c>
      <c r="E47" s="15">
        <f>IF(OR(-70083.72052="",-74296.45233="",-70083.72052=0,-74296.45233=0),"-",-74296.45233/-70083.72052*100)</f>
        <v>106.01099910042275</v>
      </c>
    </row>
    <row r="48" spans="1:5" x14ac:dyDescent="0.3">
      <c r="A48" s="13" t="s">
        <v>244</v>
      </c>
      <c r="B48" s="14" t="s">
        <v>26</v>
      </c>
      <c r="C48" s="70">
        <v>-154155.42504999999</v>
      </c>
      <c r="D48" s="15">
        <v>-144559.80841999999</v>
      </c>
      <c r="E48" s="15">
        <f>IF(OR(-154155.42505="",-144559.80842="",-154155.42505=0,-144559.80842=0),"-",-144559.80842/-154155.42505*100)</f>
        <v>93.77536234817056</v>
      </c>
    </row>
    <row r="49" spans="1:5" x14ac:dyDescent="0.3">
      <c r="A49" s="13" t="s">
        <v>245</v>
      </c>
      <c r="B49" s="14" t="s">
        <v>155</v>
      </c>
      <c r="C49" s="70">
        <v>-148885.00231000001</v>
      </c>
      <c r="D49" s="15">
        <v>-165607.75977</v>
      </c>
      <c r="E49" s="15">
        <f>IF(OR(-148885.00231="",-165607.75977="",-148885.00231=0,-165607.75977=0),"-",-165607.75977/-148885.00231*100)</f>
        <v>111.2319959704073</v>
      </c>
    </row>
    <row r="50" spans="1:5" ht="26.4" x14ac:dyDescent="0.3">
      <c r="A50" s="11" t="s">
        <v>246</v>
      </c>
      <c r="B50" s="12" t="s">
        <v>331</v>
      </c>
      <c r="C50" s="69">
        <v>-1071241.9675700001</v>
      </c>
      <c r="D50" s="17">
        <v>-1011276.7196</v>
      </c>
      <c r="E50" s="17">
        <f>IF(-1071241.96757="","-",-1011276.7196/-1071241.96757*100)</f>
        <v>94.402268601740374</v>
      </c>
    </row>
    <row r="51" spans="1:5" x14ac:dyDescent="0.3">
      <c r="A51" s="13" t="s">
        <v>247</v>
      </c>
      <c r="B51" s="14" t="s">
        <v>156</v>
      </c>
      <c r="C51" s="70">
        <v>-54108.561600000001</v>
      </c>
      <c r="D51" s="15">
        <v>-52614.437740000001</v>
      </c>
      <c r="E51" s="15">
        <f>IF(OR(-54108.5616="",-52614.43774="",-54108.5616=0,-52614.43774=0),"-",-52614.43774/-54108.5616*100)</f>
        <v>97.2386553702067</v>
      </c>
    </row>
    <row r="52" spans="1:5" x14ac:dyDescent="0.3">
      <c r="A52" s="13" t="s">
        <v>248</v>
      </c>
      <c r="B52" s="14" t="s">
        <v>27</v>
      </c>
      <c r="C52" s="70">
        <v>-74900.761970000007</v>
      </c>
      <c r="D52" s="15">
        <v>-82990.460130000007</v>
      </c>
      <c r="E52" s="15">
        <f>IF(OR(-74900.76197="",-82990.46013="",-74900.76197=0,-82990.46013=0),"-",-82990.46013/-74900.76197*100)</f>
        <v>110.80055522431155</v>
      </c>
    </row>
    <row r="53" spans="1:5" x14ac:dyDescent="0.3">
      <c r="A53" s="13" t="s">
        <v>249</v>
      </c>
      <c r="B53" s="14" t="s">
        <v>157</v>
      </c>
      <c r="C53" s="70">
        <v>-90178.337650000001</v>
      </c>
      <c r="D53" s="15">
        <v>-82727.579989999998</v>
      </c>
      <c r="E53" s="15">
        <f>IF(OR(-90178.33765="",-82727.57999="",-90178.33765=0,-82727.57999=0),"-",-82727.57999/-90178.33765*100)</f>
        <v>91.737752264942088</v>
      </c>
    </row>
    <row r="54" spans="1:5" ht="26.4" x14ac:dyDescent="0.3">
      <c r="A54" s="13" t="s">
        <v>250</v>
      </c>
      <c r="B54" s="14" t="s">
        <v>158</v>
      </c>
      <c r="C54" s="70">
        <v>-102314.49224000001</v>
      </c>
      <c r="D54" s="15">
        <v>-124521.51858</v>
      </c>
      <c r="E54" s="15">
        <f>IF(OR(-102314.49224="",-124521.51858="",-102314.49224=0,-124521.51858=0),"-",-124521.51858/-102314.49224*100)</f>
        <v>121.7046733593798</v>
      </c>
    </row>
    <row r="55" spans="1:5" ht="26.4" x14ac:dyDescent="0.3">
      <c r="A55" s="13" t="s">
        <v>251</v>
      </c>
      <c r="B55" s="14" t="s">
        <v>159</v>
      </c>
      <c r="C55" s="70">
        <v>-240958.95112000001</v>
      </c>
      <c r="D55" s="15">
        <v>-229422.84331</v>
      </c>
      <c r="E55" s="15">
        <f>IF(OR(-240958.95112="",-229422.84331="",-240958.95112=0,-229422.84331=0),"-",-229422.84331/-240958.95112*100)</f>
        <v>95.212417817898398</v>
      </c>
    </row>
    <row r="56" spans="1:5" x14ac:dyDescent="0.3">
      <c r="A56" s="13" t="s">
        <v>252</v>
      </c>
      <c r="B56" s="14" t="s">
        <v>28</v>
      </c>
      <c r="C56" s="70">
        <v>-97741.377529999998</v>
      </c>
      <c r="D56" s="15">
        <v>-72313.67641</v>
      </c>
      <c r="E56" s="15">
        <f>IF(OR(-97741.37753="",-72313.67641="",-97741.37753=0,-72313.67641=0),"-",-72313.67641/-97741.37753*100)</f>
        <v>73.98471173357936</v>
      </c>
    </row>
    <row r="57" spans="1:5" x14ac:dyDescent="0.3">
      <c r="A57" s="13" t="s">
        <v>253</v>
      </c>
      <c r="B57" s="14" t="s">
        <v>160</v>
      </c>
      <c r="C57" s="70">
        <v>-164051.70686999999</v>
      </c>
      <c r="D57" s="15">
        <v>-166234.87502000001</v>
      </c>
      <c r="E57" s="15">
        <f>IF(OR(-164051.70687="",-166234.87502="",-164051.70687=0,-166234.87502=0),"-",-166234.87502/-164051.70687*100)</f>
        <v>101.33078051527377</v>
      </c>
    </row>
    <row r="58" spans="1:5" x14ac:dyDescent="0.3">
      <c r="A58" s="13" t="s">
        <v>254</v>
      </c>
      <c r="B58" s="14" t="s">
        <v>29</v>
      </c>
      <c r="C58" s="70">
        <v>-71499.963149999996</v>
      </c>
      <c r="D58" s="15">
        <v>-33681.015050000002</v>
      </c>
      <c r="E58" s="15">
        <f>IF(OR(-71499.96315="",-33681.01505="",-71499.96315=0,-33681.01505=0),"-",-33681.01505/-71499.96315*100)</f>
        <v>47.106339033127185</v>
      </c>
    </row>
    <row r="59" spans="1:5" x14ac:dyDescent="0.3">
      <c r="A59" s="13" t="s">
        <v>255</v>
      </c>
      <c r="B59" s="14" t="s">
        <v>30</v>
      </c>
      <c r="C59" s="70">
        <v>-175487.81544000001</v>
      </c>
      <c r="D59" s="15">
        <v>-166770.31336999999</v>
      </c>
      <c r="E59" s="15">
        <f>IF(OR(-175487.81544="",-166770.31337="",-175487.81544=0,-166770.31337=0),"-",-166770.31337/-175487.81544*100)</f>
        <v>95.032417465484613</v>
      </c>
    </row>
    <row r="60" spans="1:5" x14ac:dyDescent="0.3">
      <c r="A60" s="11" t="s">
        <v>256</v>
      </c>
      <c r="B60" s="12" t="s">
        <v>161</v>
      </c>
      <c r="C60" s="69">
        <v>-1187961.3690899999</v>
      </c>
      <c r="D60" s="17">
        <v>-1336789.38827</v>
      </c>
      <c r="E60" s="17">
        <f>IF(-1187961.36909="","-",-1336789.38827/-1187961.36909*100)</f>
        <v>112.52801842319209</v>
      </c>
    </row>
    <row r="61" spans="1:5" ht="16.5" customHeight="1" x14ac:dyDescent="0.3">
      <c r="A61" s="13" t="s">
        <v>257</v>
      </c>
      <c r="B61" s="14" t="s">
        <v>162</v>
      </c>
      <c r="C61" s="70">
        <v>-24748.91562</v>
      </c>
      <c r="D61" s="15">
        <v>-30771.802479999998</v>
      </c>
      <c r="E61" s="15">
        <f>IF(OR(-24748.91562="",-30771.80248="",-24748.91562=0,-30771.80248=0),"-",-30771.80248/-24748.91562*100)</f>
        <v>124.3359626436837</v>
      </c>
    </row>
    <row r="62" spans="1:5" ht="15" customHeight="1" x14ac:dyDescent="0.3">
      <c r="A62" s="13" t="s">
        <v>258</v>
      </c>
      <c r="B62" s="14" t="s">
        <v>163</v>
      </c>
      <c r="C62" s="70">
        <v>-234758.28307</v>
      </c>
      <c r="D62" s="15">
        <v>-272606.17871000001</v>
      </c>
      <c r="E62" s="15">
        <f>IF(OR(-234758.28307="",-272606.17871="",-234758.28307=0,-272606.17871=0),"-",-272606.17871/-234758.28307*100)</f>
        <v>116.12207038876431</v>
      </c>
    </row>
    <row r="63" spans="1:5" x14ac:dyDescent="0.3">
      <c r="A63" s="13" t="s">
        <v>259</v>
      </c>
      <c r="B63" s="14" t="s">
        <v>164</v>
      </c>
      <c r="C63" s="70">
        <v>-13355.989250000001</v>
      </c>
      <c r="D63" s="15">
        <v>-8722.4167400000006</v>
      </c>
      <c r="E63" s="15">
        <f>IF(OR(-13355.98925="",-8722.41674="",-13355.98925=0,-8722.41674=0),"-",-8722.41674/-13355.98925*100)</f>
        <v>65.307156038628889</v>
      </c>
    </row>
    <row r="64" spans="1:5" ht="26.4" x14ac:dyDescent="0.3">
      <c r="A64" s="13" t="s">
        <v>260</v>
      </c>
      <c r="B64" s="14" t="s">
        <v>165</v>
      </c>
      <c r="C64" s="70">
        <v>-226174.80363000001</v>
      </c>
      <c r="D64" s="15">
        <v>-221742.80931000001</v>
      </c>
      <c r="E64" s="15">
        <f>IF(OR(-226174.80363="",-221742.80931="",-226174.80363=0,-221742.80931=0),"-",-221742.80931/-226174.80363*100)</f>
        <v>98.040456209591625</v>
      </c>
    </row>
    <row r="65" spans="1:5" ht="27.75" customHeight="1" x14ac:dyDescent="0.3">
      <c r="A65" s="13" t="s">
        <v>261</v>
      </c>
      <c r="B65" s="14" t="s">
        <v>166</v>
      </c>
      <c r="C65" s="70">
        <v>-76544.807589999997</v>
      </c>
      <c r="D65" s="15">
        <v>-96121.395770000003</v>
      </c>
      <c r="E65" s="15">
        <f>IF(OR(-76544.80759="",-96121.39577="",-76544.80759=0,-96121.39577=0),"-",-96121.39577/-76544.80759*100)</f>
        <v>125.57533135997789</v>
      </c>
    </row>
    <row r="66" spans="1:5" ht="29.25" customHeight="1" x14ac:dyDescent="0.3">
      <c r="A66" s="13" t="s">
        <v>262</v>
      </c>
      <c r="B66" s="14" t="s">
        <v>167</v>
      </c>
      <c r="C66" s="70">
        <v>-192801.03576</v>
      </c>
      <c r="D66" s="15">
        <v>-195472.66180999999</v>
      </c>
      <c r="E66" s="15">
        <f>IF(OR(-192801.03576="",-195472.66181="",-192801.03576=0,-195472.66181=0),"-",-195472.66181/-192801.03576*100)</f>
        <v>101.38569071450718</v>
      </c>
    </row>
    <row r="67" spans="1:5" ht="15" customHeight="1" x14ac:dyDescent="0.3">
      <c r="A67" s="13" t="s">
        <v>263</v>
      </c>
      <c r="B67" s="14" t="s">
        <v>168</v>
      </c>
      <c r="C67" s="70">
        <v>-16414.75719</v>
      </c>
      <c r="D67" s="15">
        <v>-53691.046439999998</v>
      </c>
      <c r="E67" s="15" t="s">
        <v>345</v>
      </c>
    </row>
    <row r="68" spans="1:5" x14ac:dyDescent="0.3">
      <c r="A68" s="13" t="s">
        <v>264</v>
      </c>
      <c r="B68" s="14" t="s">
        <v>169</v>
      </c>
      <c r="C68" s="70">
        <v>-399055.56955000001</v>
      </c>
      <c r="D68" s="15">
        <v>-451311.6115</v>
      </c>
      <c r="E68" s="15">
        <f>IF(OR(-399055.56955="",-451311.6115="",-399055.56955=0,-451311.6115=0),"-",-451311.6115/-399055.56955*100)</f>
        <v>113.09492861080155</v>
      </c>
    </row>
    <row r="69" spans="1:5" x14ac:dyDescent="0.3">
      <c r="A69" s="13" t="s">
        <v>265</v>
      </c>
      <c r="B69" s="14" t="s">
        <v>31</v>
      </c>
      <c r="C69" s="70">
        <v>-4107.2074300000004</v>
      </c>
      <c r="D69" s="15">
        <v>-6349.46551</v>
      </c>
      <c r="E69" s="15">
        <f>IF(OR(-4107.20743="",-6349.46551="",-4107.20743=0,-6349.46551=0),"-",-6349.46551/-4107.20743*100)</f>
        <v>154.59325145406643</v>
      </c>
    </row>
    <row r="70" spans="1:5" x14ac:dyDescent="0.3">
      <c r="A70" s="11" t="s">
        <v>266</v>
      </c>
      <c r="B70" s="12" t="s">
        <v>32</v>
      </c>
      <c r="C70" s="69">
        <v>-239998.99257999999</v>
      </c>
      <c r="D70" s="17">
        <v>-188626.2806</v>
      </c>
      <c r="E70" s="17">
        <f>IF(-239998.99258="","-",-188626.2806/-239998.99258*100)</f>
        <v>78.594613490773014</v>
      </c>
    </row>
    <row r="71" spans="1:5" ht="26.4" x14ac:dyDescent="0.3">
      <c r="A71" s="13" t="s">
        <v>267</v>
      </c>
      <c r="B71" s="14" t="s">
        <v>195</v>
      </c>
      <c r="C71" s="70">
        <v>-61547.103719999999</v>
      </c>
      <c r="D71" s="15">
        <v>-48281.552219999998</v>
      </c>
      <c r="E71" s="15">
        <f>IF(OR(-61547.10372="",-48281.55222="",-61547.10372=0,-48281.55222=0),"-",-48281.55222/-61547.10372*100)</f>
        <v>78.446505687172902</v>
      </c>
    </row>
    <row r="72" spans="1:5" x14ac:dyDescent="0.3">
      <c r="A72" s="13" t="s">
        <v>268</v>
      </c>
      <c r="B72" s="14" t="s">
        <v>170</v>
      </c>
      <c r="C72" s="70">
        <v>78076.90049</v>
      </c>
      <c r="D72" s="15">
        <v>71201.555500000002</v>
      </c>
      <c r="E72" s="15">
        <f>IF(OR(78076.90049="",71201.5555="",78076.90049=0,71201.5555=0),"-",71201.5555/78076.90049*100)</f>
        <v>91.194136874221101</v>
      </c>
    </row>
    <row r="73" spans="1:5" x14ac:dyDescent="0.3">
      <c r="A73" s="13" t="s">
        <v>269</v>
      </c>
      <c r="B73" s="14" t="s">
        <v>171</v>
      </c>
      <c r="C73" s="70">
        <v>1910.4422300000001</v>
      </c>
      <c r="D73" s="15">
        <v>-1676.1687099999999</v>
      </c>
      <c r="E73" s="15" t="s">
        <v>20</v>
      </c>
    </row>
    <row r="74" spans="1:5" x14ac:dyDescent="0.3">
      <c r="A74" s="13" t="s">
        <v>270</v>
      </c>
      <c r="B74" s="14" t="s">
        <v>172</v>
      </c>
      <c r="C74" s="70">
        <v>75571.563120000006</v>
      </c>
      <c r="D74" s="15">
        <v>94821.837889999995</v>
      </c>
      <c r="E74" s="15">
        <f>IF(OR(75571.56312="",94821.83789="",75571.56312=0,94821.83789=0),"-",94821.83789/75571.56312*100)</f>
        <v>125.47290802948258</v>
      </c>
    </row>
    <row r="75" spans="1:5" x14ac:dyDescent="0.3">
      <c r="A75" s="13" t="s">
        <v>271</v>
      </c>
      <c r="B75" s="14" t="s">
        <v>173</v>
      </c>
      <c r="C75" s="70">
        <v>-14316.829159999999</v>
      </c>
      <c r="D75" s="15">
        <v>-17389.50606</v>
      </c>
      <c r="E75" s="15">
        <f>IF(OR(-14316.82916="",-17389.50606="",-14316.82916=0,-17389.50606=0),"-",-17389.50606/-14316.82916*100)</f>
        <v>121.46199319458808</v>
      </c>
    </row>
    <row r="76" spans="1:5" ht="26.4" x14ac:dyDescent="0.3">
      <c r="A76" s="13" t="s">
        <v>272</v>
      </c>
      <c r="B76" s="14" t="s">
        <v>367</v>
      </c>
      <c r="C76" s="70">
        <v>-67579.066439999995</v>
      </c>
      <c r="D76" s="15">
        <v>-53982.271220000002</v>
      </c>
      <c r="E76" s="15">
        <f>IF(OR(-67579.06644="",-53982.27122="",-67579.06644=0,-53982.27122=0),"-",-53982.27122/-67579.06644*100)</f>
        <v>79.880167134193997</v>
      </c>
    </row>
    <row r="77" spans="1:5" ht="26.4" x14ac:dyDescent="0.3">
      <c r="A77" s="13" t="s">
        <v>273</v>
      </c>
      <c r="B77" s="14" t="s">
        <v>174</v>
      </c>
      <c r="C77" s="70">
        <v>-13126.203869999999</v>
      </c>
      <c r="D77" s="15">
        <v>-9844.4469499999996</v>
      </c>
      <c r="E77" s="15">
        <f>IF(OR(-13126.20387="",-9844.44695="",-13126.20387=0,-9844.44695=0),"-",-9844.44695/-13126.20387*100)</f>
        <v>74.998430982010944</v>
      </c>
    </row>
    <row r="78" spans="1:5" x14ac:dyDescent="0.3">
      <c r="A78" s="13" t="s">
        <v>274</v>
      </c>
      <c r="B78" s="14" t="s">
        <v>33</v>
      </c>
      <c r="C78" s="70">
        <v>-238988.69523000001</v>
      </c>
      <c r="D78" s="15">
        <v>-223475.72883000001</v>
      </c>
      <c r="E78" s="15">
        <f>IF(OR(-238988.69523="",-223475.72883="",-238988.69523=0,-223475.72883=0),"-",-223475.72883/-238988.69523*100)</f>
        <v>93.508912049136669</v>
      </c>
    </row>
    <row r="79" spans="1:5" x14ac:dyDescent="0.3">
      <c r="A79" s="11" t="s">
        <v>277</v>
      </c>
      <c r="B79" s="12" t="s">
        <v>175</v>
      </c>
      <c r="C79" s="69">
        <v>-76.778329999999997</v>
      </c>
      <c r="D79" s="17">
        <v>-16208.85374</v>
      </c>
      <c r="E79" s="17" t="s">
        <v>408</v>
      </c>
    </row>
    <row r="80" spans="1:5" ht="26.4" x14ac:dyDescent="0.3">
      <c r="A80" s="13" t="s">
        <v>318</v>
      </c>
      <c r="B80" s="14" t="s">
        <v>319</v>
      </c>
      <c r="C80" s="24">
        <v>-83.000699999999995</v>
      </c>
      <c r="D80" s="15">
        <v>-333.24464999999998</v>
      </c>
      <c r="E80" s="15" t="s">
        <v>343</v>
      </c>
    </row>
    <row r="81" spans="1:5" x14ac:dyDescent="0.3">
      <c r="A81" s="13" t="s">
        <v>309</v>
      </c>
      <c r="B81" s="14" t="s">
        <v>310</v>
      </c>
      <c r="C81" s="70">
        <v>661.51531</v>
      </c>
      <c r="D81" s="15">
        <v>915.02722000000006</v>
      </c>
      <c r="E81" s="15">
        <f>IF(OR(661.51531="",915.02722="",661.51531=0,915.02722=0),"-",915.02722/661.51531*100)</f>
        <v>138.32290895882667</v>
      </c>
    </row>
    <row r="82" spans="1:5" x14ac:dyDescent="0.3">
      <c r="A82" s="37" t="s">
        <v>311</v>
      </c>
      <c r="B82" s="38" t="s">
        <v>317</v>
      </c>
      <c r="C82" s="71">
        <v>-655.29294000000004</v>
      </c>
      <c r="D82" s="19">
        <v>-16790.636310000002</v>
      </c>
      <c r="E82" s="19" t="s">
        <v>409</v>
      </c>
    </row>
    <row r="83" spans="1:5" x14ac:dyDescent="0.3">
      <c r="A83" s="20" t="s">
        <v>280</v>
      </c>
      <c r="B83" s="21"/>
    </row>
    <row r="84" spans="1:5" x14ac:dyDescent="0.3">
      <c r="C84" s="15"/>
      <c r="D84" s="15"/>
      <c r="E84" s="23"/>
    </row>
    <row r="85" spans="1:5" x14ac:dyDescent="0.3">
      <c r="C85" s="15"/>
      <c r="D85" s="15"/>
      <c r="E85" s="23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2023-02-16T09:34:57Z</cp:lastPrinted>
  <dcterms:created xsi:type="dcterms:W3CDTF">2016-09-01T07:59:47Z</dcterms:created>
  <dcterms:modified xsi:type="dcterms:W3CDTF">2023-02-16T18:56:53Z</dcterms:modified>
</cp:coreProperties>
</file>